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drawings/drawing15.xml" ContentType="application/vnd.openxmlformats-officedocument.drawing+xml"/>
  <Override PartName="/xl/comments7.xml" ContentType="application/vnd.openxmlformats-officedocument.spreadsheetml.comments+xml"/>
  <Override PartName="/xl/drawings/drawing16.xml" ContentType="application/vnd.openxmlformats-officedocument.drawing+xml"/>
  <Override PartName="/xl/comments8.xml" ContentType="application/vnd.openxmlformats-officedocument.spreadsheetml.comments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89E99FF9-3E69-427C-B25C-4F16E9E5F49D}" xr6:coauthVersionLast="47" xr6:coauthVersionMax="47" xr10:uidLastSave="{00000000-0000-0000-0000-000000000000}"/>
  <bookViews>
    <workbookView xWindow="-120" yWindow="-120" windowWidth="20730" windowHeight="11160" firstSheet="11" activeTab="11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11" sheetId="15" r:id="rId12"/>
    <sheet name="MEMÓRIA MEDIÇÃO 11" sheetId="27" r:id="rId13"/>
    <sheet name="MEMORIAL DE CALCULO 10" sheetId="24" state="hidden" r:id="rId14"/>
    <sheet name="MEMORIAL DE CALCULO 09)" sheetId="22" state="hidden" r:id="rId15"/>
    <sheet name="MEMORIAL DE CALCULO 08" sheetId="20" state="hidden" r:id="rId16"/>
    <sheet name="MEMORIAL DE CALCULO 07" sheetId="18" state="hidden" r:id="rId17"/>
    <sheet name="MEMORIAL DE CALCULO 06" sheetId="16" state="hidden" r:id="rId18"/>
    <sheet name="MEMORIAL FOTOGRÁFICO 06" sheetId="17" state="hidden" r:id="rId19"/>
    <sheet name="MEMORIAL FOTOGRÁFICO 09" sheetId="23" state="hidden" r:id="rId20"/>
    <sheet name="MEMORIAL FOTOGRÁFICO 08" sheetId="21" state="hidden" r:id="rId21"/>
    <sheet name="MEMORIAL FOTOGRÁFICO 07" sheetId="19" state="hidden" r:id="rId22"/>
    <sheet name="orcamento" sheetId="1" state="hidden" r:id="rId23"/>
  </sheets>
  <definedNames>
    <definedName name="_xlnm.Print_Area" localSheetId="7">'BOLETIM DE MEDIÇÃO 05'!$B$2:$Z$198</definedName>
    <definedName name="_xlnm.Print_Area" localSheetId="11">'BOLETIM DE MEDIÇÃO 11'!$B$2:$AH$227</definedName>
    <definedName name="_xlnm.Print_Area" localSheetId="12">'MEMÓRIA MEDIÇÃO 11'!$A$2:$F$205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7">'MEMORIAL DE CALCULO 06'!$B$2:$N$432</definedName>
    <definedName name="_xlnm.Print_Area" localSheetId="16">'MEMORIAL DE CALCULO 07'!$B$2:$N$546</definedName>
    <definedName name="_xlnm.Print_Area" localSheetId="15">'MEMORIAL DE CALCULO 08'!$B$2:$N$547</definedName>
    <definedName name="_xlnm.Print_Area" localSheetId="14">'MEMORIAL DE CALCULO 09)'!$B$2:$N$549</definedName>
    <definedName name="_xlnm.Print_Area" localSheetId="13">'MEMORIAL DE CALCULO 10'!$B$2:$N$581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8">'MEMORIAL FOTOGRÁFICO 06'!$B$2:$Z$110</definedName>
    <definedName name="_xlnm.Print_Area" localSheetId="21">'MEMORIAL FOTOGRÁFICO 07'!$B$2:$Z$62</definedName>
    <definedName name="_xlnm.Print_Area" localSheetId="20">'MEMORIAL FOTOGRÁFICO 08'!$B$2:$Z$62</definedName>
    <definedName name="_xlnm.Print_Area" localSheetId="19">'MEMORIAL FOTOGRÁFICO 09'!$B$2:$Z$62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7" i="27" l="1"/>
  <c r="E126" i="27"/>
  <c r="F123" i="27"/>
  <c r="F117" i="27"/>
  <c r="R15" i="15"/>
  <c r="AF15" i="15" s="1"/>
  <c r="AG15" i="15" s="1"/>
  <c r="R16" i="15"/>
  <c r="AF16" i="15" s="1"/>
  <c r="AG16" i="15" s="1"/>
  <c r="R17" i="15"/>
  <c r="AF17" i="15" s="1"/>
  <c r="AG17" i="15" s="1"/>
  <c r="R18" i="15"/>
  <c r="R19" i="15"/>
  <c r="S19" i="15" s="1"/>
  <c r="R20" i="15"/>
  <c r="S20" i="15" s="1"/>
  <c r="R21" i="15"/>
  <c r="AF21" i="15" s="1"/>
  <c r="AG21" i="15" s="1"/>
  <c r="R22" i="15"/>
  <c r="AF22" i="15" s="1"/>
  <c r="AG22" i="15" s="1"/>
  <c r="R23" i="15"/>
  <c r="AF23" i="15" s="1"/>
  <c r="AG23" i="15" s="1"/>
  <c r="R24" i="15"/>
  <c r="S24" i="15" s="1"/>
  <c r="R25" i="15"/>
  <c r="S25" i="15" s="1"/>
  <c r="R26" i="15"/>
  <c r="AF26" i="15" s="1"/>
  <c r="AG26" i="15" s="1"/>
  <c r="R27" i="15"/>
  <c r="S27" i="15" s="1"/>
  <c r="R28" i="15"/>
  <c r="S28" i="15" s="1"/>
  <c r="R29" i="15"/>
  <c r="AF29" i="15" s="1"/>
  <c r="AG29" i="15" s="1"/>
  <c r="R30" i="15"/>
  <c r="AF30" i="15" s="1"/>
  <c r="AG30" i="15" s="1"/>
  <c r="R31" i="15"/>
  <c r="S31" i="15" s="1"/>
  <c r="R32" i="15"/>
  <c r="AF32" i="15" s="1"/>
  <c r="AG32" i="15" s="1"/>
  <c r="R33" i="15"/>
  <c r="AF33" i="15" s="1"/>
  <c r="AG33" i="15" s="1"/>
  <c r="R34" i="15"/>
  <c r="AF34" i="15" s="1"/>
  <c r="AG34" i="15" s="1"/>
  <c r="R35" i="15"/>
  <c r="S35" i="15" s="1"/>
  <c r="R36" i="15"/>
  <c r="AF36" i="15" s="1"/>
  <c r="AG36" i="15" s="1"/>
  <c r="R37" i="15"/>
  <c r="AF37" i="15" s="1"/>
  <c r="AG37" i="15" s="1"/>
  <c r="R38" i="15"/>
  <c r="AF38" i="15" s="1"/>
  <c r="AG38" i="15" s="1"/>
  <c r="R39" i="15"/>
  <c r="S39" i="15" s="1"/>
  <c r="R40" i="15"/>
  <c r="AF40" i="15" s="1"/>
  <c r="R41" i="15"/>
  <c r="AF41" i="15" s="1"/>
  <c r="R42" i="15"/>
  <c r="AF42" i="15" s="1"/>
  <c r="R43" i="15"/>
  <c r="AF43" i="15" s="1"/>
  <c r="R44" i="15"/>
  <c r="AF44" i="15" s="1"/>
  <c r="AG44" i="15" s="1"/>
  <c r="R45" i="15"/>
  <c r="AF45" i="15" s="1"/>
  <c r="R46" i="15"/>
  <c r="AF46" i="15" s="1"/>
  <c r="R47" i="15"/>
  <c r="AF47" i="15" s="1"/>
  <c r="R48" i="15"/>
  <c r="AF48" i="15" s="1"/>
  <c r="R49" i="15"/>
  <c r="AF49" i="15" s="1"/>
  <c r="R50" i="15"/>
  <c r="AF50" i="15" s="1"/>
  <c r="R51" i="15"/>
  <c r="AF51" i="15" s="1"/>
  <c r="R52" i="15"/>
  <c r="AF52" i="15" s="1"/>
  <c r="AG52" i="15" s="1"/>
  <c r="R53" i="15"/>
  <c r="AF53" i="15" s="1"/>
  <c r="AG53" i="15" s="1"/>
  <c r="R54" i="15"/>
  <c r="AF54" i="15" s="1"/>
  <c r="AG54" i="15" s="1"/>
  <c r="R55" i="15"/>
  <c r="S55" i="15" s="1"/>
  <c r="R56" i="15"/>
  <c r="AF56" i="15" s="1"/>
  <c r="R57" i="15"/>
  <c r="AF57" i="15" s="1"/>
  <c r="AG57" i="15" s="1"/>
  <c r="R58" i="15"/>
  <c r="AF58" i="15" s="1"/>
  <c r="AG58" i="15" s="1"/>
  <c r="R59" i="15"/>
  <c r="AF59" i="15" s="1"/>
  <c r="AG59" i="15" s="1"/>
  <c r="R60" i="15"/>
  <c r="S60" i="15" s="1"/>
  <c r="R61" i="15"/>
  <c r="S61" i="15" s="1"/>
  <c r="R62" i="15"/>
  <c r="AF62" i="15" s="1"/>
  <c r="AG62" i="15" s="1"/>
  <c r="R63" i="15"/>
  <c r="AF63" i="15" s="1"/>
  <c r="R64" i="15"/>
  <c r="S64" i="15" s="1"/>
  <c r="R65" i="15"/>
  <c r="S65" i="15" s="1"/>
  <c r="R66" i="15"/>
  <c r="R67" i="15"/>
  <c r="S67" i="15" s="1"/>
  <c r="R68" i="15"/>
  <c r="S68" i="15" s="1"/>
  <c r="R69" i="15"/>
  <c r="S69" i="15" s="1"/>
  <c r="R70" i="15"/>
  <c r="R71" i="15"/>
  <c r="S71" i="15" s="1"/>
  <c r="R72" i="15"/>
  <c r="S72" i="15" s="1"/>
  <c r="R73" i="15"/>
  <c r="R74" i="15"/>
  <c r="S74" i="15" s="1"/>
  <c r="R75" i="15"/>
  <c r="S75" i="15" s="1"/>
  <c r="R76" i="15"/>
  <c r="S76" i="15" s="1"/>
  <c r="R77" i="15"/>
  <c r="R78" i="15"/>
  <c r="AF78" i="15" s="1"/>
  <c r="AG78" i="15" s="1"/>
  <c r="R79" i="15"/>
  <c r="S79" i="15" s="1"/>
  <c r="R80" i="15"/>
  <c r="R81" i="15"/>
  <c r="S81" i="15" s="1"/>
  <c r="R82" i="15"/>
  <c r="AF82" i="15" s="1"/>
  <c r="R83" i="15"/>
  <c r="AF83" i="15" s="1"/>
  <c r="R84" i="15"/>
  <c r="R85" i="15"/>
  <c r="S85" i="15" s="1"/>
  <c r="R86" i="15"/>
  <c r="AF86" i="15" s="1"/>
  <c r="AG86" i="15" s="1"/>
  <c r="R87" i="15"/>
  <c r="R88" i="15"/>
  <c r="S88" i="15" s="1"/>
  <c r="R89" i="15"/>
  <c r="S89" i="15" s="1"/>
  <c r="R90" i="15"/>
  <c r="S90" i="15" s="1"/>
  <c r="R91" i="15"/>
  <c r="R92" i="15"/>
  <c r="S92" i="15" s="1"/>
  <c r="R93" i="15"/>
  <c r="S93" i="15" s="1"/>
  <c r="R94" i="15"/>
  <c r="AF94" i="15" s="1"/>
  <c r="AG94" i="15" s="1"/>
  <c r="R95" i="15"/>
  <c r="S95" i="15" s="1"/>
  <c r="R96" i="15"/>
  <c r="S96" i="15" s="1"/>
  <c r="R97" i="15"/>
  <c r="S97" i="15" s="1"/>
  <c r="R98" i="15"/>
  <c r="R99" i="15"/>
  <c r="S99" i="15" s="1"/>
  <c r="R100" i="15"/>
  <c r="S100" i="15" s="1"/>
  <c r="R101" i="15"/>
  <c r="S101" i="15" s="1"/>
  <c r="R102" i="15"/>
  <c r="R103" i="15"/>
  <c r="S103" i="15" s="1"/>
  <c r="R104" i="15"/>
  <c r="S104" i="15" s="1"/>
  <c r="R105" i="15"/>
  <c r="R106" i="15"/>
  <c r="S106" i="15" s="1"/>
  <c r="R107" i="15"/>
  <c r="S107" i="15" s="1"/>
  <c r="R108" i="15"/>
  <c r="AF108" i="15" s="1"/>
  <c r="R109" i="15"/>
  <c r="AF109" i="15" s="1"/>
  <c r="R110" i="15"/>
  <c r="AF110" i="15" s="1"/>
  <c r="R111" i="15"/>
  <c r="S111" i="15" s="1"/>
  <c r="R112" i="15"/>
  <c r="S112" i="15" s="1"/>
  <c r="R113" i="15"/>
  <c r="R114" i="15"/>
  <c r="S114" i="15" s="1"/>
  <c r="R115" i="15"/>
  <c r="S115" i="15" s="1"/>
  <c r="R116" i="15"/>
  <c r="S116" i="15" s="1"/>
  <c r="R117" i="15"/>
  <c r="R118" i="15"/>
  <c r="AF118" i="15" s="1"/>
  <c r="AG118" i="15" s="1"/>
  <c r="R119" i="15"/>
  <c r="AF119" i="15" s="1"/>
  <c r="R120" i="15"/>
  <c r="AF120" i="15" s="1"/>
  <c r="R121" i="15"/>
  <c r="S121" i="15" s="1"/>
  <c r="R122" i="15"/>
  <c r="S122" i="15" s="1"/>
  <c r="R123" i="15"/>
  <c r="S123" i="15" s="1"/>
  <c r="R124" i="15"/>
  <c r="R125" i="15"/>
  <c r="S125" i="15" s="1"/>
  <c r="R126" i="15"/>
  <c r="AF126" i="15" s="1"/>
  <c r="AG126" i="15" s="1"/>
  <c r="R127" i="15"/>
  <c r="R128" i="15"/>
  <c r="S128" i="15" s="1"/>
  <c r="R129" i="15"/>
  <c r="S129" i="15" s="1"/>
  <c r="R130" i="15"/>
  <c r="S130" i="15" s="1"/>
  <c r="R131" i="15"/>
  <c r="R132" i="15"/>
  <c r="S132" i="15" s="1"/>
  <c r="R133" i="15"/>
  <c r="S133" i="15" s="1"/>
  <c r="R134" i="15"/>
  <c r="AF134" i="15" s="1"/>
  <c r="AG134" i="15" s="1"/>
  <c r="R135" i="15"/>
  <c r="S135" i="15" s="1"/>
  <c r="R136" i="15"/>
  <c r="S136" i="15" s="1"/>
  <c r="R137" i="15"/>
  <c r="S137" i="15" s="1"/>
  <c r="R138" i="15"/>
  <c r="R139" i="15"/>
  <c r="S139" i="15" s="1"/>
  <c r="R140" i="15"/>
  <c r="S140" i="15" s="1"/>
  <c r="R141" i="15"/>
  <c r="S141" i="15" s="1"/>
  <c r="R142" i="15"/>
  <c r="R143" i="15"/>
  <c r="S143" i="15" s="1"/>
  <c r="R144" i="15"/>
  <c r="S144" i="15" s="1"/>
  <c r="R145" i="15"/>
  <c r="R146" i="15"/>
  <c r="S146" i="15" s="1"/>
  <c r="R147" i="15"/>
  <c r="S147" i="15" s="1"/>
  <c r="R148" i="15"/>
  <c r="S148" i="15" s="1"/>
  <c r="R149" i="15"/>
  <c r="R150" i="15"/>
  <c r="AF150" i="15" s="1"/>
  <c r="AG150" i="15" s="1"/>
  <c r="R151" i="15"/>
  <c r="S151" i="15" s="1"/>
  <c r="R152" i="15"/>
  <c r="R153" i="15"/>
  <c r="S153" i="15" s="1"/>
  <c r="R154" i="15"/>
  <c r="AF154" i="15" s="1"/>
  <c r="AG154" i="15" s="1"/>
  <c r="R155" i="15"/>
  <c r="AF155" i="15" s="1"/>
  <c r="AG155" i="15" s="1"/>
  <c r="R156" i="15"/>
  <c r="R157" i="15"/>
  <c r="AF157" i="15" s="1"/>
  <c r="AG157" i="15" s="1"/>
  <c r="R158" i="15"/>
  <c r="AF158" i="15" s="1"/>
  <c r="AG158" i="15" s="1"/>
  <c r="R159" i="15"/>
  <c r="R160" i="15"/>
  <c r="S160" i="15" s="1"/>
  <c r="R161" i="15"/>
  <c r="S161" i="15" s="1"/>
  <c r="R162" i="15"/>
  <c r="S162" i="15" s="1"/>
  <c r="R163" i="15"/>
  <c r="R164" i="15"/>
  <c r="S164" i="15" s="1"/>
  <c r="R165" i="15"/>
  <c r="S165" i="15" s="1"/>
  <c r="R166" i="15"/>
  <c r="AF166" i="15" s="1"/>
  <c r="AG166" i="15" s="1"/>
  <c r="R167" i="15"/>
  <c r="S167" i="15" s="1"/>
  <c r="R168" i="15"/>
  <c r="S168" i="15" s="1"/>
  <c r="R169" i="15"/>
  <c r="S169" i="15" s="1"/>
  <c r="R170" i="15"/>
  <c r="R171" i="15"/>
  <c r="S171" i="15" s="1"/>
  <c r="R172" i="15"/>
  <c r="S172" i="15" s="1"/>
  <c r="R173" i="15"/>
  <c r="S173" i="15" s="1"/>
  <c r="R174" i="15"/>
  <c r="AF174" i="15" s="1"/>
  <c r="AG174" i="15" s="1"/>
  <c r="R175" i="15"/>
  <c r="S175" i="15" s="1"/>
  <c r="R176" i="15"/>
  <c r="AF176" i="15" s="1"/>
  <c r="AG176" i="15" s="1"/>
  <c r="R177" i="15"/>
  <c r="AF177" i="15" s="1"/>
  <c r="AG177" i="15" s="1"/>
  <c r="R178" i="15"/>
  <c r="AF178" i="15" s="1"/>
  <c r="AG178" i="15" s="1"/>
  <c r="R179" i="15"/>
  <c r="AF179" i="15" s="1"/>
  <c r="AG179" i="15" s="1"/>
  <c r="R180" i="15"/>
  <c r="AF180" i="15" s="1"/>
  <c r="AG180" i="15" s="1"/>
  <c r="R181" i="15"/>
  <c r="AF181" i="15" s="1"/>
  <c r="AG181" i="15" s="1"/>
  <c r="R182" i="15"/>
  <c r="R183" i="15"/>
  <c r="AF183" i="15" s="1"/>
  <c r="AG183" i="15" s="1"/>
  <c r="R184" i="15"/>
  <c r="AF184" i="15" s="1"/>
  <c r="AG184" i="15" s="1"/>
  <c r="R185" i="15"/>
  <c r="AF185" i="15" s="1"/>
  <c r="AG185" i="15" s="1"/>
  <c r="R186" i="15"/>
  <c r="AF186" i="15" s="1"/>
  <c r="AG186" i="15" s="1"/>
  <c r="R187" i="15"/>
  <c r="AF187" i="15" s="1"/>
  <c r="AG187" i="15" s="1"/>
  <c r="R188" i="15"/>
  <c r="AF188" i="15" s="1"/>
  <c r="AG188" i="15" s="1"/>
  <c r="R189" i="15"/>
  <c r="AF189" i="15" s="1"/>
  <c r="AG189" i="15" s="1"/>
  <c r="R190" i="15"/>
  <c r="AF190" i="15" s="1"/>
  <c r="AG190" i="15" s="1"/>
  <c r="R191" i="15"/>
  <c r="S191" i="15" s="1"/>
  <c r="R192" i="15"/>
  <c r="S192" i="15" s="1"/>
  <c r="R193" i="15"/>
  <c r="S193" i="15" s="1"/>
  <c r="R194" i="15"/>
  <c r="S194" i="15" s="1"/>
  <c r="R195" i="15"/>
  <c r="S195" i="15" s="1"/>
  <c r="R196" i="15"/>
  <c r="S196" i="15" s="1"/>
  <c r="R197" i="15"/>
  <c r="R198" i="15"/>
  <c r="S198" i="15" s="1"/>
  <c r="R199" i="15"/>
  <c r="S199" i="15" s="1"/>
  <c r="R200" i="15"/>
  <c r="S200" i="15" s="1"/>
  <c r="R201" i="15"/>
  <c r="S201" i="15" s="1"/>
  <c r="R202" i="15"/>
  <c r="S202" i="15" s="1"/>
  <c r="R203" i="15"/>
  <c r="S203" i="15" s="1"/>
  <c r="R204" i="15"/>
  <c r="S204" i="15" s="1"/>
  <c r="R205" i="15"/>
  <c r="R206" i="15"/>
  <c r="S206" i="15" s="1"/>
  <c r="R207" i="15"/>
  <c r="S207" i="15" s="1"/>
  <c r="R208" i="15"/>
  <c r="S208" i="15" s="1"/>
  <c r="R14" i="15"/>
  <c r="AF14" i="15" s="1"/>
  <c r="AF164" i="15" l="1"/>
  <c r="AG164" i="15" s="1"/>
  <c r="AF103" i="15"/>
  <c r="AG103" i="15" s="1"/>
  <c r="S134" i="15"/>
  <c r="AF140" i="15"/>
  <c r="AG140" i="15" s="1"/>
  <c r="AF76" i="15"/>
  <c r="AG76" i="15" s="1"/>
  <c r="S118" i="15"/>
  <c r="AF121" i="15"/>
  <c r="AG121" i="15" s="1"/>
  <c r="AF68" i="15"/>
  <c r="AG68" i="15" s="1"/>
  <c r="AF24" i="15"/>
  <c r="AG24" i="15" s="1"/>
  <c r="AF204" i="15"/>
  <c r="AG204" i="15" s="1"/>
  <c r="AF196" i="15"/>
  <c r="AG196" i="15" s="1"/>
  <c r="AF137" i="15"/>
  <c r="AG137" i="15" s="1"/>
  <c r="S166" i="15"/>
  <c r="S94" i="15"/>
  <c r="AF172" i="15"/>
  <c r="AG172" i="15" s="1"/>
  <c r="AF153" i="15"/>
  <c r="AG153" i="15" s="1"/>
  <c r="AF132" i="15"/>
  <c r="AG132" i="15" s="1"/>
  <c r="AF115" i="15"/>
  <c r="AG115" i="15" s="1"/>
  <c r="AF90" i="15"/>
  <c r="AG90" i="15" s="1"/>
  <c r="AF65" i="15"/>
  <c r="AG65" i="15" s="1"/>
  <c r="AF161" i="15"/>
  <c r="AG161" i="15" s="1"/>
  <c r="AF95" i="15"/>
  <c r="AG95" i="15" s="1"/>
  <c r="S150" i="15"/>
  <c r="S78" i="15"/>
  <c r="AF169" i="15"/>
  <c r="AG169" i="15" s="1"/>
  <c r="AF148" i="15"/>
  <c r="AG148" i="15" s="1"/>
  <c r="AF129" i="15"/>
  <c r="AG129" i="15" s="1"/>
  <c r="AF106" i="15"/>
  <c r="AG106" i="15" s="1"/>
  <c r="AF81" i="15"/>
  <c r="AG81" i="15" s="1"/>
  <c r="AF60" i="15"/>
  <c r="AG60" i="15" s="1"/>
  <c r="AG14" i="15"/>
  <c r="S138" i="15"/>
  <c r="AF138" i="15"/>
  <c r="AG138" i="15" s="1"/>
  <c r="S205" i="15"/>
  <c r="AF205" i="15"/>
  <c r="AG205" i="15" s="1"/>
  <c r="S124" i="15"/>
  <c r="AF124" i="15"/>
  <c r="AG124" i="15" s="1"/>
  <c r="S117" i="15"/>
  <c r="AF117" i="15"/>
  <c r="AG117" i="15" s="1"/>
  <c r="S113" i="15"/>
  <c r="AF113" i="15"/>
  <c r="AG113" i="15" s="1"/>
  <c r="S127" i="15"/>
  <c r="AF127" i="15"/>
  <c r="AG127" i="15" s="1"/>
  <c r="S66" i="15"/>
  <c r="AF66" i="15"/>
  <c r="AG66" i="15" s="1"/>
  <c r="S18" i="15"/>
  <c r="AF18" i="15"/>
  <c r="AG18" i="15" s="1"/>
  <c r="S156" i="15"/>
  <c r="AF156" i="15"/>
  <c r="AG156" i="15" s="1"/>
  <c r="S152" i="15"/>
  <c r="AF152" i="15"/>
  <c r="AG152" i="15" s="1"/>
  <c r="S149" i="15"/>
  <c r="AF149" i="15"/>
  <c r="AG149" i="15" s="1"/>
  <c r="S145" i="15"/>
  <c r="AF145" i="15"/>
  <c r="AG145" i="15" s="1"/>
  <c r="S84" i="15"/>
  <c r="AF84" i="15"/>
  <c r="AG84" i="15" s="1"/>
  <c r="S80" i="15"/>
  <c r="AF80" i="15"/>
  <c r="AG80" i="15" s="1"/>
  <c r="S77" i="15"/>
  <c r="AF77" i="15"/>
  <c r="AG77" i="15" s="1"/>
  <c r="S73" i="15"/>
  <c r="AF73" i="15"/>
  <c r="AG73" i="15" s="1"/>
  <c r="S197" i="15"/>
  <c r="AF197" i="15"/>
  <c r="AG197" i="15" s="1"/>
  <c r="S105" i="15"/>
  <c r="AF105" i="15"/>
  <c r="AG105" i="15" s="1"/>
  <c r="AF201" i="15"/>
  <c r="AG201" i="15" s="1"/>
  <c r="S142" i="15"/>
  <c r="AF142" i="15"/>
  <c r="AG142" i="15" s="1"/>
  <c r="S131" i="15"/>
  <c r="AF131" i="15"/>
  <c r="AG131" i="15" s="1"/>
  <c r="S70" i="15"/>
  <c r="AF70" i="15"/>
  <c r="AG70" i="15" s="1"/>
  <c r="S182" i="15"/>
  <c r="AF182" i="15"/>
  <c r="AG182" i="15" s="1"/>
  <c r="S170" i="15"/>
  <c r="AF170" i="15"/>
  <c r="AG170" i="15" s="1"/>
  <c r="S163" i="15"/>
  <c r="AF163" i="15"/>
  <c r="AG163" i="15" s="1"/>
  <c r="S159" i="15"/>
  <c r="AF159" i="15"/>
  <c r="AG159" i="15" s="1"/>
  <c r="S102" i="15"/>
  <c r="AF102" i="15"/>
  <c r="AG102" i="15" s="1"/>
  <c r="S98" i="15"/>
  <c r="AF98" i="15"/>
  <c r="AG98" i="15" s="1"/>
  <c r="S91" i="15"/>
  <c r="AF91" i="15"/>
  <c r="AG91" i="15" s="1"/>
  <c r="S87" i="15"/>
  <c r="AF87" i="15"/>
  <c r="AG87" i="15" s="1"/>
  <c r="AF193" i="15"/>
  <c r="AG193" i="15" s="1"/>
  <c r="S158" i="15"/>
  <c r="S126" i="15"/>
  <c r="S86" i="15"/>
  <c r="AF206" i="15"/>
  <c r="AG206" i="15" s="1"/>
  <c r="AF203" i="15"/>
  <c r="AG203" i="15" s="1"/>
  <c r="AF198" i="15"/>
  <c r="AG198" i="15" s="1"/>
  <c r="AF195" i="15"/>
  <c r="AG195" i="15" s="1"/>
  <c r="AF171" i="15"/>
  <c r="AG171" i="15" s="1"/>
  <c r="AF147" i="15"/>
  <c r="AG147" i="15" s="1"/>
  <c r="AF139" i="15"/>
  <c r="AG139" i="15" s="1"/>
  <c r="AF123" i="15"/>
  <c r="AG123" i="15" s="1"/>
  <c r="AF112" i="15"/>
  <c r="AG112" i="15" s="1"/>
  <c r="AF100" i="15"/>
  <c r="AG100" i="15" s="1"/>
  <c r="AF97" i="15"/>
  <c r="AG97" i="15" s="1"/>
  <c r="AF92" i="15"/>
  <c r="AG92" i="15" s="1"/>
  <c r="AF89" i="15"/>
  <c r="AG89" i="15" s="1"/>
  <c r="AF75" i="15"/>
  <c r="AG75" i="15" s="1"/>
  <c r="AF67" i="15"/>
  <c r="AG67" i="15" s="1"/>
  <c r="AF39" i="15"/>
  <c r="AG39" i="15" s="1"/>
  <c r="AF31" i="15"/>
  <c r="AG31" i="15" s="1"/>
  <c r="AF208" i="15"/>
  <c r="AG208" i="15" s="1"/>
  <c r="AF200" i="15"/>
  <c r="AG200" i="15" s="1"/>
  <c r="AF192" i="15"/>
  <c r="AG192" i="15" s="1"/>
  <c r="AF173" i="15"/>
  <c r="AG173" i="15" s="1"/>
  <c r="AF168" i="15"/>
  <c r="AG168" i="15" s="1"/>
  <c r="AF165" i="15"/>
  <c r="AG165" i="15" s="1"/>
  <c r="AF160" i="15"/>
  <c r="AG160" i="15" s="1"/>
  <c r="AF144" i="15"/>
  <c r="AG144" i="15" s="1"/>
  <c r="AF141" i="15"/>
  <c r="AG141" i="15" s="1"/>
  <c r="AF136" i="15"/>
  <c r="AG136" i="15" s="1"/>
  <c r="AF133" i="15"/>
  <c r="AG133" i="15" s="1"/>
  <c r="AF128" i="15"/>
  <c r="AG128" i="15" s="1"/>
  <c r="AF125" i="15"/>
  <c r="AG125" i="15" s="1"/>
  <c r="AF114" i="15"/>
  <c r="AG114" i="15" s="1"/>
  <c r="AF111" i="15"/>
  <c r="AG111" i="15" s="1"/>
  <c r="AF107" i="15"/>
  <c r="AG107" i="15" s="1"/>
  <c r="AF99" i="15"/>
  <c r="AG99" i="15" s="1"/>
  <c r="AF72" i="15"/>
  <c r="AG72" i="15" s="1"/>
  <c r="AF69" i="15"/>
  <c r="AG69" i="15" s="1"/>
  <c r="AF64" i="15"/>
  <c r="AG64" i="15" s="1"/>
  <c r="AF61" i="15"/>
  <c r="AG61" i="15" s="1"/>
  <c r="AF55" i="15"/>
  <c r="AG55" i="15" s="1"/>
  <c r="AF28" i="15"/>
  <c r="AG28" i="15" s="1"/>
  <c r="AF25" i="15"/>
  <c r="AG25" i="15" s="1"/>
  <c r="AF20" i="15"/>
  <c r="AG20" i="15" s="1"/>
  <c r="AF207" i="15"/>
  <c r="AG207" i="15" s="1"/>
  <c r="AF202" i="15"/>
  <c r="AG202" i="15" s="1"/>
  <c r="AF199" i="15"/>
  <c r="AG199" i="15" s="1"/>
  <c r="AF194" i="15"/>
  <c r="AG194" i="15" s="1"/>
  <c r="AF191" i="15"/>
  <c r="AG191" i="15" s="1"/>
  <c r="AF175" i="15"/>
  <c r="AG175" i="15" s="1"/>
  <c r="AF167" i="15"/>
  <c r="AG167" i="15" s="1"/>
  <c r="AF162" i="15"/>
  <c r="AG162" i="15" s="1"/>
  <c r="AF151" i="15"/>
  <c r="AG151" i="15" s="1"/>
  <c r="AF146" i="15"/>
  <c r="AG146" i="15" s="1"/>
  <c r="AF143" i="15"/>
  <c r="AG143" i="15" s="1"/>
  <c r="AF135" i="15"/>
  <c r="AG135" i="15" s="1"/>
  <c r="AF130" i="15"/>
  <c r="AG130" i="15" s="1"/>
  <c r="AF122" i="15"/>
  <c r="AG122" i="15" s="1"/>
  <c r="AF116" i="15"/>
  <c r="AG116" i="15" s="1"/>
  <c r="AF104" i="15"/>
  <c r="AG104" i="15" s="1"/>
  <c r="AF101" i="15"/>
  <c r="AG101" i="15" s="1"/>
  <c r="AF96" i="15"/>
  <c r="AG96" i="15" s="1"/>
  <c r="AF93" i="15"/>
  <c r="AG93" i="15" s="1"/>
  <c r="AF88" i="15"/>
  <c r="AG88" i="15" s="1"/>
  <c r="AF85" i="15"/>
  <c r="AG85" i="15" s="1"/>
  <c r="AF79" i="15"/>
  <c r="AG79" i="15" s="1"/>
  <c r="AF74" i="15"/>
  <c r="AG74" i="15" s="1"/>
  <c r="AF71" i="15"/>
  <c r="AG71" i="15" s="1"/>
  <c r="AF35" i="15"/>
  <c r="AG35" i="15" s="1"/>
  <c r="AF27" i="15"/>
  <c r="AG27" i="15" s="1"/>
  <c r="AF19" i="15"/>
  <c r="AG19" i="15" s="1"/>
  <c r="AF209" i="15" l="1"/>
  <c r="E8" i="15" s="1"/>
  <c r="M403" i="24" l="1"/>
  <c r="K404" i="24"/>
  <c r="K355" i="24"/>
  <c r="K354" i="24" s="1"/>
  <c r="M354" i="24"/>
  <c r="K341" i="24"/>
  <c r="G340" i="24"/>
  <c r="K340" i="24" s="1"/>
  <c r="G339" i="24"/>
  <c r="K339" i="24" s="1"/>
  <c r="G338" i="24"/>
  <c r="K338" i="24" s="1"/>
  <c r="G337" i="24"/>
  <c r="K337" i="24" s="1"/>
  <c r="G336" i="24"/>
  <c r="K336" i="24" s="1"/>
  <c r="G335" i="24"/>
  <c r="K335" i="24" s="1"/>
  <c r="G334" i="24"/>
  <c r="K334" i="24" s="1"/>
  <c r="G333" i="24"/>
  <c r="K333" i="24" s="1"/>
  <c r="G332" i="24"/>
  <c r="K332" i="24" s="1"/>
  <c r="G331" i="24"/>
  <c r="K331" i="24" s="1"/>
  <c r="G330" i="24"/>
  <c r="K330" i="24" s="1"/>
  <c r="G329" i="24"/>
  <c r="K329" i="24" s="1"/>
  <c r="G328" i="24"/>
  <c r="K328" i="24" s="1"/>
  <c r="G327" i="24"/>
  <c r="K327" i="24" s="1"/>
  <c r="G326" i="24"/>
  <c r="K326" i="24" s="1"/>
  <c r="G325" i="24"/>
  <c r="K325" i="24" s="1"/>
  <c r="G324" i="24"/>
  <c r="K324" i="24" s="1"/>
  <c r="G323" i="24"/>
  <c r="K323" i="24" s="1"/>
  <c r="G322" i="24"/>
  <c r="K322" i="24" s="1"/>
  <c r="G321" i="24"/>
  <c r="K321" i="24" s="1"/>
  <c r="G320" i="24"/>
  <c r="K320" i="24" s="1"/>
  <c r="G319" i="24"/>
  <c r="K319" i="24" s="1"/>
  <c r="G318" i="24"/>
  <c r="K318" i="24" s="1"/>
  <c r="M343" i="24"/>
  <c r="G408" i="24"/>
  <c r="G401" i="24"/>
  <c r="G400" i="24"/>
  <c r="G399" i="24"/>
  <c r="G398" i="24"/>
  <c r="G397" i="24"/>
  <c r="G396" i="24"/>
  <c r="G395" i="24"/>
  <c r="G394" i="24"/>
  <c r="G393" i="24"/>
  <c r="G392" i="24"/>
  <c r="G391" i="24"/>
  <c r="G390" i="24"/>
  <c r="G389" i="24"/>
  <c r="G388" i="24"/>
  <c r="G387" i="24"/>
  <c r="G386" i="24"/>
  <c r="G385" i="24"/>
  <c r="G384" i="24"/>
  <c r="G383" i="24"/>
  <c r="G382" i="24"/>
  <c r="G381" i="24"/>
  <c r="G380" i="24"/>
  <c r="G379" i="24"/>
  <c r="G378" i="24"/>
  <c r="G377" i="24"/>
  <c r="G376" i="24"/>
  <c r="G375" i="24"/>
  <c r="G374" i="24"/>
  <c r="G373" i="24"/>
  <c r="G372" i="24"/>
  <c r="G359" i="24"/>
  <c r="G351" i="24"/>
  <c r="G350" i="24"/>
  <c r="G349" i="24"/>
  <c r="G348" i="24"/>
  <c r="G347" i="24"/>
  <c r="G346" i="24"/>
  <c r="G345" i="24"/>
  <c r="G412" i="24"/>
  <c r="G422" i="24"/>
  <c r="G427" i="24"/>
  <c r="K306" i="24"/>
  <c r="G312" i="24"/>
  <c r="G311" i="24"/>
  <c r="G310" i="24"/>
  <c r="G309" i="24"/>
  <c r="G308" i="24"/>
  <c r="G305" i="24"/>
  <c r="G304" i="24"/>
  <c r="G303" i="24"/>
  <c r="G302" i="24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M270" i="24"/>
  <c r="K271" i="24"/>
  <c r="G272" i="24"/>
  <c r="K272" i="24" s="1"/>
  <c r="K216" i="24"/>
  <c r="M216" i="24"/>
  <c r="G261" i="24"/>
  <c r="M207" i="24"/>
  <c r="K208" i="24"/>
  <c r="K210" i="24"/>
  <c r="K214" i="24"/>
  <c r="K213" i="24"/>
  <c r="G212" i="24"/>
  <c r="K212" i="24" s="1"/>
  <c r="K211" i="24"/>
  <c r="K108" i="24"/>
  <c r="M108" i="24"/>
  <c r="G187" i="24"/>
  <c r="G185" i="24"/>
  <c r="G183" i="24"/>
  <c r="G172" i="24"/>
  <c r="K207" i="24" l="1"/>
  <c r="K591" i="24" l="1"/>
  <c r="K590" i="24"/>
  <c r="K589" i="24"/>
  <c r="K588" i="24"/>
  <c r="K587" i="24"/>
  <c r="G580" i="24"/>
  <c r="K580" i="24" s="1"/>
  <c r="K579" i="24" s="1"/>
  <c r="M579" i="24"/>
  <c r="G548" i="24"/>
  <c r="K548" i="24" s="1"/>
  <c r="K547" i="24" s="1"/>
  <c r="G543" i="24"/>
  <c r="K543" i="24" s="1"/>
  <c r="K542" i="24" s="1"/>
  <c r="N541" i="24"/>
  <c r="N540" i="24"/>
  <c r="K537" i="24"/>
  <c r="K536" i="24" s="1"/>
  <c r="K534" i="24"/>
  <c r="K533" i="24" s="1"/>
  <c r="N532" i="24"/>
  <c r="N531" i="24"/>
  <c r="N529" i="24"/>
  <c r="N528" i="24"/>
  <c r="N526" i="24"/>
  <c r="N525" i="24"/>
  <c r="N523" i="24"/>
  <c r="N522" i="24"/>
  <c r="N520" i="24"/>
  <c r="N519" i="24"/>
  <c r="N517" i="24"/>
  <c r="N516" i="24"/>
  <c r="N514" i="24"/>
  <c r="N513" i="24"/>
  <c r="N511" i="24"/>
  <c r="N510" i="24"/>
  <c r="N508" i="24"/>
  <c r="N507" i="24"/>
  <c r="N505" i="24"/>
  <c r="N504" i="24"/>
  <c r="K504" i="24"/>
  <c r="K503" i="24" s="1"/>
  <c r="N502" i="24"/>
  <c r="N501" i="24"/>
  <c r="K500" i="24"/>
  <c r="N499" i="24"/>
  <c r="N498" i="24"/>
  <c r="G498" i="24"/>
  <c r="K498" i="24" s="1"/>
  <c r="K497" i="24" s="1"/>
  <c r="N496" i="24"/>
  <c r="N495" i="24"/>
  <c r="G495" i="24"/>
  <c r="K495" i="24" s="1"/>
  <c r="K494" i="24" s="1"/>
  <c r="N493" i="24"/>
  <c r="N492" i="24"/>
  <c r="G492" i="24"/>
  <c r="K492" i="24" s="1"/>
  <c r="K491" i="24" s="1"/>
  <c r="N490" i="24"/>
  <c r="N489" i="24"/>
  <c r="G489" i="24"/>
  <c r="K489" i="24" s="1"/>
  <c r="K488" i="24" s="1"/>
  <c r="N487" i="24"/>
  <c r="N486" i="24"/>
  <c r="G486" i="24"/>
  <c r="K486" i="24" s="1"/>
  <c r="K485" i="24" s="1"/>
  <c r="K483" i="24"/>
  <c r="K482" i="24"/>
  <c r="K481" i="24"/>
  <c r="K480" i="24"/>
  <c r="K479" i="24"/>
  <c r="M478" i="24"/>
  <c r="K477" i="24"/>
  <c r="K476" i="24" s="1"/>
  <c r="M476" i="24"/>
  <c r="M473" i="24"/>
  <c r="K473" i="24"/>
  <c r="M471" i="24"/>
  <c r="K471" i="24"/>
  <c r="M469" i="24"/>
  <c r="K469" i="24"/>
  <c r="K468" i="24"/>
  <c r="K467" i="24"/>
  <c r="K466" i="24"/>
  <c r="K465" i="24"/>
  <c r="K464" i="24"/>
  <c r="K463" i="24"/>
  <c r="M462" i="24"/>
  <c r="K461" i="24"/>
  <c r="K460" i="24" s="1"/>
  <c r="M460" i="24"/>
  <c r="K457" i="24"/>
  <c r="K456" i="24" s="1"/>
  <c r="M456" i="24"/>
  <c r="K454" i="24"/>
  <c r="K453" i="24" s="1"/>
  <c r="M453" i="24"/>
  <c r="K451" i="24"/>
  <c r="K450" i="24" s="1"/>
  <c r="M450" i="24"/>
  <c r="M446" i="24"/>
  <c r="K445" i="24"/>
  <c r="K444" i="24" s="1"/>
  <c r="M444" i="24"/>
  <c r="K443" i="24"/>
  <c r="M442" i="24"/>
  <c r="K442" i="24"/>
  <c r="K441" i="24"/>
  <c r="K440" i="24" s="1"/>
  <c r="M440" i="24"/>
  <c r="K439" i="24"/>
  <c r="K438" i="24" s="1"/>
  <c r="M438" i="24"/>
  <c r="K437" i="24"/>
  <c r="K436" i="24" s="1"/>
  <c r="M436" i="24"/>
  <c r="K435" i="24"/>
  <c r="K434" i="24" s="1"/>
  <c r="M434" i="24"/>
  <c r="K433" i="24"/>
  <c r="K432" i="24" s="1"/>
  <c r="M432" i="24"/>
  <c r="K431" i="24"/>
  <c r="K430" i="24" s="1"/>
  <c r="M430" i="24"/>
  <c r="K429" i="24"/>
  <c r="K428" i="24" s="1"/>
  <c r="M428" i="24"/>
  <c r="K427" i="24"/>
  <c r="K426" i="24" s="1"/>
  <c r="M426" i="24"/>
  <c r="K425" i="24"/>
  <c r="K424" i="24" s="1"/>
  <c r="M424" i="24"/>
  <c r="K423" i="24"/>
  <c r="K422" i="24"/>
  <c r="M421" i="24"/>
  <c r="K420" i="24"/>
  <c r="K419" i="24"/>
  <c r="M418" i="24"/>
  <c r="M416" i="24"/>
  <c r="K416" i="24"/>
  <c r="M413" i="24"/>
  <c r="K413" i="24"/>
  <c r="K412" i="24"/>
  <c r="K315" i="24"/>
  <c r="K314" i="24" s="1"/>
  <c r="M314" i="24"/>
  <c r="G313" i="24"/>
  <c r="K313" i="24" s="1"/>
  <c r="K312" i="24"/>
  <c r="K311" i="24"/>
  <c r="K310" i="24"/>
  <c r="K309" i="24"/>
  <c r="K308" i="24"/>
  <c r="K305" i="24"/>
  <c r="K304" i="24"/>
  <c r="K303" i="24"/>
  <c r="K302" i="24"/>
  <c r="K301" i="24"/>
  <c r="K300" i="24"/>
  <c r="K299" i="24"/>
  <c r="K298" i="24"/>
  <c r="K297" i="24"/>
  <c r="K296" i="24"/>
  <c r="K295" i="24"/>
  <c r="K294" i="24"/>
  <c r="K293" i="24"/>
  <c r="K292" i="24"/>
  <c r="K291" i="24"/>
  <c r="K290" i="24"/>
  <c r="K289" i="24"/>
  <c r="K288" i="24"/>
  <c r="K287" i="24"/>
  <c r="K286" i="24"/>
  <c r="K285" i="24"/>
  <c r="K284" i="24"/>
  <c r="K283" i="24"/>
  <c r="K282" i="24"/>
  <c r="K281" i="24"/>
  <c r="K280" i="24"/>
  <c r="K279" i="24"/>
  <c r="K278" i="24"/>
  <c r="K277" i="24"/>
  <c r="K276" i="24"/>
  <c r="M264" i="24"/>
  <c r="K264" i="24"/>
  <c r="L207" i="24"/>
  <c r="K206" i="24"/>
  <c r="K205" i="24"/>
  <c r="K204" i="24"/>
  <c r="K203" i="24"/>
  <c r="K202" i="24"/>
  <c r="K201" i="24"/>
  <c r="K200" i="24"/>
  <c r="M198" i="24"/>
  <c r="K197" i="24"/>
  <c r="K196" i="24"/>
  <c r="K195" i="24"/>
  <c r="K194" i="24"/>
  <c r="K193" i="24"/>
  <c r="K192" i="24"/>
  <c r="K191" i="24"/>
  <c r="M189" i="24"/>
  <c r="I105" i="24"/>
  <c r="K105" i="24" s="1"/>
  <c r="I104" i="24"/>
  <c r="K104" i="24" s="1"/>
  <c r="I103" i="24"/>
  <c r="K103" i="24" s="1"/>
  <c r="I102" i="24"/>
  <c r="K102" i="24" s="1"/>
  <c r="I101" i="24"/>
  <c r="K101" i="24" s="1"/>
  <c r="I100" i="24"/>
  <c r="K100" i="24" s="1"/>
  <c r="I99" i="24"/>
  <c r="K99" i="24" s="1"/>
  <c r="I98" i="24"/>
  <c r="K98" i="24" s="1"/>
  <c r="I97" i="24"/>
  <c r="K97" i="24" s="1"/>
  <c r="I96" i="24"/>
  <c r="K96" i="24" s="1"/>
  <c r="I95" i="24"/>
  <c r="K95" i="24" s="1"/>
  <c r="I94" i="24"/>
  <c r="G94" i="24"/>
  <c r="I93" i="24"/>
  <c r="K93" i="24" s="1"/>
  <c r="I92" i="24"/>
  <c r="K92" i="24" s="1"/>
  <c r="I91" i="24"/>
  <c r="K91" i="24" s="1"/>
  <c r="I90" i="24"/>
  <c r="K90" i="24" s="1"/>
  <c r="I89" i="24"/>
  <c r="K89" i="24" s="1"/>
  <c r="I88" i="24"/>
  <c r="K88" i="24" s="1"/>
  <c r="I87" i="24"/>
  <c r="K87" i="24" s="1"/>
  <c r="I86" i="24"/>
  <c r="K86" i="24" s="1"/>
  <c r="I85" i="24"/>
  <c r="K85" i="24" s="1"/>
  <c r="I84" i="24"/>
  <c r="K84" i="24" s="1"/>
  <c r="I83" i="24"/>
  <c r="K83" i="24" s="1"/>
  <c r="I82" i="24"/>
  <c r="K82" i="24" s="1"/>
  <c r="I81" i="24"/>
  <c r="K81" i="24" s="1"/>
  <c r="I80" i="24"/>
  <c r="K80" i="24" s="1"/>
  <c r="I79" i="24"/>
  <c r="K79" i="24" s="1"/>
  <c r="I78" i="24"/>
  <c r="K78" i="24" s="1"/>
  <c r="I77" i="24"/>
  <c r="K77" i="24" s="1"/>
  <c r="I76" i="24"/>
  <c r="G76" i="24"/>
  <c r="I75" i="24"/>
  <c r="K75" i="24" s="1"/>
  <c r="I74" i="24"/>
  <c r="K74" i="24" s="1"/>
  <c r="M72" i="24"/>
  <c r="J72" i="24"/>
  <c r="L71" i="24"/>
  <c r="G70" i="24"/>
  <c r="K68" i="24" s="1"/>
  <c r="M68" i="24"/>
  <c r="K67" i="24"/>
  <c r="K66" i="24"/>
  <c r="K65" i="24"/>
  <c r="K64" i="24"/>
  <c r="K63" i="24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2" i="24"/>
  <c r="K31" i="24"/>
  <c r="K30" i="24"/>
  <c r="K29" i="24"/>
  <c r="K28" i="24"/>
  <c r="K27" i="24"/>
  <c r="M25" i="24"/>
  <c r="K25" i="24"/>
  <c r="M24" i="24"/>
  <c r="K24" i="24"/>
  <c r="K22" i="24"/>
  <c r="K21" i="24" s="1"/>
  <c r="M21" i="24"/>
  <c r="K20" i="24"/>
  <c r="K19" i="24" s="1"/>
  <c r="M19" i="24"/>
  <c r="K18" i="24"/>
  <c r="K17" i="24" s="1"/>
  <c r="M17" i="24"/>
  <c r="M16" i="24"/>
  <c r="K16" i="24"/>
  <c r="M15" i="24"/>
  <c r="K15" i="24"/>
  <c r="M14" i="24"/>
  <c r="K14" i="24"/>
  <c r="D8" i="24"/>
  <c r="B8" i="24"/>
  <c r="U15" i="15"/>
  <c r="U16" i="15"/>
  <c r="U17" i="15"/>
  <c r="U18" i="15"/>
  <c r="U19" i="15"/>
  <c r="U21" i="15"/>
  <c r="U22" i="15"/>
  <c r="U23" i="15"/>
  <c r="U24" i="15"/>
  <c r="U26" i="15"/>
  <c r="U27" i="15"/>
  <c r="U28" i="15"/>
  <c r="U29" i="15"/>
  <c r="U30" i="15"/>
  <c r="U31" i="15"/>
  <c r="U32" i="15"/>
  <c r="U33" i="15"/>
  <c r="U34" i="15"/>
  <c r="U35" i="15"/>
  <c r="U36" i="15"/>
  <c r="U37" i="15"/>
  <c r="U38" i="15"/>
  <c r="U40" i="15"/>
  <c r="U41" i="15"/>
  <c r="U42" i="15"/>
  <c r="U43" i="15"/>
  <c r="U44" i="15"/>
  <c r="U45" i="15"/>
  <c r="U46" i="15"/>
  <c r="U47" i="15"/>
  <c r="U48" i="15"/>
  <c r="U49" i="15"/>
  <c r="U50" i="15"/>
  <c r="U51" i="15"/>
  <c r="U52" i="15"/>
  <c r="U53" i="15"/>
  <c r="U54" i="15"/>
  <c r="U56" i="15"/>
  <c r="U57" i="15"/>
  <c r="U58" i="15"/>
  <c r="U59" i="15"/>
  <c r="U61" i="15"/>
  <c r="U62" i="15"/>
  <c r="U63" i="15"/>
  <c r="U64" i="15"/>
  <c r="U66" i="15"/>
  <c r="U67" i="15"/>
  <c r="U68" i="15"/>
  <c r="U69" i="15"/>
  <c r="U70" i="15"/>
  <c r="U71" i="15"/>
  <c r="U72" i="15"/>
  <c r="U73" i="15"/>
  <c r="U75" i="15"/>
  <c r="U76" i="15"/>
  <c r="U77" i="15"/>
  <c r="U78" i="15"/>
  <c r="U79" i="15"/>
  <c r="U80" i="15"/>
  <c r="U82" i="15"/>
  <c r="U83" i="15"/>
  <c r="U84" i="15"/>
  <c r="U85" i="15"/>
  <c r="U86" i="15"/>
  <c r="U87" i="15"/>
  <c r="U88" i="15"/>
  <c r="U90" i="15"/>
  <c r="U91" i="15"/>
  <c r="U92" i="15"/>
  <c r="U93" i="15"/>
  <c r="U94" i="15"/>
  <c r="U95" i="15"/>
  <c r="U96" i="15"/>
  <c r="U97" i="15"/>
  <c r="U98" i="15"/>
  <c r="U99" i="15"/>
  <c r="U100" i="15"/>
  <c r="U101" i="15"/>
  <c r="U102" i="15"/>
  <c r="U103" i="15"/>
  <c r="U104" i="15"/>
  <c r="U105" i="15"/>
  <c r="U106" i="15"/>
  <c r="U107" i="15"/>
  <c r="U108" i="15"/>
  <c r="U109" i="15"/>
  <c r="U110" i="15"/>
  <c r="U111" i="15"/>
  <c r="U112" i="15"/>
  <c r="U113" i="15"/>
  <c r="U114" i="15"/>
  <c r="U115" i="15"/>
  <c r="U116" i="15"/>
  <c r="U117" i="15"/>
  <c r="U119" i="15"/>
  <c r="U120" i="15"/>
  <c r="U121" i="15"/>
  <c r="U122" i="15"/>
  <c r="U123" i="15"/>
  <c r="U124" i="15"/>
  <c r="U125" i="15"/>
  <c r="U126" i="15"/>
  <c r="U128" i="15"/>
  <c r="U129" i="15"/>
  <c r="U130" i="15"/>
  <c r="U131" i="15"/>
  <c r="U132" i="15"/>
  <c r="U133" i="15"/>
  <c r="U134" i="15"/>
  <c r="U135" i="15"/>
  <c r="U136" i="15"/>
  <c r="U138" i="15"/>
  <c r="U139" i="15"/>
  <c r="U140" i="15"/>
  <c r="U141" i="15"/>
  <c r="U142" i="15"/>
  <c r="U143" i="15"/>
  <c r="U144" i="15"/>
  <c r="U145" i="15"/>
  <c r="U146" i="15"/>
  <c r="U147" i="15"/>
  <c r="U148" i="15"/>
  <c r="U149" i="15"/>
  <c r="U150" i="15"/>
  <c r="U151" i="15"/>
  <c r="U152" i="15"/>
  <c r="U153" i="15"/>
  <c r="U154" i="15"/>
  <c r="U155" i="15"/>
  <c r="U156" i="15"/>
  <c r="U157" i="15"/>
  <c r="U158" i="15"/>
  <c r="U159" i="15"/>
  <c r="U161" i="15"/>
  <c r="U162" i="15"/>
  <c r="U163" i="15"/>
  <c r="U164" i="15"/>
  <c r="U165" i="15"/>
  <c r="U166" i="15"/>
  <c r="U167" i="15"/>
  <c r="U168" i="15"/>
  <c r="U169" i="15"/>
  <c r="U170" i="15"/>
  <c r="U171" i="15"/>
  <c r="U172" i="15"/>
  <c r="U174" i="15"/>
  <c r="U175" i="15"/>
  <c r="U176" i="15"/>
  <c r="U177" i="15"/>
  <c r="U178" i="15"/>
  <c r="U179" i="15"/>
  <c r="U180" i="15"/>
  <c r="U181" i="15"/>
  <c r="U182" i="15"/>
  <c r="U183" i="15"/>
  <c r="U184" i="15"/>
  <c r="U185" i="15"/>
  <c r="U186" i="15"/>
  <c r="U187" i="15"/>
  <c r="U188" i="15"/>
  <c r="U189" i="15"/>
  <c r="U190" i="15"/>
  <c r="U191" i="15"/>
  <c r="U192" i="15"/>
  <c r="U194" i="15"/>
  <c r="U195" i="15"/>
  <c r="U197" i="15"/>
  <c r="U198" i="15"/>
  <c r="U199" i="15"/>
  <c r="U200" i="15"/>
  <c r="U201" i="15"/>
  <c r="U202" i="15"/>
  <c r="U203" i="15"/>
  <c r="U204" i="15"/>
  <c r="U205" i="15"/>
  <c r="U206" i="15"/>
  <c r="U207" i="15"/>
  <c r="U208" i="15"/>
  <c r="U14" i="15"/>
  <c r="K274" i="24" l="1"/>
  <c r="K421" i="24"/>
  <c r="K76" i="24"/>
  <c r="G106" i="24"/>
  <c r="K106" i="24" s="1"/>
  <c r="K418" i="24"/>
  <c r="K478" i="24"/>
  <c r="K584" i="24"/>
  <c r="K462" i="24"/>
  <c r="K94" i="24"/>
  <c r="L270" i="24"/>
  <c r="N270" i="24" s="1"/>
  <c r="K189" i="24"/>
  <c r="K198" i="24"/>
  <c r="K273" i="24"/>
  <c r="N207" i="24"/>
  <c r="V196" i="15"/>
  <c r="W196" i="15"/>
  <c r="X196" i="15"/>
  <c r="Y196" i="15"/>
  <c r="Z196" i="15"/>
  <c r="AA196" i="15"/>
  <c r="AB196" i="15"/>
  <c r="AC196" i="15"/>
  <c r="AD196" i="15"/>
  <c r="T197" i="15"/>
  <c r="V197" i="15"/>
  <c r="W197" i="15"/>
  <c r="X197" i="15"/>
  <c r="Y197" i="15"/>
  <c r="Z197" i="15"/>
  <c r="AA197" i="15"/>
  <c r="AB197" i="15"/>
  <c r="AC197" i="15"/>
  <c r="AD197" i="15"/>
  <c r="AE197" i="15"/>
  <c r="T198" i="15"/>
  <c r="V198" i="15"/>
  <c r="W198" i="15"/>
  <c r="X198" i="15"/>
  <c r="Y198" i="15"/>
  <c r="Z198" i="15"/>
  <c r="AA198" i="15"/>
  <c r="AB198" i="15"/>
  <c r="AC198" i="15"/>
  <c r="AD198" i="15"/>
  <c r="AE198" i="15"/>
  <c r="T199" i="15"/>
  <c r="V199" i="15"/>
  <c r="W199" i="15"/>
  <c r="X199" i="15"/>
  <c r="Y199" i="15"/>
  <c r="Z199" i="15"/>
  <c r="AA199" i="15"/>
  <c r="AB199" i="15"/>
  <c r="AC199" i="15"/>
  <c r="AD199" i="15"/>
  <c r="AE199" i="15"/>
  <c r="T200" i="15"/>
  <c r="V200" i="15"/>
  <c r="W200" i="15"/>
  <c r="X200" i="15"/>
  <c r="Y200" i="15"/>
  <c r="Z200" i="15"/>
  <c r="AA200" i="15"/>
  <c r="AB200" i="15"/>
  <c r="AC200" i="15"/>
  <c r="AD200" i="15"/>
  <c r="AE200" i="15"/>
  <c r="T201" i="15"/>
  <c r="V201" i="15"/>
  <c r="W201" i="15"/>
  <c r="X201" i="15"/>
  <c r="Y201" i="15"/>
  <c r="Z201" i="15"/>
  <c r="AA201" i="15"/>
  <c r="AB201" i="15"/>
  <c r="AC201" i="15"/>
  <c r="AD201" i="15"/>
  <c r="AE201" i="15"/>
  <c r="T202" i="15"/>
  <c r="V202" i="15"/>
  <c r="W202" i="15"/>
  <c r="X202" i="15"/>
  <c r="Y202" i="15"/>
  <c r="Z202" i="15"/>
  <c r="AA202" i="15"/>
  <c r="AB202" i="15"/>
  <c r="AC202" i="15"/>
  <c r="AD202" i="15"/>
  <c r="AE202" i="15"/>
  <c r="T203" i="15"/>
  <c r="V203" i="15"/>
  <c r="W203" i="15"/>
  <c r="X203" i="15"/>
  <c r="Y203" i="15"/>
  <c r="Z203" i="15"/>
  <c r="AA203" i="15"/>
  <c r="AB203" i="15"/>
  <c r="AC203" i="15"/>
  <c r="AD203" i="15"/>
  <c r="AE203" i="15"/>
  <c r="T204" i="15"/>
  <c r="V204" i="15"/>
  <c r="W204" i="15"/>
  <c r="X204" i="15"/>
  <c r="Y204" i="15"/>
  <c r="Z204" i="15"/>
  <c r="AA204" i="15"/>
  <c r="AB204" i="15"/>
  <c r="AC204" i="15"/>
  <c r="AD204" i="15"/>
  <c r="AE204" i="15"/>
  <c r="T205" i="15"/>
  <c r="V205" i="15"/>
  <c r="W205" i="15"/>
  <c r="X205" i="15"/>
  <c r="Y205" i="15"/>
  <c r="Z205" i="15"/>
  <c r="AA205" i="15"/>
  <c r="AB205" i="15"/>
  <c r="AC205" i="15"/>
  <c r="AD205" i="15"/>
  <c r="AE205" i="15"/>
  <c r="T206" i="15"/>
  <c r="V206" i="15"/>
  <c r="W206" i="15"/>
  <c r="X206" i="15"/>
  <c r="Y206" i="15"/>
  <c r="Z206" i="15"/>
  <c r="AA206" i="15"/>
  <c r="AB206" i="15"/>
  <c r="AC206" i="15"/>
  <c r="AD206" i="15"/>
  <c r="AE206" i="15"/>
  <c r="T207" i="15"/>
  <c r="V207" i="15"/>
  <c r="W207" i="15"/>
  <c r="X207" i="15"/>
  <c r="Y207" i="15"/>
  <c r="Z207" i="15"/>
  <c r="AA207" i="15"/>
  <c r="AB207" i="15"/>
  <c r="AC207" i="15"/>
  <c r="AD207" i="15"/>
  <c r="AE207" i="15"/>
  <c r="T208" i="15"/>
  <c r="V208" i="15"/>
  <c r="W208" i="15"/>
  <c r="X208" i="15"/>
  <c r="Y208" i="15"/>
  <c r="Z208" i="15"/>
  <c r="AA208" i="15"/>
  <c r="AB208" i="15"/>
  <c r="AC208" i="15"/>
  <c r="AD208" i="15"/>
  <c r="AE208" i="15"/>
  <c r="AE15" i="15"/>
  <c r="AE16" i="15"/>
  <c r="AE17" i="15"/>
  <c r="AE18" i="15"/>
  <c r="AE19" i="15"/>
  <c r="AE20" i="15"/>
  <c r="AE21" i="15"/>
  <c r="AE22" i="15"/>
  <c r="AE23" i="15"/>
  <c r="AE24" i="15"/>
  <c r="AE25" i="15"/>
  <c r="AE26" i="15"/>
  <c r="AE27" i="15"/>
  <c r="AE28" i="15"/>
  <c r="AE29" i="15"/>
  <c r="AE30" i="15"/>
  <c r="AE31" i="15"/>
  <c r="AE32" i="15"/>
  <c r="AE33" i="15"/>
  <c r="AE34" i="15"/>
  <c r="AE35" i="15"/>
  <c r="AE36" i="15"/>
  <c r="AE37" i="15"/>
  <c r="AE38" i="15"/>
  <c r="AE39" i="15"/>
  <c r="AE40" i="15"/>
  <c r="AE41" i="15"/>
  <c r="AE42" i="15"/>
  <c r="AE43" i="15"/>
  <c r="AE44" i="15"/>
  <c r="AE45" i="15"/>
  <c r="AE46" i="15"/>
  <c r="AE47" i="15"/>
  <c r="AE48" i="15"/>
  <c r="AE49" i="15"/>
  <c r="AE50" i="15"/>
  <c r="AE51" i="15"/>
  <c r="AE52" i="15"/>
  <c r="AE53" i="15"/>
  <c r="AE54" i="15"/>
  <c r="AE55" i="15"/>
  <c r="AE56" i="15"/>
  <c r="AE57" i="15"/>
  <c r="AE58" i="15"/>
  <c r="AE59" i="15"/>
  <c r="AE60" i="15"/>
  <c r="AE61" i="15"/>
  <c r="AE62" i="15"/>
  <c r="AE63" i="15"/>
  <c r="AE64" i="15"/>
  <c r="AE65" i="15"/>
  <c r="AE66" i="15"/>
  <c r="AE67" i="15"/>
  <c r="AE68" i="15"/>
  <c r="AE69" i="15"/>
  <c r="AE70" i="15"/>
  <c r="AE71" i="15"/>
  <c r="AE72" i="15"/>
  <c r="AE73" i="15"/>
  <c r="AE74" i="15"/>
  <c r="AE75" i="15"/>
  <c r="AE76" i="15"/>
  <c r="AE77" i="15"/>
  <c r="AE78" i="15"/>
  <c r="AE79" i="15"/>
  <c r="AE80" i="15"/>
  <c r="AE81" i="15"/>
  <c r="AE82" i="15"/>
  <c r="AE83" i="15"/>
  <c r="AE84" i="15"/>
  <c r="AE85" i="15"/>
  <c r="AE86" i="15"/>
  <c r="AE87" i="15"/>
  <c r="AE88" i="15"/>
  <c r="AE89" i="15"/>
  <c r="AE90" i="15"/>
  <c r="AE91" i="15"/>
  <c r="AE92" i="15"/>
  <c r="AE93" i="15"/>
  <c r="AE94" i="15"/>
  <c r="AE95" i="15"/>
  <c r="AE96" i="15"/>
  <c r="AE97" i="15"/>
  <c r="AE98" i="15"/>
  <c r="AE99" i="15"/>
  <c r="AE100" i="15"/>
  <c r="AE101" i="15"/>
  <c r="AE102" i="15"/>
  <c r="AE103" i="15"/>
  <c r="AE104" i="15"/>
  <c r="AE105" i="15"/>
  <c r="AE106" i="15"/>
  <c r="AE107" i="15"/>
  <c r="AE108" i="15"/>
  <c r="AE109" i="15"/>
  <c r="AE110" i="15"/>
  <c r="AE111" i="15"/>
  <c r="AE112" i="15"/>
  <c r="AE113" i="15"/>
  <c r="AE114" i="15"/>
  <c r="AE115" i="15"/>
  <c r="AE116" i="15"/>
  <c r="AE117" i="15"/>
  <c r="AE118" i="15"/>
  <c r="AE119" i="15"/>
  <c r="AE120" i="15"/>
  <c r="AE121" i="15"/>
  <c r="AE122" i="15"/>
  <c r="AE123" i="15"/>
  <c r="AE124" i="15"/>
  <c r="AE125" i="15"/>
  <c r="AE126" i="15"/>
  <c r="AE127" i="15"/>
  <c r="AE128" i="15"/>
  <c r="AE129" i="15"/>
  <c r="AE130" i="15"/>
  <c r="AE131" i="15"/>
  <c r="AE132" i="15"/>
  <c r="AE133" i="15"/>
  <c r="AE134" i="15"/>
  <c r="AE135" i="15"/>
  <c r="AE136" i="15"/>
  <c r="AE137" i="15"/>
  <c r="AE138" i="15"/>
  <c r="AE139" i="15"/>
  <c r="AE140" i="15"/>
  <c r="AE141" i="15"/>
  <c r="AE142" i="15"/>
  <c r="AE143" i="15"/>
  <c r="AE144" i="15"/>
  <c r="AE145" i="15"/>
  <c r="AE146" i="15"/>
  <c r="AE147" i="15"/>
  <c r="AE148" i="15"/>
  <c r="AE149" i="15"/>
  <c r="AE150" i="15"/>
  <c r="AE151" i="15"/>
  <c r="AE152" i="15"/>
  <c r="AE153" i="15"/>
  <c r="AE154" i="15"/>
  <c r="AE155" i="15"/>
  <c r="AE156" i="15"/>
  <c r="AE157" i="15"/>
  <c r="AE158" i="15"/>
  <c r="AE159" i="15"/>
  <c r="AE160" i="15"/>
  <c r="AE161" i="15"/>
  <c r="AE162" i="15"/>
  <c r="AE163" i="15"/>
  <c r="AE164" i="15"/>
  <c r="AE165" i="15"/>
  <c r="AE166" i="15"/>
  <c r="AE167" i="15"/>
  <c r="AE168" i="15"/>
  <c r="AE169" i="15"/>
  <c r="AE170" i="15"/>
  <c r="AE171" i="15"/>
  <c r="AE172" i="15"/>
  <c r="AE173" i="15"/>
  <c r="AE174" i="15"/>
  <c r="AE175" i="15"/>
  <c r="AE176" i="15"/>
  <c r="AE177" i="15"/>
  <c r="AE178" i="15"/>
  <c r="AE179" i="15"/>
  <c r="AE180" i="15"/>
  <c r="AE181" i="15"/>
  <c r="AE182" i="15"/>
  <c r="AE183" i="15"/>
  <c r="AE184" i="15"/>
  <c r="AE185" i="15"/>
  <c r="AE186" i="15"/>
  <c r="AE187" i="15"/>
  <c r="AE188" i="15"/>
  <c r="AE189" i="15"/>
  <c r="AE190" i="15"/>
  <c r="AE191" i="15"/>
  <c r="AE192" i="15"/>
  <c r="AE193" i="15"/>
  <c r="AE194" i="15"/>
  <c r="AE195" i="15"/>
  <c r="AE14" i="15"/>
  <c r="J452" i="24"/>
  <c r="J453" i="24"/>
  <c r="L453" i="24" s="1"/>
  <c r="N453" i="24" s="1"/>
  <c r="J454" i="24"/>
  <c r="J455" i="24"/>
  <c r="J456" i="24"/>
  <c r="L456" i="24" s="1"/>
  <c r="N456" i="24" s="1"/>
  <c r="J457" i="24"/>
  <c r="J458" i="24"/>
  <c r="J485" i="24"/>
  <c r="L485" i="24" s="1"/>
  <c r="N485" i="24" s="1"/>
  <c r="J488" i="24"/>
  <c r="L488" i="24" s="1"/>
  <c r="N488" i="24" s="1"/>
  <c r="J491" i="24"/>
  <c r="L491" i="24" s="1"/>
  <c r="N491" i="24" s="1"/>
  <c r="J494" i="24"/>
  <c r="L494" i="24" s="1"/>
  <c r="N494" i="24" s="1"/>
  <c r="J497" i="24"/>
  <c r="L497" i="24" s="1"/>
  <c r="N497" i="24" s="1"/>
  <c r="J500" i="24"/>
  <c r="L500" i="24" s="1"/>
  <c r="N500" i="24" s="1"/>
  <c r="J503" i="24"/>
  <c r="L503" i="24" s="1"/>
  <c r="N503" i="24" s="1"/>
  <c r="J506" i="24"/>
  <c r="L506" i="24" s="1"/>
  <c r="N506" i="24" s="1"/>
  <c r="J509" i="24"/>
  <c r="L509" i="24" s="1"/>
  <c r="N509" i="24" s="1"/>
  <c r="J512" i="24"/>
  <c r="L512" i="24" s="1"/>
  <c r="N512" i="24" s="1"/>
  <c r="J515" i="24"/>
  <c r="L515" i="24" s="1"/>
  <c r="N515" i="24" s="1"/>
  <c r="J518" i="24"/>
  <c r="L518" i="24" s="1"/>
  <c r="N518" i="24" s="1"/>
  <c r="J521" i="24"/>
  <c r="L521" i="24" s="1"/>
  <c r="N521" i="24" s="1"/>
  <c r="J524" i="24"/>
  <c r="L524" i="24" s="1"/>
  <c r="N524" i="24" s="1"/>
  <c r="J527" i="24"/>
  <c r="L527" i="24" s="1"/>
  <c r="N527" i="24" s="1"/>
  <c r="J530" i="24"/>
  <c r="L530" i="24" s="1"/>
  <c r="N530" i="24" s="1"/>
  <c r="J539" i="24"/>
  <c r="L539" i="24" s="1"/>
  <c r="N539" i="24" s="1"/>
  <c r="J544" i="24"/>
  <c r="L544" i="24" s="1"/>
  <c r="J547" i="24"/>
  <c r="L547" i="24" s="1"/>
  <c r="AH204" i="15" l="1"/>
  <c r="J316" i="24"/>
  <c r="L316" i="24" s="1"/>
  <c r="N316" i="24" s="1"/>
  <c r="AH203" i="15"/>
  <c r="AH205" i="15"/>
  <c r="AE209" i="15"/>
  <c r="K72" i="24"/>
  <c r="L72" i="24" s="1"/>
  <c r="N72" i="24" s="1"/>
  <c r="AH208" i="15"/>
  <c r="AH207" i="15"/>
  <c r="AH206" i="15"/>
  <c r="AH202" i="15"/>
  <c r="AH201" i="15"/>
  <c r="AH200" i="15"/>
  <c r="AH199" i="15"/>
  <c r="AH198" i="15"/>
  <c r="AH197" i="15"/>
  <c r="E8" i="24" l="1"/>
  <c r="M418" i="22"/>
  <c r="M430" i="22"/>
  <c r="K431" i="22"/>
  <c r="K413" i="22"/>
  <c r="K412" i="22" s="1"/>
  <c r="P53" i="15" s="1"/>
  <c r="K409" i="22"/>
  <c r="K408" i="22" s="1"/>
  <c r="P51" i="15" s="1"/>
  <c r="AD51" i="15" s="1"/>
  <c r="AG51" i="15" s="1"/>
  <c r="M400" i="22"/>
  <c r="K401" i="22"/>
  <c r="K400" i="22" s="1"/>
  <c r="P47" i="15" s="1"/>
  <c r="K397" i="22"/>
  <c r="K396" i="22" s="1"/>
  <c r="P45" i="15" s="1"/>
  <c r="K391" i="22"/>
  <c r="G390" i="22"/>
  <c r="K390" i="22" s="1"/>
  <c r="K388" i="22"/>
  <c r="K387" i="22"/>
  <c r="M384" i="22"/>
  <c r="K384" i="22"/>
  <c r="P40" i="15" s="1"/>
  <c r="D8" i="23"/>
  <c r="B8" i="23"/>
  <c r="K559" i="22"/>
  <c r="K558" i="22"/>
  <c r="K557" i="22"/>
  <c r="K556" i="22"/>
  <c r="K555" i="22"/>
  <c r="G548" i="22"/>
  <c r="K548" i="22" s="1"/>
  <c r="K547" i="22" s="1"/>
  <c r="M547" i="22"/>
  <c r="G516" i="22"/>
  <c r="K516" i="22" s="1"/>
  <c r="K515" i="22" s="1"/>
  <c r="G511" i="22"/>
  <c r="K511" i="22" s="1"/>
  <c r="K510" i="22" s="1"/>
  <c r="N509" i="22"/>
  <c r="N508" i="22"/>
  <c r="K505" i="22"/>
  <c r="K504" i="22" s="1"/>
  <c r="K502" i="22"/>
  <c r="K501" i="22" s="1"/>
  <c r="N500" i="22"/>
  <c r="N499" i="22"/>
  <c r="N497" i="22"/>
  <c r="N496" i="22"/>
  <c r="N494" i="22"/>
  <c r="N493" i="22"/>
  <c r="N491" i="22"/>
  <c r="N490" i="22"/>
  <c r="N488" i="22"/>
  <c r="N487" i="22"/>
  <c r="N485" i="22"/>
  <c r="N484" i="22"/>
  <c r="N482" i="22"/>
  <c r="N481" i="22"/>
  <c r="N479" i="22"/>
  <c r="N478" i="22"/>
  <c r="N476" i="22"/>
  <c r="N475" i="22"/>
  <c r="N473" i="22"/>
  <c r="N472" i="22"/>
  <c r="K472" i="22"/>
  <c r="K471" i="22" s="1"/>
  <c r="N470" i="22"/>
  <c r="N469" i="22"/>
  <c r="K468" i="22"/>
  <c r="N467" i="22"/>
  <c r="N466" i="22"/>
  <c r="G466" i="22"/>
  <c r="K466" i="22" s="1"/>
  <c r="K465" i="22" s="1"/>
  <c r="N464" i="22"/>
  <c r="N463" i="22"/>
  <c r="G463" i="22"/>
  <c r="K463" i="22" s="1"/>
  <c r="K462" i="22" s="1"/>
  <c r="N461" i="22"/>
  <c r="N460" i="22"/>
  <c r="G460" i="22"/>
  <c r="K460" i="22" s="1"/>
  <c r="K459" i="22" s="1"/>
  <c r="N458" i="22"/>
  <c r="N457" i="22"/>
  <c r="G457" i="22"/>
  <c r="K457" i="22" s="1"/>
  <c r="K456" i="22" s="1"/>
  <c r="N455" i="22"/>
  <c r="N454" i="22"/>
  <c r="G454" i="22"/>
  <c r="K454" i="22" s="1"/>
  <c r="K453" i="22" s="1"/>
  <c r="K451" i="22"/>
  <c r="K450" i="22"/>
  <c r="K449" i="22"/>
  <c r="K448" i="22"/>
  <c r="K447" i="22"/>
  <c r="M446" i="22"/>
  <c r="K445" i="22"/>
  <c r="K444" i="22" s="1"/>
  <c r="M444" i="22"/>
  <c r="M441" i="22"/>
  <c r="K441" i="22"/>
  <c r="M439" i="22"/>
  <c r="K439" i="22"/>
  <c r="M437" i="22"/>
  <c r="K437" i="22"/>
  <c r="K436" i="22"/>
  <c r="K435" i="22"/>
  <c r="K434" i="22"/>
  <c r="K433" i="22"/>
  <c r="K432" i="22"/>
  <c r="K429" i="22"/>
  <c r="K428" i="22" s="1"/>
  <c r="P82" i="15" s="1"/>
  <c r="AD82" i="15" s="1"/>
  <c r="M428" i="22"/>
  <c r="K425" i="22"/>
  <c r="M424" i="22"/>
  <c r="K422" i="22"/>
  <c r="K421" i="22" s="1"/>
  <c r="M421" i="22"/>
  <c r="K419" i="22"/>
  <c r="K418" i="22" s="1"/>
  <c r="P56" i="15" s="1"/>
  <c r="AD56" i="15" s="1"/>
  <c r="M414" i="22"/>
  <c r="M412" i="22"/>
  <c r="M410" i="22"/>
  <c r="M408" i="22"/>
  <c r="K407" i="22"/>
  <c r="K406" i="22" s="1"/>
  <c r="P50" i="15" s="1"/>
  <c r="M406" i="22"/>
  <c r="K405" i="22"/>
  <c r="K404" i="22" s="1"/>
  <c r="P49" i="15" s="1"/>
  <c r="AD49" i="15" s="1"/>
  <c r="AG49" i="15" s="1"/>
  <c r="M404" i="22"/>
  <c r="K403" i="22"/>
  <c r="K402" i="22" s="1"/>
  <c r="P48" i="15" s="1"/>
  <c r="M402" i="22"/>
  <c r="K399" i="22"/>
  <c r="K398" i="22" s="1"/>
  <c r="P46" i="15" s="1"/>
  <c r="M398" i="22"/>
  <c r="M396" i="22"/>
  <c r="G395" i="22"/>
  <c r="K395" i="22" s="1"/>
  <c r="K394" i="22" s="1"/>
  <c r="M394" i="22"/>
  <c r="K393" i="22"/>
  <c r="K392" i="22" s="1"/>
  <c r="P43" i="15" s="1"/>
  <c r="M392" i="22"/>
  <c r="M389" i="22"/>
  <c r="M386" i="22"/>
  <c r="M381" i="22"/>
  <c r="K381" i="22"/>
  <c r="G380" i="22"/>
  <c r="K380" i="22" s="1"/>
  <c r="G379" i="22"/>
  <c r="K379" i="22" s="1"/>
  <c r="G378" i="22"/>
  <c r="K378" i="22" s="1"/>
  <c r="G377" i="22"/>
  <c r="K377" i="22" s="1"/>
  <c r="G376" i="22"/>
  <c r="K376" i="22" s="1"/>
  <c r="G375" i="22"/>
  <c r="K375" i="22" s="1"/>
  <c r="G374" i="22"/>
  <c r="K374" i="22" s="1"/>
  <c r="G373" i="22"/>
  <c r="K373" i="22" s="1"/>
  <c r="G372" i="22"/>
  <c r="K372" i="22" s="1"/>
  <c r="G371" i="22"/>
  <c r="K371" i="22" s="1"/>
  <c r="G370" i="22"/>
  <c r="K370" i="22" s="1"/>
  <c r="G369" i="22"/>
  <c r="K369" i="22" s="1"/>
  <c r="G368" i="22"/>
  <c r="K368" i="22" s="1"/>
  <c r="G367" i="22"/>
  <c r="K367" i="22" s="1"/>
  <c r="G366" i="22"/>
  <c r="K366" i="22" s="1"/>
  <c r="G365" i="22"/>
  <c r="K365" i="22" s="1"/>
  <c r="G364" i="22"/>
  <c r="K364" i="22" s="1"/>
  <c r="G363" i="22"/>
  <c r="K363" i="22" s="1"/>
  <c r="G362" i="22"/>
  <c r="K362" i="22" s="1"/>
  <c r="G361" i="22"/>
  <c r="K361" i="22" s="1"/>
  <c r="G360" i="22"/>
  <c r="K360" i="22" s="1"/>
  <c r="G359" i="22"/>
  <c r="K359" i="22" s="1"/>
  <c r="G358" i="22"/>
  <c r="K358" i="22" s="1"/>
  <c r="G357" i="22"/>
  <c r="K357" i="22" s="1"/>
  <c r="G356" i="22"/>
  <c r="K356" i="22" s="1"/>
  <c r="G355" i="22"/>
  <c r="K355" i="22" s="1"/>
  <c r="G354" i="22"/>
  <c r="K354" i="22" s="1"/>
  <c r="G353" i="22"/>
  <c r="K353" i="22" s="1"/>
  <c r="G352" i="22"/>
  <c r="K352" i="22" s="1"/>
  <c r="G351" i="22"/>
  <c r="K351" i="22" s="1"/>
  <c r="K349" i="22"/>
  <c r="K348" i="22"/>
  <c r="K347" i="22"/>
  <c r="K346" i="22"/>
  <c r="K345" i="22"/>
  <c r="K344" i="22"/>
  <c r="K343" i="22"/>
  <c r="M340" i="22"/>
  <c r="K340" i="22"/>
  <c r="G338" i="22"/>
  <c r="K338" i="22" s="1"/>
  <c r="G337" i="22"/>
  <c r="K337" i="22" s="1"/>
  <c r="G336" i="22"/>
  <c r="K336" i="22" s="1"/>
  <c r="G335" i="22"/>
  <c r="K335" i="22" s="1"/>
  <c r="G334" i="22"/>
  <c r="K334" i="22" s="1"/>
  <c r="G333" i="22"/>
  <c r="K333" i="22" s="1"/>
  <c r="G332" i="22"/>
  <c r="K332" i="22" s="1"/>
  <c r="M330" i="22"/>
  <c r="K330" i="22"/>
  <c r="G329" i="22"/>
  <c r="K329" i="22" s="1"/>
  <c r="G328" i="22"/>
  <c r="K328" i="22" s="1"/>
  <c r="G327" i="22"/>
  <c r="K327" i="22" s="1"/>
  <c r="G326" i="22"/>
  <c r="K326" i="22" s="1"/>
  <c r="G325" i="22"/>
  <c r="K325" i="22" s="1"/>
  <c r="G324" i="22"/>
  <c r="K324" i="22" s="1"/>
  <c r="G323" i="22"/>
  <c r="K323" i="22" s="1"/>
  <c r="G322" i="22"/>
  <c r="K322" i="22" s="1"/>
  <c r="G321" i="22"/>
  <c r="K321" i="22" s="1"/>
  <c r="G320" i="22"/>
  <c r="K320" i="22" s="1"/>
  <c r="G319" i="22"/>
  <c r="K319" i="22" s="1"/>
  <c r="G318" i="22"/>
  <c r="K318" i="22" s="1"/>
  <c r="G317" i="22"/>
  <c r="K317" i="22" s="1"/>
  <c r="G316" i="22"/>
  <c r="K316" i="22" s="1"/>
  <c r="G315" i="22"/>
  <c r="K315" i="22" s="1"/>
  <c r="G314" i="22"/>
  <c r="K314" i="22" s="1"/>
  <c r="G313" i="22"/>
  <c r="K313" i="22" s="1"/>
  <c r="G312" i="22"/>
  <c r="K312" i="22" s="1"/>
  <c r="G311" i="22"/>
  <c r="K311" i="22" s="1"/>
  <c r="G310" i="22"/>
  <c r="K310" i="22" s="1"/>
  <c r="G309" i="22"/>
  <c r="K309" i="22" s="1"/>
  <c r="G308" i="22"/>
  <c r="K308" i="22" s="1"/>
  <c r="G307" i="22"/>
  <c r="K307" i="22" s="1"/>
  <c r="M304" i="22"/>
  <c r="K303" i="22"/>
  <c r="K302" i="22" s="1"/>
  <c r="M302" i="22"/>
  <c r="G301" i="22"/>
  <c r="K301" i="22" s="1"/>
  <c r="G300" i="22"/>
  <c r="K300" i="22" s="1"/>
  <c r="G299" i="22"/>
  <c r="K299" i="22" s="1"/>
  <c r="G298" i="22"/>
  <c r="K298" i="22" s="1"/>
  <c r="G297" i="22"/>
  <c r="K297" i="22" s="1"/>
  <c r="G296" i="22"/>
  <c r="K296" i="22" s="1"/>
  <c r="G295" i="22"/>
  <c r="K295" i="22" s="1"/>
  <c r="G293" i="22"/>
  <c r="K293" i="22" s="1"/>
  <c r="G292" i="22"/>
  <c r="K292" i="22" s="1"/>
  <c r="G291" i="22"/>
  <c r="K291" i="22" s="1"/>
  <c r="G290" i="22"/>
  <c r="K290" i="22" s="1"/>
  <c r="G289" i="22"/>
  <c r="K289" i="22" s="1"/>
  <c r="G288" i="22"/>
  <c r="K288" i="22" s="1"/>
  <c r="G287" i="22"/>
  <c r="K287" i="22" s="1"/>
  <c r="G286" i="22"/>
  <c r="K286" i="22" s="1"/>
  <c r="G285" i="22"/>
  <c r="K285" i="22" s="1"/>
  <c r="G284" i="22"/>
  <c r="K284" i="22" s="1"/>
  <c r="G283" i="22"/>
  <c r="K283" i="22" s="1"/>
  <c r="G282" i="22"/>
  <c r="K282" i="22" s="1"/>
  <c r="G281" i="22"/>
  <c r="K281" i="22" s="1"/>
  <c r="G280" i="22"/>
  <c r="K280" i="22" s="1"/>
  <c r="G279" i="22"/>
  <c r="K279" i="22" s="1"/>
  <c r="G278" i="22"/>
  <c r="K278" i="22" s="1"/>
  <c r="G277" i="22"/>
  <c r="K277" i="22" s="1"/>
  <c r="G276" i="22"/>
  <c r="K276" i="22" s="1"/>
  <c r="G275" i="22"/>
  <c r="K275" i="22" s="1"/>
  <c r="G274" i="22"/>
  <c r="K274" i="22" s="1"/>
  <c r="G273" i="22"/>
  <c r="K273" i="22" s="1"/>
  <c r="G272" i="22"/>
  <c r="K272" i="22" s="1"/>
  <c r="G271" i="22"/>
  <c r="K271" i="22" s="1"/>
  <c r="G270" i="22"/>
  <c r="K270" i="22" s="1"/>
  <c r="G269" i="22"/>
  <c r="K269" i="22" s="1"/>
  <c r="G268" i="22"/>
  <c r="K268" i="22" s="1"/>
  <c r="G267" i="22"/>
  <c r="K267" i="22" s="1"/>
  <c r="G266" i="22"/>
  <c r="K266" i="22" s="1"/>
  <c r="G265" i="22"/>
  <c r="K265" i="22" s="1"/>
  <c r="G264" i="22"/>
  <c r="K264" i="22" s="1"/>
  <c r="M262" i="22"/>
  <c r="K262" i="22"/>
  <c r="G261" i="22"/>
  <c r="K260" i="22" s="1"/>
  <c r="M260" i="22"/>
  <c r="M257" i="22"/>
  <c r="K257" i="22"/>
  <c r="K256" i="22"/>
  <c r="K255" i="22"/>
  <c r="K254" i="22"/>
  <c r="K253" i="22"/>
  <c r="K252" i="22"/>
  <c r="K251" i="22"/>
  <c r="K250" i="22"/>
  <c r="K248" i="22"/>
  <c r="K247" i="22"/>
  <c r="K246" i="22"/>
  <c r="K245" i="22"/>
  <c r="K244" i="22"/>
  <c r="K243" i="22"/>
  <c r="K242" i="22"/>
  <c r="K241" i="22"/>
  <c r="K240" i="22"/>
  <c r="K239" i="22"/>
  <c r="K238" i="22"/>
  <c r="K237" i="22"/>
  <c r="K236" i="22"/>
  <c r="K235" i="22"/>
  <c r="K234" i="22"/>
  <c r="K233" i="22"/>
  <c r="K232" i="22"/>
  <c r="K231" i="22"/>
  <c r="K230" i="22"/>
  <c r="K229" i="22"/>
  <c r="K228" i="22"/>
  <c r="K227" i="22"/>
  <c r="K226" i="22"/>
  <c r="K225" i="22"/>
  <c r="K224" i="22"/>
  <c r="K223" i="22"/>
  <c r="K222" i="22"/>
  <c r="K221" i="22"/>
  <c r="K220" i="22"/>
  <c r="K219" i="22"/>
  <c r="K218" i="22"/>
  <c r="K216" i="22"/>
  <c r="K215" i="22"/>
  <c r="K214" i="22"/>
  <c r="K213" i="22"/>
  <c r="K212" i="22"/>
  <c r="K211" i="22"/>
  <c r="K210" i="22"/>
  <c r="M208" i="22"/>
  <c r="K208" i="22"/>
  <c r="G207" i="22"/>
  <c r="K207" i="22" s="1"/>
  <c r="G206" i="22"/>
  <c r="K206" i="22" s="1"/>
  <c r="G205" i="22"/>
  <c r="K205" i="22" s="1"/>
  <c r="G204" i="22"/>
  <c r="K204" i="22" s="1"/>
  <c r="G203" i="22"/>
  <c r="K203" i="22" s="1"/>
  <c r="G202" i="22"/>
  <c r="K202" i="22" s="1"/>
  <c r="G201" i="22"/>
  <c r="K201" i="22" s="1"/>
  <c r="G178" i="22"/>
  <c r="G177" i="22"/>
  <c r="G176" i="22"/>
  <c r="G175" i="22"/>
  <c r="G174" i="22"/>
  <c r="K174" i="22" s="1"/>
  <c r="M172" i="22"/>
  <c r="K172" i="22"/>
  <c r="K171" i="22"/>
  <c r="K170" i="22"/>
  <c r="K169" i="22"/>
  <c r="K168" i="22"/>
  <c r="K167" i="22"/>
  <c r="K166" i="22"/>
  <c r="K165" i="22"/>
  <c r="M163" i="22"/>
  <c r="K162" i="22"/>
  <c r="K161" i="22"/>
  <c r="K160" i="22"/>
  <c r="K159" i="22"/>
  <c r="K158" i="22"/>
  <c r="K157" i="22"/>
  <c r="K156" i="22"/>
  <c r="M154" i="22"/>
  <c r="K153" i="22"/>
  <c r="K152" i="22"/>
  <c r="K151" i="22"/>
  <c r="K150" i="22"/>
  <c r="K149" i="22"/>
  <c r="K148" i="22"/>
  <c r="K147" i="22"/>
  <c r="K146" i="22"/>
  <c r="K145" i="22"/>
  <c r="K144" i="22"/>
  <c r="K143" i="22"/>
  <c r="K142" i="22"/>
  <c r="K141" i="22"/>
  <c r="K140" i="22"/>
  <c r="K139" i="22"/>
  <c r="K138" i="22"/>
  <c r="K137" i="22"/>
  <c r="K136" i="22"/>
  <c r="K135" i="22"/>
  <c r="K134" i="22"/>
  <c r="K133" i="22"/>
  <c r="K132" i="22"/>
  <c r="K131" i="22"/>
  <c r="K130" i="22"/>
  <c r="K129" i="22"/>
  <c r="K128" i="22"/>
  <c r="K127" i="22"/>
  <c r="K126" i="22"/>
  <c r="K125" i="22"/>
  <c r="K124" i="22"/>
  <c r="K123" i="22"/>
  <c r="K122" i="22"/>
  <c r="K121" i="22"/>
  <c r="K120" i="22"/>
  <c r="K119" i="22"/>
  <c r="K118" i="22"/>
  <c r="K117" i="22"/>
  <c r="K116" i="22"/>
  <c r="K115" i="22"/>
  <c r="K114" i="22"/>
  <c r="K113" i="22"/>
  <c r="K112" i="22"/>
  <c r="K111" i="22"/>
  <c r="K110" i="22"/>
  <c r="M108" i="22"/>
  <c r="I105" i="22"/>
  <c r="K105" i="22" s="1"/>
  <c r="I104" i="22"/>
  <c r="K104" i="22" s="1"/>
  <c r="I103" i="22"/>
  <c r="K103" i="22" s="1"/>
  <c r="I102" i="22"/>
  <c r="K102" i="22" s="1"/>
  <c r="I101" i="22"/>
  <c r="K101" i="22" s="1"/>
  <c r="I100" i="22"/>
  <c r="K100" i="22" s="1"/>
  <c r="I99" i="22"/>
  <c r="K99" i="22" s="1"/>
  <c r="I98" i="22"/>
  <c r="K98" i="22" s="1"/>
  <c r="I97" i="22"/>
  <c r="K97" i="22" s="1"/>
  <c r="I96" i="22"/>
  <c r="K96" i="22" s="1"/>
  <c r="I95" i="22"/>
  <c r="K95" i="22" s="1"/>
  <c r="I94" i="22"/>
  <c r="G94" i="22"/>
  <c r="I93" i="22"/>
  <c r="K93" i="22" s="1"/>
  <c r="I92" i="22"/>
  <c r="K92" i="22" s="1"/>
  <c r="I91" i="22"/>
  <c r="K91" i="22" s="1"/>
  <c r="I90" i="22"/>
  <c r="K90" i="22" s="1"/>
  <c r="I89" i="22"/>
  <c r="K89" i="22" s="1"/>
  <c r="I88" i="22"/>
  <c r="K88" i="22" s="1"/>
  <c r="I87" i="22"/>
  <c r="K87" i="22" s="1"/>
  <c r="I86" i="22"/>
  <c r="K86" i="22" s="1"/>
  <c r="I85" i="22"/>
  <c r="K85" i="22" s="1"/>
  <c r="I84" i="22"/>
  <c r="K84" i="22" s="1"/>
  <c r="I83" i="22"/>
  <c r="K83" i="22" s="1"/>
  <c r="I82" i="22"/>
  <c r="K82" i="22" s="1"/>
  <c r="I81" i="22"/>
  <c r="K81" i="22" s="1"/>
  <c r="I80" i="22"/>
  <c r="K80" i="22" s="1"/>
  <c r="I79" i="22"/>
  <c r="K79" i="22" s="1"/>
  <c r="I78" i="22"/>
  <c r="K78" i="22" s="1"/>
  <c r="I77" i="22"/>
  <c r="K77" i="22" s="1"/>
  <c r="I76" i="22"/>
  <c r="G76" i="22"/>
  <c r="I75" i="22"/>
  <c r="K75" i="22" s="1"/>
  <c r="I74" i="22"/>
  <c r="K74" i="22" s="1"/>
  <c r="M72" i="22"/>
  <c r="J72" i="22"/>
  <c r="L71" i="22"/>
  <c r="G70" i="22"/>
  <c r="K68" i="22" s="1"/>
  <c r="M68" i="22"/>
  <c r="K67" i="22"/>
  <c r="K66" i="22"/>
  <c r="K65" i="22"/>
  <c r="K64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M25" i="22"/>
  <c r="K25" i="22"/>
  <c r="M24" i="22"/>
  <c r="K24" i="22"/>
  <c r="K22" i="22"/>
  <c r="K21" i="22" s="1"/>
  <c r="M21" i="22"/>
  <c r="K20" i="22"/>
  <c r="K19" i="22" s="1"/>
  <c r="M19" i="22"/>
  <c r="K18" i="22"/>
  <c r="K17" i="22" s="1"/>
  <c r="M17" i="22"/>
  <c r="M16" i="22"/>
  <c r="K16" i="22"/>
  <c r="M15" i="22"/>
  <c r="K15" i="22"/>
  <c r="M14" i="22"/>
  <c r="K14" i="22"/>
  <c r="D8" i="22"/>
  <c r="B8" i="22"/>
  <c r="G454" i="20"/>
  <c r="G451" i="20"/>
  <c r="G404" i="20"/>
  <c r="K404" i="20" s="1"/>
  <c r="G387" i="20"/>
  <c r="K387" i="20" s="1"/>
  <c r="K386" i="20" s="1"/>
  <c r="O42" i="15" s="1"/>
  <c r="G385" i="20"/>
  <c r="K385" i="20" s="1"/>
  <c r="K384" i="20" s="1"/>
  <c r="O41" i="15" s="1"/>
  <c r="G403" i="20"/>
  <c r="K403" i="20" s="1"/>
  <c r="J489" i="20"/>
  <c r="K415" i="20"/>
  <c r="K414" i="20" s="1"/>
  <c r="O56" i="15" s="1"/>
  <c r="AC56" i="15" s="1"/>
  <c r="N451" i="20"/>
  <c r="N452" i="20"/>
  <c r="N454" i="20"/>
  <c r="N455" i="20"/>
  <c r="N457" i="20"/>
  <c r="N458" i="20"/>
  <c r="N460" i="20"/>
  <c r="N461" i="20"/>
  <c r="N463" i="20"/>
  <c r="N464" i="20"/>
  <c r="N466" i="20"/>
  <c r="N467" i="20"/>
  <c r="N469" i="20"/>
  <c r="N470" i="20"/>
  <c r="N472" i="20"/>
  <c r="N473" i="20"/>
  <c r="N475" i="20"/>
  <c r="N476" i="20"/>
  <c r="N478" i="20"/>
  <c r="N479" i="20"/>
  <c r="N481" i="20"/>
  <c r="N482" i="20"/>
  <c r="N484" i="20"/>
  <c r="N485" i="20"/>
  <c r="N487" i="20"/>
  <c r="N488" i="20"/>
  <c r="N490" i="20"/>
  <c r="N491" i="20"/>
  <c r="N493" i="20"/>
  <c r="N494" i="20"/>
  <c r="N496" i="20"/>
  <c r="N497" i="20"/>
  <c r="N505" i="20"/>
  <c r="N506" i="20"/>
  <c r="M443" i="20"/>
  <c r="M438" i="20"/>
  <c r="M436" i="20"/>
  <c r="M434" i="20"/>
  <c r="M441" i="20"/>
  <c r="K438" i="20"/>
  <c r="O110" i="15" s="1"/>
  <c r="K434" i="20"/>
  <c r="O108" i="15" s="1"/>
  <c r="G428" i="20"/>
  <c r="K428" i="20" s="1"/>
  <c r="K429" i="20"/>
  <c r="K430" i="20"/>
  <c r="K431" i="20"/>
  <c r="K432" i="20"/>
  <c r="K445" i="20"/>
  <c r="K446" i="20"/>
  <c r="K447" i="20"/>
  <c r="K448" i="20"/>
  <c r="K444" i="20"/>
  <c r="K442" i="20"/>
  <c r="K441" i="20" s="1"/>
  <c r="O119" i="15" s="1"/>
  <c r="S119" i="15" s="1"/>
  <c r="G508" i="20"/>
  <c r="K508" i="20" s="1"/>
  <c r="K507" i="20" s="1"/>
  <c r="O157" i="15" s="1"/>
  <c r="K502" i="20"/>
  <c r="K501" i="20" s="1"/>
  <c r="O155" i="15" s="1"/>
  <c r="K499" i="20"/>
  <c r="K498" i="20" s="1"/>
  <c r="O154" i="15" s="1"/>
  <c r="AC15" i="15"/>
  <c r="AD15" i="15"/>
  <c r="AC16" i="15"/>
  <c r="AD16" i="15"/>
  <c r="AC17" i="15"/>
  <c r="AD17" i="15"/>
  <c r="AC18" i="15"/>
  <c r="AD18" i="15"/>
  <c r="AC19" i="15"/>
  <c r="AD19" i="15"/>
  <c r="AC20" i="15"/>
  <c r="AD20" i="15"/>
  <c r="AC21" i="15"/>
  <c r="AD21" i="15"/>
  <c r="AC22" i="15"/>
  <c r="AD22" i="15"/>
  <c r="AC23" i="15"/>
  <c r="AD23" i="15"/>
  <c r="AC24" i="15"/>
  <c r="AD24" i="15"/>
  <c r="AC25" i="15"/>
  <c r="AD25" i="15"/>
  <c r="AC26" i="15"/>
  <c r="AD26" i="15"/>
  <c r="AC27" i="15"/>
  <c r="AD27" i="15"/>
  <c r="AC28" i="15"/>
  <c r="AD28" i="15"/>
  <c r="AC29" i="15"/>
  <c r="AD29" i="15"/>
  <c r="AC30" i="15"/>
  <c r="AD30" i="15"/>
  <c r="AC31" i="15"/>
  <c r="AD31" i="15"/>
  <c r="AC32" i="15"/>
  <c r="AD32" i="15"/>
  <c r="AC33" i="15"/>
  <c r="AD33" i="15"/>
  <c r="AC34" i="15"/>
  <c r="AD34" i="15"/>
  <c r="AC35" i="15"/>
  <c r="AD35" i="15"/>
  <c r="AC36" i="15"/>
  <c r="AD36" i="15"/>
  <c r="AC37" i="15"/>
  <c r="AD37" i="15"/>
  <c r="AC38" i="15"/>
  <c r="AD38" i="15"/>
  <c r="AC39" i="15"/>
  <c r="AD39" i="15"/>
  <c r="AC40" i="15"/>
  <c r="AC43" i="15"/>
  <c r="AC44" i="15"/>
  <c r="AD44" i="15"/>
  <c r="AC45" i="15"/>
  <c r="AC46" i="15"/>
  <c r="AC47" i="15"/>
  <c r="AC48" i="15"/>
  <c r="AC49" i="15"/>
  <c r="AC50" i="15"/>
  <c r="AC53" i="15"/>
  <c r="AC54" i="15"/>
  <c r="AD54" i="15"/>
  <c r="AC55" i="15"/>
  <c r="AD55" i="15"/>
  <c r="AC57" i="15"/>
  <c r="AD57" i="15"/>
  <c r="AC58" i="15"/>
  <c r="AD58" i="15"/>
  <c r="AC59" i="15"/>
  <c r="AD59" i="15"/>
  <c r="AC60" i="15"/>
  <c r="AD60" i="15"/>
  <c r="AC61" i="15"/>
  <c r="AD61" i="15"/>
  <c r="AC62" i="15"/>
  <c r="AD62" i="15"/>
  <c r="AC63" i="15"/>
  <c r="AD63" i="15"/>
  <c r="AC64" i="15"/>
  <c r="AD64" i="15"/>
  <c r="AC65" i="15"/>
  <c r="AD65" i="15"/>
  <c r="AC66" i="15"/>
  <c r="AD66" i="15"/>
  <c r="AC67" i="15"/>
  <c r="AD67" i="15"/>
  <c r="AC68" i="15"/>
  <c r="AD68" i="15"/>
  <c r="AC69" i="15"/>
  <c r="AD69" i="15"/>
  <c r="AC70" i="15"/>
  <c r="AD70" i="15"/>
  <c r="AC71" i="15"/>
  <c r="AD71" i="15"/>
  <c r="AC72" i="15"/>
  <c r="AD72" i="15"/>
  <c r="AC73" i="15"/>
  <c r="AD73" i="15"/>
  <c r="AC74" i="15"/>
  <c r="AD74" i="15"/>
  <c r="AC75" i="15"/>
  <c r="AD75" i="15"/>
  <c r="AC76" i="15"/>
  <c r="AD76" i="15"/>
  <c r="AC77" i="15"/>
  <c r="AD77" i="15"/>
  <c r="AC78" i="15"/>
  <c r="AD78" i="15"/>
  <c r="AC79" i="15"/>
  <c r="AD79" i="15"/>
  <c r="AC80" i="15"/>
  <c r="AD80" i="15"/>
  <c r="AC81" i="15"/>
  <c r="AD81" i="15"/>
  <c r="AC84" i="15"/>
  <c r="AD84" i="15"/>
  <c r="AC85" i="15"/>
  <c r="AD85" i="15"/>
  <c r="AC86" i="15"/>
  <c r="AD86" i="15"/>
  <c r="AC87" i="15"/>
  <c r="AD87" i="15"/>
  <c r="AC88" i="15"/>
  <c r="AD88" i="15"/>
  <c r="AC89" i="15"/>
  <c r="AD89" i="15"/>
  <c r="AC90" i="15"/>
  <c r="AD90" i="15"/>
  <c r="AC91" i="15"/>
  <c r="AD91" i="15"/>
  <c r="AC92" i="15"/>
  <c r="AD92" i="15"/>
  <c r="AC93" i="15"/>
  <c r="AD93" i="15"/>
  <c r="AC94" i="15"/>
  <c r="AD94" i="15"/>
  <c r="AC95" i="15"/>
  <c r="AD95" i="15"/>
  <c r="AC96" i="15"/>
  <c r="AD96" i="15"/>
  <c r="AC97" i="15"/>
  <c r="AD97" i="15"/>
  <c r="AC98" i="15"/>
  <c r="AD98" i="15"/>
  <c r="AC99" i="15"/>
  <c r="AD99" i="15"/>
  <c r="AC100" i="15"/>
  <c r="AD100" i="15"/>
  <c r="AC101" i="15"/>
  <c r="AD101" i="15"/>
  <c r="AC102" i="15"/>
  <c r="AD102" i="15"/>
  <c r="AC103" i="15"/>
  <c r="AD103" i="15"/>
  <c r="AC104" i="15"/>
  <c r="AD104" i="15"/>
  <c r="AC105" i="15"/>
  <c r="AD105" i="15"/>
  <c r="AC106" i="15"/>
  <c r="AD106" i="15"/>
  <c r="AC107" i="15"/>
  <c r="AD107" i="15"/>
  <c r="AD108" i="15"/>
  <c r="AD109" i="15"/>
  <c r="AD110" i="15"/>
  <c r="AC111" i="15"/>
  <c r="AD111" i="15"/>
  <c r="AC112" i="15"/>
  <c r="AD112" i="15"/>
  <c r="AC113" i="15"/>
  <c r="AD113" i="15"/>
  <c r="AC114" i="15"/>
  <c r="AD114" i="15"/>
  <c r="AC115" i="15"/>
  <c r="AD115" i="15"/>
  <c r="AC116" i="15"/>
  <c r="AD116" i="15"/>
  <c r="AC117" i="15"/>
  <c r="AD117" i="15"/>
  <c r="AC118" i="15"/>
  <c r="AD118" i="15"/>
  <c r="AD119" i="15"/>
  <c r="AD120" i="15"/>
  <c r="AC121" i="15"/>
  <c r="AD121" i="15"/>
  <c r="AC122" i="15"/>
  <c r="AD122" i="15"/>
  <c r="AC123" i="15"/>
  <c r="AD123" i="15"/>
  <c r="AC124" i="15"/>
  <c r="AD124" i="15"/>
  <c r="AC125" i="15"/>
  <c r="AD125" i="15"/>
  <c r="AC126" i="15"/>
  <c r="AD126" i="15"/>
  <c r="AC127" i="15"/>
  <c r="AD127" i="15"/>
  <c r="AC128" i="15"/>
  <c r="AD128" i="15"/>
  <c r="AC129" i="15"/>
  <c r="AD129" i="15"/>
  <c r="AC130" i="15"/>
  <c r="AD130" i="15"/>
  <c r="AC131" i="15"/>
  <c r="AD131" i="15"/>
  <c r="AC132" i="15"/>
  <c r="AD132" i="15"/>
  <c r="AC133" i="15"/>
  <c r="AD133" i="15"/>
  <c r="AC134" i="15"/>
  <c r="AD134" i="15"/>
  <c r="AC135" i="15"/>
  <c r="AD135" i="15"/>
  <c r="AC136" i="15"/>
  <c r="AD136" i="15"/>
  <c r="AC137" i="15"/>
  <c r="AD137" i="15"/>
  <c r="AC138" i="15"/>
  <c r="AD138" i="15"/>
  <c r="AC139" i="15"/>
  <c r="AD139" i="15"/>
  <c r="AC140" i="15"/>
  <c r="AD140" i="15"/>
  <c r="AC141" i="15"/>
  <c r="AD141" i="15"/>
  <c r="AC142" i="15"/>
  <c r="AD142" i="15"/>
  <c r="AC143" i="15"/>
  <c r="AD143" i="15"/>
  <c r="AC144" i="15"/>
  <c r="AD144" i="15"/>
  <c r="AC145" i="15"/>
  <c r="AD145" i="15"/>
  <c r="AC146" i="15"/>
  <c r="AD146" i="15"/>
  <c r="AC147" i="15"/>
  <c r="AD147" i="15"/>
  <c r="AC148" i="15"/>
  <c r="AD148" i="15"/>
  <c r="AC149" i="15"/>
  <c r="AD149" i="15"/>
  <c r="AC150" i="15"/>
  <c r="AD150" i="15"/>
  <c r="AC151" i="15"/>
  <c r="AD151" i="15"/>
  <c r="AC152" i="15"/>
  <c r="AD152" i="15"/>
  <c r="AC153" i="15"/>
  <c r="AD153" i="15"/>
  <c r="AD154" i="15"/>
  <c r="AD155" i="15"/>
  <c r="AC156" i="15"/>
  <c r="AD156" i="15"/>
  <c r="AD157" i="15"/>
  <c r="AC158" i="15"/>
  <c r="AD158" i="15"/>
  <c r="AC159" i="15"/>
  <c r="AD159" i="15"/>
  <c r="AC160" i="15"/>
  <c r="AD160" i="15"/>
  <c r="AC161" i="15"/>
  <c r="AD161" i="15"/>
  <c r="AC162" i="15"/>
  <c r="AD162" i="15"/>
  <c r="AC163" i="15"/>
  <c r="AD163" i="15"/>
  <c r="AC164" i="15"/>
  <c r="AD164" i="15"/>
  <c r="AC165" i="15"/>
  <c r="AD165" i="15"/>
  <c r="AC166" i="15"/>
  <c r="AD166" i="15"/>
  <c r="AC167" i="15"/>
  <c r="AD167" i="15"/>
  <c r="AC168" i="15"/>
  <c r="AD168" i="15"/>
  <c r="AC169" i="15"/>
  <c r="AD169" i="15"/>
  <c r="AC170" i="15"/>
  <c r="AD170" i="15"/>
  <c r="AC171" i="15"/>
  <c r="AD171" i="15"/>
  <c r="AC172" i="15"/>
  <c r="AD172" i="15"/>
  <c r="AC173" i="15"/>
  <c r="AD173" i="15"/>
  <c r="AC174" i="15"/>
  <c r="AD174" i="15"/>
  <c r="AC175" i="15"/>
  <c r="AD175" i="15"/>
  <c r="AC176" i="15"/>
  <c r="AD176" i="15"/>
  <c r="AC177" i="15"/>
  <c r="AD177" i="15"/>
  <c r="AC178" i="15"/>
  <c r="AD178" i="15"/>
  <c r="AC179" i="15"/>
  <c r="AD179" i="15"/>
  <c r="AC180" i="15"/>
  <c r="AD180" i="15"/>
  <c r="AC181" i="15"/>
  <c r="AD181" i="15"/>
  <c r="AC182" i="15"/>
  <c r="AD182" i="15"/>
  <c r="AC183" i="15"/>
  <c r="AD183" i="15"/>
  <c r="AC184" i="15"/>
  <c r="AD184" i="15"/>
  <c r="AC185" i="15"/>
  <c r="AD185" i="15"/>
  <c r="AC186" i="15"/>
  <c r="AD186" i="15"/>
  <c r="AC187" i="15"/>
  <c r="AD187" i="15"/>
  <c r="AC188" i="15"/>
  <c r="AD188" i="15"/>
  <c r="AC189" i="15"/>
  <c r="AD189" i="15"/>
  <c r="AC190" i="15"/>
  <c r="AD190" i="15"/>
  <c r="AC191" i="15"/>
  <c r="AD191" i="15"/>
  <c r="AC192" i="15"/>
  <c r="AD192" i="15"/>
  <c r="AC193" i="15"/>
  <c r="AD193" i="15"/>
  <c r="AC194" i="15"/>
  <c r="AD194" i="15"/>
  <c r="AC195" i="15"/>
  <c r="AD195" i="15"/>
  <c r="AD14" i="15"/>
  <c r="AC14" i="15"/>
  <c r="AB14" i="15"/>
  <c r="J416" i="20"/>
  <c r="J423" i="22"/>
  <c r="J426" i="22"/>
  <c r="J471" i="20"/>
  <c r="J477" i="22"/>
  <c r="L477" i="22" s="1"/>
  <c r="N477" i="22" s="1"/>
  <c r="J477" i="20"/>
  <c r="J483" i="22"/>
  <c r="L483" i="22" s="1"/>
  <c r="N483" i="22" s="1"/>
  <c r="J486" i="22"/>
  <c r="L486" i="22" s="1"/>
  <c r="N486" i="22" s="1"/>
  <c r="J489" i="22"/>
  <c r="L489" i="22" s="1"/>
  <c r="N489" i="22" s="1"/>
  <c r="J492" i="22"/>
  <c r="L492" i="22" s="1"/>
  <c r="N492" i="22" s="1"/>
  <c r="J495" i="22"/>
  <c r="L495" i="22" s="1"/>
  <c r="N495" i="22" s="1"/>
  <c r="J495" i="20"/>
  <c r="J504" i="20"/>
  <c r="J512" i="22"/>
  <c r="L512" i="22" s="1"/>
  <c r="D8" i="21"/>
  <c r="B8" i="21"/>
  <c r="K557" i="20"/>
  <c r="K556" i="20"/>
  <c r="K555" i="20"/>
  <c r="K554" i="20"/>
  <c r="K553" i="20"/>
  <c r="G546" i="20"/>
  <c r="K546" i="20" s="1"/>
  <c r="K545" i="20" s="1"/>
  <c r="M545" i="20"/>
  <c r="G514" i="20"/>
  <c r="K514" i="20" s="1"/>
  <c r="K513" i="20" s="1"/>
  <c r="K469" i="20"/>
  <c r="K468" i="20" s="1"/>
  <c r="K465" i="20"/>
  <c r="J465" i="20" s="1"/>
  <c r="G463" i="20"/>
  <c r="K463" i="20" s="1"/>
  <c r="K462" i="20" s="1"/>
  <c r="J462" i="20" s="1"/>
  <c r="G460" i="20"/>
  <c r="K460" i="20" s="1"/>
  <c r="K459" i="20" s="1"/>
  <c r="J459" i="20" s="1"/>
  <c r="G457" i="20"/>
  <c r="K457" i="20" s="1"/>
  <c r="K456" i="20" s="1"/>
  <c r="J456" i="20" s="1"/>
  <c r="K454" i="20"/>
  <c r="K453" i="20" s="1"/>
  <c r="K451" i="20"/>
  <c r="K450" i="20" s="1"/>
  <c r="K436" i="20"/>
  <c r="O109" i="15" s="1"/>
  <c r="K433" i="20"/>
  <c r="K425" i="20"/>
  <c r="K424" i="20" s="1"/>
  <c r="O82" i="15" s="1"/>
  <c r="M424" i="20"/>
  <c r="K421" i="20"/>
  <c r="K420" i="20" s="1"/>
  <c r="J420" i="20" s="1"/>
  <c r="M420" i="20"/>
  <c r="K418" i="20"/>
  <c r="K417" i="20" s="1"/>
  <c r="M417" i="20"/>
  <c r="M410" i="20"/>
  <c r="M408" i="20"/>
  <c r="M406" i="20"/>
  <c r="K405" i="20"/>
  <c r="M402" i="20"/>
  <c r="K401" i="20"/>
  <c r="K400" i="20" s="1"/>
  <c r="M400" i="20"/>
  <c r="K399" i="20"/>
  <c r="K398" i="20" s="1"/>
  <c r="M398" i="20"/>
  <c r="K397" i="20"/>
  <c r="K396" i="20" s="1"/>
  <c r="M396" i="20"/>
  <c r="G395" i="20"/>
  <c r="K395" i="20" s="1"/>
  <c r="K394" i="20" s="1"/>
  <c r="M394" i="20"/>
  <c r="G393" i="20"/>
  <c r="K393" i="20" s="1"/>
  <c r="K392" i="20" s="1"/>
  <c r="M392" i="20"/>
  <c r="G391" i="20"/>
  <c r="K391" i="20" s="1"/>
  <c r="K390" i="20" s="1"/>
  <c r="M390" i="20"/>
  <c r="G389" i="20"/>
  <c r="K389" i="20" s="1"/>
  <c r="K388" i="20" s="1"/>
  <c r="M388" i="20"/>
  <c r="M386" i="20"/>
  <c r="M384" i="20"/>
  <c r="M381" i="20"/>
  <c r="K381" i="20"/>
  <c r="G380" i="20"/>
  <c r="K380" i="20" s="1"/>
  <c r="G379" i="20"/>
  <c r="K379" i="20" s="1"/>
  <c r="G378" i="20"/>
  <c r="K378" i="20" s="1"/>
  <c r="G377" i="20"/>
  <c r="K377" i="20" s="1"/>
  <c r="G376" i="20"/>
  <c r="K376" i="20" s="1"/>
  <c r="G375" i="20"/>
  <c r="K375" i="20" s="1"/>
  <c r="G374" i="20"/>
  <c r="K374" i="20" s="1"/>
  <c r="G373" i="20"/>
  <c r="K373" i="20" s="1"/>
  <c r="G372" i="20"/>
  <c r="K372" i="20" s="1"/>
  <c r="G371" i="20"/>
  <c r="K371" i="20" s="1"/>
  <c r="G370" i="20"/>
  <c r="K370" i="20" s="1"/>
  <c r="G369" i="20"/>
  <c r="K369" i="20" s="1"/>
  <c r="G368" i="20"/>
  <c r="K368" i="20" s="1"/>
  <c r="G367" i="20"/>
  <c r="K367" i="20" s="1"/>
  <c r="G366" i="20"/>
  <c r="K366" i="20" s="1"/>
  <c r="G365" i="20"/>
  <c r="K365" i="20" s="1"/>
  <c r="G364" i="20"/>
  <c r="K364" i="20" s="1"/>
  <c r="G363" i="20"/>
  <c r="K363" i="20" s="1"/>
  <c r="G362" i="20"/>
  <c r="K362" i="20" s="1"/>
  <c r="G361" i="20"/>
  <c r="K361" i="20" s="1"/>
  <c r="G360" i="20"/>
  <c r="K360" i="20" s="1"/>
  <c r="G359" i="20"/>
  <c r="K359" i="20" s="1"/>
  <c r="G358" i="20"/>
  <c r="K358" i="20" s="1"/>
  <c r="G357" i="20"/>
  <c r="K357" i="20" s="1"/>
  <c r="G356" i="20"/>
  <c r="K356" i="20" s="1"/>
  <c r="G355" i="20"/>
  <c r="K355" i="20" s="1"/>
  <c r="G354" i="20"/>
  <c r="K354" i="20" s="1"/>
  <c r="G353" i="20"/>
  <c r="K353" i="20" s="1"/>
  <c r="G352" i="20"/>
  <c r="K352" i="20" s="1"/>
  <c r="G351" i="20"/>
  <c r="K351" i="20" s="1"/>
  <c r="K349" i="20"/>
  <c r="K348" i="20"/>
  <c r="K347" i="20"/>
  <c r="K346" i="20"/>
  <c r="K345" i="20"/>
  <c r="K344" i="20"/>
  <c r="K343" i="20"/>
  <c r="M340" i="20"/>
  <c r="K340" i="20"/>
  <c r="G338" i="20"/>
  <c r="K338" i="20" s="1"/>
  <c r="G337" i="20"/>
  <c r="K337" i="20" s="1"/>
  <c r="G336" i="20"/>
  <c r="K336" i="20" s="1"/>
  <c r="G335" i="20"/>
  <c r="K335" i="20" s="1"/>
  <c r="G334" i="20"/>
  <c r="K334" i="20" s="1"/>
  <c r="G333" i="20"/>
  <c r="K333" i="20" s="1"/>
  <c r="G332" i="20"/>
  <c r="K332" i="20" s="1"/>
  <c r="M330" i="20"/>
  <c r="K330" i="20"/>
  <c r="G329" i="20"/>
  <c r="K329" i="20" s="1"/>
  <c r="G328" i="20"/>
  <c r="K328" i="20" s="1"/>
  <c r="G327" i="20"/>
  <c r="K327" i="20" s="1"/>
  <c r="G326" i="20"/>
  <c r="K326" i="20" s="1"/>
  <c r="G325" i="20"/>
  <c r="K325" i="20" s="1"/>
  <c r="G324" i="20"/>
  <c r="K324" i="20" s="1"/>
  <c r="G323" i="20"/>
  <c r="K323" i="20" s="1"/>
  <c r="G322" i="20"/>
  <c r="K322" i="20" s="1"/>
  <c r="G321" i="20"/>
  <c r="K321" i="20" s="1"/>
  <c r="G320" i="20"/>
  <c r="K320" i="20" s="1"/>
  <c r="G319" i="20"/>
  <c r="K319" i="20" s="1"/>
  <c r="G318" i="20"/>
  <c r="K318" i="20" s="1"/>
  <c r="G317" i="20"/>
  <c r="K317" i="20" s="1"/>
  <c r="G316" i="20"/>
  <c r="K316" i="20" s="1"/>
  <c r="G315" i="20"/>
  <c r="K315" i="20" s="1"/>
  <c r="G314" i="20"/>
  <c r="K314" i="20" s="1"/>
  <c r="G313" i="20"/>
  <c r="K313" i="20" s="1"/>
  <c r="G312" i="20"/>
  <c r="K312" i="20" s="1"/>
  <c r="G311" i="20"/>
  <c r="K311" i="20" s="1"/>
  <c r="G310" i="20"/>
  <c r="K310" i="20" s="1"/>
  <c r="G309" i="20"/>
  <c r="K309" i="20" s="1"/>
  <c r="G308" i="20"/>
  <c r="K308" i="20" s="1"/>
  <c r="G307" i="20"/>
  <c r="K307" i="20" s="1"/>
  <c r="M304" i="20"/>
  <c r="K303" i="20"/>
  <c r="K302" i="20" s="1"/>
  <c r="M302" i="20"/>
  <c r="G301" i="20"/>
  <c r="K301" i="20" s="1"/>
  <c r="G300" i="20"/>
  <c r="K300" i="20" s="1"/>
  <c r="G299" i="20"/>
  <c r="K299" i="20" s="1"/>
  <c r="G298" i="20"/>
  <c r="K298" i="20" s="1"/>
  <c r="G297" i="20"/>
  <c r="K297" i="20" s="1"/>
  <c r="G296" i="20"/>
  <c r="K296" i="20" s="1"/>
  <c r="G295" i="20"/>
  <c r="K295" i="20" s="1"/>
  <c r="G293" i="20"/>
  <c r="K293" i="20" s="1"/>
  <c r="G292" i="20"/>
  <c r="K292" i="20" s="1"/>
  <c r="G291" i="20"/>
  <c r="K291" i="20" s="1"/>
  <c r="G290" i="20"/>
  <c r="K290" i="20" s="1"/>
  <c r="G289" i="20"/>
  <c r="K289" i="20" s="1"/>
  <c r="G288" i="20"/>
  <c r="K288" i="20" s="1"/>
  <c r="G287" i="20"/>
  <c r="K287" i="20" s="1"/>
  <c r="G286" i="20"/>
  <c r="K286" i="20" s="1"/>
  <c r="G285" i="20"/>
  <c r="K285" i="20" s="1"/>
  <c r="G284" i="20"/>
  <c r="K284" i="20" s="1"/>
  <c r="G283" i="20"/>
  <c r="K283" i="20" s="1"/>
  <c r="G282" i="20"/>
  <c r="K282" i="20" s="1"/>
  <c r="G281" i="20"/>
  <c r="K281" i="20" s="1"/>
  <c r="G280" i="20"/>
  <c r="K280" i="20" s="1"/>
  <c r="G279" i="20"/>
  <c r="K279" i="20" s="1"/>
  <c r="G278" i="20"/>
  <c r="K278" i="20" s="1"/>
  <c r="G277" i="20"/>
  <c r="K277" i="20" s="1"/>
  <c r="G276" i="20"/>
  <c r="K276" i="20" s="1"/>
  <c r="G275" i="20"/>
  <c r="K275" i="20" s="1"/>
  <c r="G274" i="20"/>
  <c r="K274" i="20" s="1"/>
  <c r="G273" i="20"/>
  <c r="K273" i="20" s="1"/>
  <c r="G272" i="20"/>
  <c r="K272" i="20" s="1"/>
  <c r="G271" i="20"/>
  <c r="K271" i="20" s="1"/>
  <c r="G270" i="20"/>
  <c r="K270" i="20" s="1"/>
  <c r="G269" i="20"/>
  <c r="K269" i="20" s="1"/>
  <c r="G268" i="20"/>
  <c r="K268" i="20" s="1"/>
  <c r="G267" i="20"/>
  <c r="K267" i="20" s="1"/>
  <c r="G266" i="20"/>
  <c r="K266" i="20" s="1"/>
  <c r="G265" i="20"/>
  <c r="K265" i="20" s="1"/>
  <c r="G264" i="20"/>
  <c r="K264" i="20" s="1"/>
  <c r="M262" i="20"/>
  <c r="K262" i="20"/>
  <c r="G261" i="20"/>
  <c r="K260" i="20" s="1"/>
  <c r="M260" i="20"/>
  <c r="M257" i="20"/>
  <c r="K257" i="20"/>
  <c r="K256" i="20"/>
  <c r="K255" i="20"/>
  <c r="K254" i="20"/>
  <c r="K253" i="20"/>
  <c r="K252" i="20"/>
  <c r="K251" i="20"/>
  <c r="K250" i="20"/>
  <c r="K248" i="20"/>
  <c r="K247" i="20"/>
  <c r="K246" i="20"/>
  <c r="K245" i="20"/>
  <c r="K244" i="20"/>
  <c r="K243" i="20"/>
  <c r="K242" i="20"/>
  <c r="K241" i="20"/>
  <c r="K240" i="20"/>
  <c r="K239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6" i="20"/>
  <c r="K215" i="20"/>
  <c r="K214" i="20"/>
  <c r="K213" i="20"/>
  <c r="K212" i="20"/>
  <c r="K211" i="20"/>
  <c r="K210" i="20"/>
  <c r="M208" i="20"/>
  <c r="K208" i="20"/>
  <c r="G207" i="20"/>
  <c r="K207" i="20" s="1"/>
  <c r="G206" i="20"/>
  <c r="K206" i="20" s="1"/>
  <c r="G205" i="20"/>
  <c r="K205" i="20" s="1"/>
  <c r="G204" i="20"/>
  <c r="K204" i="20" s="1"/>
  <c r="G203" i="20"/>
  <c r="K203" i="20" s="1"/>
  <c r="G202" i="20"/>
  <c r="K202" i="20" s="1"/>
  <c r="G201" i="20"/>
  <c r="K201" i="20" s="1"/>
  <c r="G178" i="20"/>
  <c r="G177" i="20"/>
  <c r="G176" i="20"/>
  <c r="G175" i="20"/>
  <c r="G174" i="20"/>
  <c r="K174" i="20" s="1"/>
  <c r="M172" i="20"/>
  <c r="K172" i="20"/>
  <c r="K171" i="20"/>
  <c r="K170" i="20"/>
  <c r="K169" i="20"/>
  <c r="K168" i="20"/>
  <c r="K167" i="20"/>
  <c r="K166" i="20"/>
  <c r="K165" i="20"/>
  <c r="M163" i="20"/>
  <c r="K162" i="20"/>
  <c r="K161" i="20"/>
  <c r="K160" i="20"/>
  <c r="K159" i="20"/>
  <c r="K158" i="20"/>
  <c r="K157" i="20"/>
  <c r="K156" i="20"/>
  <c r="M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M108" i="20"/>
  <c r="I105" i="20"/>
  <c r="K105" i="20" s="1"/>
  <c r="I104" i="20"/>
  <c r="K104" i="20" s="1"/>
  <c r="I103" i="20"/>
  <c r="K103" i="20" s="1"/>
  <c r="I102" i="20"/>
  <c r="K102" i="20" s="1"/>
  <c r="I101" i="20"/>
  <c r="K101" i="20" s="1"/>
  <c r="I100" i="20"/>
  <c r="K100" i="20" s="1"/>
  <c r="I99" i="20"/>
  <c r="K99" i="20" s="1"/>
  <c r="I98" i="20"/>
  <c r="K98" i="20" s="1"/>
  <c r="I97" i="20"/>
  <c r="K97" i="20" s="1"/>
  <c r="I96" i="20"/>
  <c r="K96" i="20" s="1"/>
  <c r="I95" i="20"/>
  <c r="K95" i="20" s="1"/>
  <c r="I94" i="20"/>
  <c r="G94" i="20"/>
  <c r="I93" i="20"/>
  <c r="K93" i="20" s="1"/>
  <c r="I92" i="20"/>
  <c r="K92" i="20" s="1"/>
  <c r="I91" i="20"/>
  <c r="K91" i="20" s="1"/>
  <c r="I90" i="20"/>
  <c r="K90" i="20" s="1"/>
  <c r="I89" i="20"/>
  <c r="K89" i="20" s="1"/>
  <c r="I88" i="20"/>
  <c r="K88" i="20" s="1"/>
  <c r="I87" i="20"/>
  <c r="K87" i="20" s="1"/>
  <c r="I86" i="20"/>
  <c r="K86" i="20" s="1"/>
  <c r="I85" i="20"/>
  <c r="K85" i="20" s="1"/>
  <c r="I84" i="20"/>
  <c r="K84" i="20" s="1"/>
  <c r="I83" i="20"/>
  <c r="K83" i="20" s="1"/>
  <c r="I82" i="20"/>
  <c r="K82" i="20" s="1"/>
  <c r="I81" i="20"/>
  <c r="K81" i="20" s="1"/>
  <c r="I80" i="20"/>
  <c r="K80" i="20" s="1"/>
  <c r="I79" i="20"/>
  <c r="K79" i="20" s="1"/>
  <c r="I78" i="20"/>
  <c r="K78" i="20" s="1"/>
  <c r="I77" i="20"/>
  <c r="K77" i="20" s="1"/>
  <c r="I76" i="20"/>
  <c r="G76" i="20"/>
  <c r="I75" i="20"/>
  <c r="K75" i="20" s="1"/>
  <c r="I74" i="20"/>
  <c r="K74" i="20" s="1"/>
  <c r="M72" i="20"/>
  <c r="J72" i="20"/>
  <c r="L71" i="20"/>
  <c r="G70" i="20"/>
  <c r="K68" i="20" s="1"/>
  <c r="M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M25" i="20"/>
  <c r="K25" i="20"/>
  <c r="M24" i="20"/>
  <c r="K24" i="20"/>
  <c r="K22" i="20"/>
  <c r="K21" i="20" s="1"/>
  <c r="M21" i="20"/>
  <c r="K20" i="20"/>
  <c r="K19" i="20" s="1"/>
  <c r="M19" i="20"/>
  <c r="K18" i="20"/>
  <c r="K17" i="20" s="1"/>
  <c r="M17" i="20"/>
  <c r="M16" i="20"/>
  <c r="K16" i="20"/>
  <c r="M15" i="20"/>
  <c r="K15" i="20"/>
  <c r="M14" i="20"/>
  <c r="K14" i="20"/>
  <c r="D8" i="20"/>
  <c r="B8" i="20"/>
  <c r="B8" i="19"/>
  <c r="D8" i="19"/>
  <c r="B8" i="18"/>
  <c r="D8" i="18"/>
  <c r="G513" i="18"/>
  <c r="G507" i="18"/>
  <c r="K507" i="18" s="1"/>
  <c r="K506" i="18" s="1"/>
  <c r="G501" i="18"/>
  <c r="K501" i="18" s="1"/>
  <c r="K500" i="18" s="1"/>
  <c r="G498" i="18"/>
  <c r="G462" i="18"/>
  <c r="K462" i="18" s="1"/>
  <c r="K461" i="18" s="1"/>
  <c r="G459" i="18"/>
  <c r="G456" i="18"/>
  <c r="G453" i="18"/>
  <c r="K453" i="18" s="1"/>
  <c r="K452" i="18" s="1"/>
  <c r="G450" i="18"/>
  <c r="K450" i="18" s="1"/>
  <c r="K449" i="18" s="1"/>
  <c r="K513" i="18"/>
  <c r="K512" i="18" s="1"/>
  <c r="K498" i="18"/>
  <c r="K497" i="18" s="1"/>
  <c r="K467" i="18"/>
  <c r="K468" i="18"/>
  <c r="K464" i="18"/>
  <c r="K459" i="18"/>
  <c r="K458" i="18" s="1"/>
  <c r="K456" i="18"/>
  <c r="K455" i="18" s="1"/>
  <c r="M432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34" i="18"/>
  <c r="K432" i="18" s="1"/>
  <c r="M421" i="18"/>
  <c r="K422" i="18"/>
  <c r="K421" i="18" s="1"/>
  <c r="N82" i="15" s="1"/>
  <c r="M417" i="18"/>
  <c r="K418" i="18"/>
  <c r="K417" i="18" s="1"/>
  <c r="N63" i="15" s="1"/>
  <c r="S63" i="15" s="1"/>
  <c r="K405" i="18"/>
  <c r="K406" i="18"/>
  <c r="AG56" i="15" l="1"/>
  <c r="S82" i="15"/>
  <c r="J460" i="24" s="1"/>
  <c r="L460" i="24" s="1"/>
  <c r="N460" i="24" s="1"/>
  <c r="S157" i="15"/>
  <c r="J507" i="20" s="1"/>
  <c r="S154" i="15"/>
  <c r="J533" i="24" s="1"/>
  <c r="L533" i="24" s="1"/>
  <c r="N533" i="24" s="1"/>
  <c r="S155" i="15"/>
  <c r="J536" i="24" s="1"/>
  <c r="L536" i="24" s="1"/>
  <c r="N536" i="24" s="1"/>
  <c r="S109" i="15"/>
  <c r="J436" i="20" s="1"/>
  <c r="S110" i="15"/>
  <c r="J473" i="24" s="1"/>
  <c r="L473" i="24" s="1"/>
  <c r="N473" i="24" s="1"/>
  <c r="J492" i="20"/>
  <c r="J422" i="20"/>
  <c r="J471" i="22"/>
  <c r="L471" i="22" s="1"/>
  <c r="N471" i="22" s="1"/>
  <c r="J507" i="22"/>
  <c r="L507" i="22" s="1"/>
  <c r="N507" i="22" s="1"/>
  <c r="J468" i="20"/>
  <c r="J421" i="20"/>
  <c r="J420" i="22"/>
  <c r="J456" i="22"/>
  <c r="L456" i="22" s="1"/>
  <c r="N456" i="22" s="1"/>
  <c r="J480" i="22"/>
  <c r="L480" i="22" s="1"/>
  <c r="N480" i="22" s="1"/>
  <c r="J486" i="20"/>
  <c r="J419" i="20"/>
  <c r="J465" i="22"/>
  <c r="L465" i="22" s="1"/>
  <c r="N465" i="22" s="1"/>
  <c r="J450" i="20"/>
  <c r="J483" i="20"/>
  <c r="J421" i="22"/>
  <c r="L421" i="22" s="1"/>
  <c r="N421" i="22" s="1"/>
  <c r="J474" i="22"/>
  <c r="L474" i="22" s="1"/>
  <c r="N474" i="22" s="1"/>
  <c r="J498" i="22"/>
  <c r="L498" i="22" s="1"/>
  <c r="N498" i="22" s="1"/>
  <c r="J480" i="20"/>
  <c r="J459" i="22"/>
  <c r="L459" i="22" s="1"/>
  <c r="N459" i="22" s="1"/>
  <c r="J468" i="22"/>
  <c r="L468" i="22" s="1"/>
  <c r="N468" i="22" s="1"/>
  <c r="J515" i="22"/>
  <c r="L515" i="22" s="1"/>
  <c r="J474" i="20"/>
  <c r="J425" i="22"/>
  <c r="J453" i="22"/>
  <c r="L453" i="22" s="1"/>
  <c r="N453" i="22" s="1"/>
  <c r="J501" i="22"/>
  <c r="L501" i="22" s="1"/>
  <c r="N501" i="22" s="1"/>
  <c r="J462" i="22"/>
  <c r="L462" i="22" s="1"/>
  <c r="N462" i="22" s="1"/>
  <c r="AD53" i="15"/>
  <c r="AD48" i="15"/>
  <c r="AG48" i="15" s="1"/>
  <c r="AD50" i="15"/>
  <c r="AG50" i="15" s="1"/>
  <c r="AD47" i="15"/>
  <c r="AG47" i="15" s="1"/>
  <c r="AD45" i="15"/>
  <c r="AG45" i="15" s="1"/>
  <c r="J422" i="22"/>
  <c r="AD46" i="15"/>
  <c r="AG46" i="15" s="1"/>
  <c r="K386" i="22"/>
  <c r="P41" i="15" s="1"/>
  <c r="AD41" i="15" s="1"/>
  <c r="K389" i="22"/>
  <c r="P42" i="15" s="1"/>
  <c r="AD42" i="15" s="1"/>
  <c r="AD43" i="15"/>
  <c r="AG43" i="15" s="1"/>
  <c r="AD40" i="15"/>
  <c r="AG40" i="15" s="1"/>
  <c r="G106" i="22"/>
  <c r="K106" i="22" s="1"/>
  <c r="K94" i="22"/>
  <c r="K108" i="22"/>
  <c r="L108" i="22" s="1"/>
  <c r="N108" i="22" s="1"/>
  <c r="K261" i="22"/>
  <c r="K430" i="22"/>
  <c r="P83" i="15" s="1"/>
  <c r="AD83" i="15" s="1"/>
  <c r="K424" i="22"/>
  <c r="J424" i="22" s="1"/>
  <c r="L424" i="22" s="1"/>
  <c r="N424" i="22" s="1"/>
  <c r="J208" i="22"/>
  <c r="L208" i="22" s="1"/>
  <c r="N208" i="22" s="1"/>
  <c r="K304" i="22"/>
  <c r="L304" i="22" s="1"/>
  <c r="N304" i="22" s="1"/>
  <c r="K163" i="22"/>
  <c r="K552" i="22"/>
  <c r="K154" i="22"/>
  <c r="K446" i="22"/>
  <c r="K76" i="22"/>
  <c r="J453" i="20"/>
  <c r="K402" i="20"/>
  <c r="G407" i="20" s="1"/>
  <c r="AC110" i="15"/>
  <c r="AG110" i="15" s="1"/>
  <c r="AC42" i="15"/>
  <c r="AG42" i="15" s="1"/>
  <c r="AC108" i="15"/>
  <c r="AG108" i="15" s="1"/>
  <c r="J418" i="20"/>
  <c r="K443" i="20"/>
  <c r="O120" i="15" s="1"/>
  <c r="S120" i="15" s="1"/>
  <c r="J417" i="20"/>
  <c r="L417" i="20" s="1"/>
  <c r="N417" i="20" s="1"/>
  <c r="AC41" i="15"/>
  <c r="AC109" i="15"/>
  <c r="AG109" i="15" s="1"/>
  <c r="K427" i="20"/>
  <c r="O83" i="15" s="1"/>
  <c r="AC82" i="15"/>
  <c r="AC119" i="15"/>
  <c r="AG119" i="15" s="1"/>
  <c r="AC154" i="15"/>
  <c r="J498" i="20"/>
  <c r="AC155" i="15"/>
  <c r="AC157" i="15"/>
  <c r="K76" i="20"/>
  <c r="K261" i="20"/>
  <c r="K94" i="20"/>
  <c r="K154" i="20"/>
  <c r="K550" i="20"/>
  <c r="K163" i="20"/>
  <c r="K108" i="20"/>
  <c r="L108" i="20" s="1"/>
  <c r="N108" i="20" s="1"/>
  <c r="J208" i="20"/>
  <c r="L208" i="20" s="1"/>
  <c r="N208" i="20" s="1"/>
  <c r="L462" i="20"/>
  <c r="N462" i="20" s="1"/>
  <c r="K304" i="20"/>
  <c r="L304" i="20" s="1"/>
  <c r="N304" i="20" s="1"/>
  <c r="G106" i="20"/>
  <c r="K106" i="20" s="1"/>
  <c r="AB119" i="15"/>
  <c r="M386" i="18"/>
  <c r="K387" i="18"/>
  <c r="K386" i="18" s="1"/>
  <c r="AB42" i="15" s="1"/>
  <c r="K556" i="18"/>
  <c r="K555" i="18"/>
  <c r="K554" i="18"/>
  <c r="K553" i="18"/>
  <c r="K552" i="18"/>
  <c r="G545" i="18"/>
  <c r="K545" i="18" s="1"/>
  <c r="K544" i="18" s="1"/>
  <c r="M544" i="18"/>
  <c r="M429" i="18"/>
  <c r="K429" i="18"/>
  <c r="M427" i="18"/>
  <c r="K427" i="18"/>
  <c r="K426" i="18"/>
  <c r="K425" i="18" s="1"/>
  <c r="L425" i="18" s="1"/>
  <c r="M425" i="18"/>
  <c r="K424" i="18"/>
  <c r="K415" i="18"/>
  <c r="M414" i="18"/>
  <c r="K412" i="18"/>
  <c r="K411" i="18" s="1"/>
  <c r="L411" i="18" s="1"/>
  <c r="M411" i="18"/>
  <c r="K410" i="18"/>
  <c r="K409" i="18" s="1"/>
  <c r="M409" i="18"/>
  <c r="M407" i="18"/>
  <c r="K404" i="18"/>
  <c r="M403" i="18"/>
  <c r="K402" i="18"/>
  <c r="K401" i="18" s="1"/>
  <c r="M401" i="18"/>
  <c r="K400" i="18"/>
  <c r="K399" i="18" s="1"/>
  <c r="M399" i="18"/>
  <c r="K398" i="18"/>
  <c r="K397" i="18" s="1"/>
  <c r="M397" i="18"/>
  <c r="G396" i="18"/>
  <c r="K396" i="18" s="1"/>
  <c r="K395" i="18" s="1"/>
  <c r="M395" i="18"/>
  <c r="G394" i="18"/>
  <c r="K394" i="18" s="1"/>
  <c r="K393" i="18" s="1"/>
  <c r="M393" i="18"/>
  <c r="G392" i="18"/>
  <c r="K392" i="18" s="1"/>
  <c r="K391" i="18" s="1"/>
  <c r="M391" i="18"/>
  <c r="G390" i="18"/>
  <c r="K390" i="18" s="1"/>
  <c r="K389" i="18" s="1"/>
  <c r="M389" i="18"/>
  <c r="K385" i="18"/>
  <c r="M384" i="18"/>
  <c r="K384" i="18"/>
  <c r="M381" i="18"/>
  <c r="K381" i="18"/>
  <c r="G380" i="18"/>
  <c r="K380" i="18" s="1"/>
  <c r="G379" i="18"/>
  <c r="K379" i="18" s="1"/>
  <c r="G378" i="18"/>
  <c r="K378" i="18" s="1"/>
  <c r="G377" i="18"/>
  <c r="K377" i="18" s="1"/>
  <c r="G376" i="18"/>
  <c r="K376" i="18" s="1"/>
  <c r="G375" i="18"/>
  <c r="K375" i="18" s="1"/>
  <c r="G374" i="18"/>
  <c r="K374" i="18" s="1"/>
  <c r="G373" i="18"/>
  <c r="K373" i="18" s="1"/>
  <c r="G372" i="18"/>
  <c r="K372" i="18" s="1"/>
  <c r="G371" i="18"/>
  <c r="K371" i="18" s="1"/>
  <c r="G370" i="18"/>
  <c r="K370" i="18" s="1"/>
  <c r="G369" i="18"/>
  <c r="K369" i="18" s="1"/>
  <c r="G368" i="18"/>
  <c r="K368" i="18" s="1"/>
  <c r="G367" i="18"/>
  <c r="K367" i="18" s="1"/>
  <c r="G366" i="18"/>
  <c r="K366" i="18" s="1"/>
  <c r="G365" i="18"/>
  <c r="K365" i="18" s="1"/>
  <c r="G364" i="18"/>
  <c r="K364" i="18" s="1"/>
  <c r="G363" i="18"/>
  <c r="K363" i="18" s="1"/>
  <c r="G362" i="18"/>
  <c r="K362" i="18" s="1"/>
  <c r="G361" i="18"/>
  <c r="K361" i="18" s="1"/>
  <c r="G360" i="18"/>
  <c r="K360" i="18" s="1"/>
  <c r="G359" i="18"/>
  <c r="K359" i="18" s="1"/>
  <c r="G358" i="18"/>
  <c r="K358" i="18" s="1"/>
  <c r="G357" i="18"/>
  <c r="K357" i="18" s="1"/>
  <c r="G356" i="18"/>
  <c r="K356" i="18" s="1"/>
  <c r="G355" i="18"/>
  <c r="K355" i="18" s="1"/>
  <c r="G354" i="18"/>
  <c r="K354" i="18" s="1"/>
  <c r="G353" i="18"/>
  <c r="K353" i="18" s="1"/>
  <c r="G352" i="18"/>
  <c r="K352" i="18" s="1"/>
  <c r="G351" i="18"/>
  <c r="K351" i="18" s="1"/>
  <c r="K349" i="18"/>
  <c r="K348" i="18"/>
  <c r="K347" i="18"/>
  <c r="K346" i="18"/>
  <c r="K345" i="18"/>
  <c r="K344" i="18"/>
  <c r="K343" i="18"/>
  <c r="M340" i="18"/>
  <c r="K340" i="18"/>
  <c r="G338" i="18"/>
  <c r="K338" i="18" s="1"/>
  <c r="G337" i="18"/>
  <c r="K337" i="18" s="1"/>
  <c r="G336" i="18"/>
  <c r="K336" i="18" s="1"/>
  <c r="G335" i="18"/>
  <c r="K335" i="18" s="1"/>
  <c r="G334" i="18"/>
  <c r="K334" i="18" s="1"/>
  <c r="G333" i="18"/>
  <c r="K333" i="18" s="1"/>
  <c r="G332" i="18"/>
  <c r="K332" i="18" s="1"/>
  <c r="M330" i="18"/>
  <c r="K330" i="18"/>
  <c r="G329" i="18"/>
  <c r="K329" i="18" s="1"/>
  <c r="G328" i="18"/>
  <c r="K328" i="18" s="1"/>
  <c r="G327" i="18"/>
  <c r="K327" i="18" s="1"/>
  <c r="G326" i="18"/>
  <c r="K326" i="18" s="1"/>
  <c r="G325" i="18"/>
  <c r="K325" i="18" s="1"/>
  <c r="G324" i="18"/>
  <c r="K324" i="18" s="1"/>
  <c r="G323" i="18"/>
  <c r="K323" i="18" s="1"/>
  <c r="G322" i="18"/>
  <c r="K322" i="18" s="1"/>
  <c r="G321" i="18"/>
  <c r="K321" i="18" s="1"/>
  <c r="G320" i="18"/>
  <c r="K320" i="18" s="1"/>
  <c r="G319" i="18"/>
  <c r="K319" i="18" s="1"/>
  <c r="G318" i="18"/>
  <c r="K318" i="18" s="1"/>
  <c r="G317" i="18"/>
  <c r="K317" i="18" s="1"/>
  <c r="G316" i="18"/>
  <c r="K316" i="18" s="1"/>
  <c r="G315" i="18"/>
  <c r="K315" i="18" s="1"/>
  <c r="G314" i="18"/>
  <c r="K314" i="18" s="1"/>
  <c r="G313" i="18"/>
  <c r="K313" i="18" s="1"/>
  <c r="G312" i="18"/>
  <c r="K312" i="18" s="1"/>
  <c r="G311" i="18"/>
  <c r="K311" i="18" s="1"/>
  <c r="G310" i="18"/>
  <c r="K310" i="18" s="1"/>
  <c r="G309" i="18"/>
  <c r="K309" i="18" s="1"/>
  <c r="G308" i="18"/>
  <c r="K308" i="18" s="1"/>
  <c r="G307" i="18"/>
  <c r="K307" i="18" s="1"/>
  <c r="M304" i="18"/>
  <c r="K303" i="18"/>
  <c r="K302" i="18" s="1"/>
  <c r="M302" i="18"/>
  <c r="G301" i="18"/>
  <c r="K301" i="18" s="1"/>
  <c r="G300" i="18"/>
  <c r="K300" i="18" s="1"/>
  <c r="G299" i="18"/>
  <c r="K299" i="18" s="1"/>
  <c r="G298" i="18"/>
  <c r="K298" i="18" s="1"/>
  <c r="G297" i="18"/>
  <c r="K297" i="18" s="1"/>
  <c r="G296" i="18"/>
  <c r="K296" i="18" s="1"/>
  <c r="G295" i="18"/>
  <c r="K295" i="18" s="1"/>
  <c r="G293" i="18"/>
  <c r="K293" i="18" s="1"/>
  <c r="G292" i="18"/>
  <c r="K292" i="18" s="1"/>
  <c r="G291" i="18"/>
  <c r="K291" i="18" s="1"/>
  <c r="G290" i="18"/>
  <c r="K290" i="18" s="1"/>
  <c r="G289" i="18"/>
  <c r="K289" i="18" s="1"/>
  <c r="G288" i="18"/>
  <c r="K288" i="18" s="1"/>
  <c r="G287" i="18"/>
  <c r="K287" i="18" s="1"/>
  <c r="G286" i="18"/>
  <c r="K286" i="18" s="1"/>
  <c r="G285" i="18"/>
  <c r="K285" i="18" s="1"/>
  <c r="G284" i="18"/>
  <c r="K284" i="18" s="1"/>
  <c r="G283" i="18"/>
  <c r="K283" i="18" s="1"/>
  <c r="G282" i="18"/>
  <c r="K282" i="18" s="1"/>
  <c r="G281" i="18"/>
  <c r="K281" i="18" s="1"/>
  <c r="G280" i="18"/>
  <c r="K280" i="18" s="1"/>
  <c r="G279" i="18"/>
  <c r="K279" i="18" s="1"/>
  <c r="G278" i="18"/>
  <c r="K278" i="18" s="1"/>
  <c r="G277" i="18"/>
  <c r="K277" i="18" s="1"/>
  <c r="G276" i="18"/>
  <c r="K276" i="18" s="1"/>
  <c r="G275" i="18"/>
  <c r="K275" i="18" s="1"/>
  <c r="G274" i="18"/>
  <c r="K274" i="18" s="1"/>
  <c r="G273" i="18"/>
  <c r="K273" i="18" s="1"/>
  <c r="G272" i="18"/>
  <c r="K272" i="18" s="1"/>
  <c r="G271" i="18"/>
  <c r="K271" i="18" s="1"/>
  <c r="G270" i="18"/>
  <c r="K270" i="18" s="1"/>
  <c r="G269" i="18"/>
  <c r="K269" i="18" s="1"/>
  <c r="G268" i="18"/>
  <c r="K268" i="18" s="1"/>
  <c r="G267" i="18"/>
  <c r="K267" i="18" s="1"/>
  <c r="G266" i="18"/>
  <c r="K266" i="18" s="1"/>
  <c r="G265" i="18"/>
  <c r="K265" i="18" s="1"/>
  <c r="G264" i="18"/>
  <c r="K264" i="18" s="1"/>
  <c r="M262" i="18"/>
  <c r="K262" i="18"/>
  <c r="G261" i="18"/>
  <c r="K260" i="18" s="1"/>
  <c r="M260" i="18"/>
  <c r="M257" i="18"/>
  <c r="K257" i="18"/>
  <c r="K256" i="18"/>
  <c r="K255" i="18"/>
  <c r="K254" i="18"/>
  <c r="K253" i="18"/>
  <c r="K252" i="18"/>
  <c r="K251" i="18"/>
  <c r="K250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6" i="18"/>
  <c r="K215" i="18"/>
  <c r="K214" i="18"/>
  <c r="K213" i="18"/>
  <c r="K212" i="18"/>
  <c r="K211" i="18"/>
  <c r="K210" i="18"/>
  <c r="M208" i="18"/>
  <c r="K208" i="18"/>
  <c r="G207" i="18"/>
  <c r="K207" i="18" s="1"/>
  <c r="G206" i="18"/>
  <c r="K206" i="18" s="1"/>
  <c r="G205" i="18"/>
  <c r="K205" i="18" s="1"/>
  <c r="G204" i="18"/>
  <c r="K204" i="18" s="1"/>
  <c r="G203" i="18"/>
  <c r="K203" i="18" s="1"/>
  <c r="G202" i="18"/>
  <c r="K202" i="18" s="1"/>
  <c r="G201" i="18"/>
  <c r="K201" i="18" s="1"/>
  <c r="G178" i="18"/>
  <c r="G177" i="18"/>
  <c r="G176" i="18"/>
  <c r="G175" i="18"/>
  <c r="G174" i="18"/>
  <c r="K174" i="18" s="1"/>
  <c r="M172" i="18"/>
  <c r="K172" i="18"/>
  <c r="K171" i="18"/>
  <c r="K170" i="18"/>
  <c r="K169" i="18"/>
  <c r="K168" i="18"/>
  <c r="K167" i="18"/>
  <c r="K166" i="18"/>
  <c r="K165" i="18"/>
  <c r="M163" i="18"/>
  <c r="K162" i="18"/>
  <c r="K161" i="18"/>
  <c r="K160" i="18"/>
  <c r="K159" i="18"/>
  <c r="K158" i="18"/>
  <c r="K157" i="18"/>
  <c r="K156" i="18"/>
  <c r="M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M108" i="18"/>
  <c r="I105" i="18"/>
  <c r="K105" i="18" s="1"/>
  <c r="I104" i="18"/>
  <c r="K104" i="18" s="1"/>
  <c r="I103" i="18"/>
  <c r="K103" i="18" s="1"/>
  <c r="I102" i="18"/>
  <c r="K102" i="18" s="1"/>
  <c r="I101" i="18"/>
  <c r="K101" i="18" s="1"/>
  <c r="I100" i="18"/>
  <c r="K100" i="18" s="1"/>
  <c r="I99" i="18"/>
  <c r="K99" i="18" s="1"/>
  <c r="I98" i="18"/>
  <c r="K98" i="18" s="1"/>
  <c r="I97" i="18"/>
  <c r="K97" i="18" s="1"/>
  <c r="I96" i="18"/>
  <c r="K96" i="18" s="1"/>
  <c r="I95" i="18"/>
  <c r="K95" i="18" s="1"/>
  <c r="I94" i="18"/>
  <c r="G94" i="18"/>
  <c r="I93" i="18"/>
  <c r="K93" i="18" s="1"/>
  <c r="I92" i="18"/>
  <c r="K92" i="18" s="1"/>
  <c r="I91" i="18"/>
  <c r="K91" i="18" s="1"/>
  <c r="I90" i="18"/>
  <c r="K90" i="18" s="1"/>
  <c r="I89" i="18"/>
  <c r="K89" i="18" s="1"/>
  <c r="I88" i="18"/>
  <c r="K88" i="18" s="1"/>
  <c r="I87" i="18"/>
  <c r="K87" i="18" s="1"/>
  <c r="I86" i="18"/>
  <c r="K86" i="18" s="1"/>
  <c r="I85" i="18"/>
  <c r="K85" i="18" s="1"/>
  <c r="I84" i="18"/>
  <c r="K84" i="18" s="1"/>
  <c r="I83" i="18"/>
  <c r="K83" i="18" s="1"/>
  <c r="I82" i="18"/>
  <c r="K82" i="18" s="1"/>
  <c r="I81" i="18"/>
  <c r="K81" i="18" s="1"/>
  <c r="I80" i="18"/>
  <c r="K80" i="18" s="1"/>
  <c r="I79" i="18"/>
  <c r="K79" i="18" s="1"/>
  <c r="I78" i="18"/>
  <c r="K78" i="18" s="1"/>
  <c r="I77" i="18"/>
  <c r="K77" i="18" s="1"/>
  <c r="I76" i="18"/>
  <c r="G76" i="18"/>
  <c r="I75" i="18"/>
  <c r="K75" i="18" s="1"/>
  <c r="I74" i="18"/>
  <c r="K74" i="18" s="1"/>
  <c r="M72" i="18"/>
  <c r="J72" i="18"/>
  <c r="L71" i="18"/>
  <c r="G70" i="18"/>
  <c r="K68" i="18" s="1"/>
  <c r="M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M25" i="18"/>
  <c r="K25" i="18"/>
  <c r="M24" i="18"/>
  <c r="K24" i="18"/>
  <c r="K22" i="18"/>
  <c r="K21" i="18" s="1"/>
  <c r="M21" i="18"/>
  <c r="K20" i="18"/>
  <c r="K19" i="18" s="1"/>
  <c r="M19" i="18"/>
  <c r="K18" i="18"/>
  <c r="K17" i="18" s="1"/>
  <c r="M17" i="18"/>
  <c r="M16" i="18"/>
  <c r="K16" i="18"/>
  <c r="M15" i="18"/>
  <c r="K15" i="18"/>
  <c r="M14" i="18"/>
  <c r="K14" i="18"/>
  <c r="AB15" i="15"/>
  <c r="AB16" i="15"/>
  <c r="AB17" i="15"/>
  <c r="AB18" i="15"/>
  <c r="AB19" i="15"/>
  <c r="AB20" i="15"/>
  <c r="AB21" i="15"/>
  <c r="AB22" i="15"/>
  <c r="AB23" i="15"/>
  <c r="AB24" i="15"/>
  <c r="AB25" i="15"/>
  <c r="AB26" i="15"/>
  <c r="AB27" i="15"/>
  <c r="AB28" i="15"/>
  <c r="AB29" i="15"/>
  <c r="AB30" i="15"/>
  <c r="AB31" i="15"/>
  <c r="AB32" i="15"/>
  <c r="AB33" i="15"/>
  <c r="AB34" i="15"/>
  <c r="AB35" i="15"/>
  <c r="AB36" i="15"/>
  <c r="AB37" i="15"/>
  <c r="AB38" i="15"/>
  <c r="AB39" i="15"/>
  <c r="AB40" i="15"/>
  <c r="AB43" i="15"/>
  <c r="AB44" i="15"/>
  <c r="AB45" i="15"/>
  <c r="AB46" i="15"/>
  <c r="AB47" i="15"/>
  <c r="AB48" i="15"/>
  <c r="AB49" i="15"/>
  <c r="AB50" i="15"/>
  <c r="AB53" i="15"/>
  <c r="AB54" i="15"/>
  <c r="AB55" i="15"/>
  <c r="AB56" i="15"/>
  <c r="AB57" i="15"/>
  <c r="AB58" i="15"/>
  <c r="AB59" i="15"/>
  <c r="AB60" i="15"/>
  <c r="AB61" i="15"/>
  <c r="AB62" i="15"/>
  <c r="AB63" i="15"/>
  <c r="AG63" i="15" s="1"/>
  <c r="AB64" i="15"/>
  <c r="AB65" i="15"/>
  <c r="AB66" i="15"/>
  <c r="AB67" i="15"/>
  <c r="AB68" i="15"/>
  <c r="AB69" i="15"/>
  <c r="AB70" i="15"/>
  <c r="AB71" i="15"/>
  <c r="AB72" i="15"/>
  <c r="AB73" i="15"/>
  <c r="AB74" i="15"/>
  <c r="AB75" i="15"/>
  <c r="AB76" i="15"/>
  <c r="AB77" i="15"/>
  <c r="AB78" i="15"/>
  <c r="AB79" i="15"/>
  <c r="AB80" i="15"/>
  <c r="AB81" i="15"/>
  <c r="AB82" i="15"/>
  <c r="AG82" i="15" s="1"/>
  <c r="AB83" i="15"/>
  <c r="AB84" i="15"/>
  <c r="AB85" i="15"/>
  <c r="AB86" i="15"/>
  <c r="AB87" i="15"/>
  <c r="AB88" i="15"/>
  <c r="AB89" i="15"/>
  <c r="AB90" i="15"/>
  <c r="AB91" i="15"/>
  <c r="AB92" i="15"/>
  <c r="AB93" i="15"/>
  <c r="AB94" i="15"/>
  <c r="AB95" i="15"/>
  <c r="AB96" i="15"/>
  <c r="AB97" i="15"/>
  <c r="AB98" i="15"/>
  <c r="AB99" i="15"/>
  <c r="AB100" i="15"/>
  <c r="AB101" i="15"/>
  <c r="AB102" i="15"/>
  <c r="AB103" i="15"/>
  <c r="AB104" i="15"/>
  <c r="AB105" i="15"/>
  <c r="AB106" i="15"/>
  <c r="AB107" i="15"/>
  <c r="AB108" i="15"/>
  <c r="AB109" i="15"/>
  <c r="AB110" i="15"/>
  <c r="AB111" i="15"/>
  <c r="AB112" i="15"/>
  <c r="AB113" i="15"/>
  <c r="AB114" i="15"/>
  <c r="AB115" i="15"/>
  <c r="AB116" i="15"/>
  <c r="AB117" i="15"/>
  <c r="AB118" i="15"/>
  <c r="AB120" i="15"/>
  <c r="AB121" i="15"/>
  <c r="AB122" i="15"/>
  <c r="AB123" i="15"/>
  <c r="AB124" i="15"/>
  <c r="AB125" i="15"/>
  <c r="AB126" i="15"/>
  <c r="AB127" i="15"/>
  <c r="AB128" i="15"/>
  <c r="AB129" i="15"/>
  <c r="AB130" i="15"/>
  <c r="AB131" i="15"/>
  <c r="AB132" i="15"/>
  <c r="AB133" i="15"/>
  <c r="AB134" i="15"/>
  <c r="AB135" i="15"/>
  <c r="AB136" i="15"/>
  <c r="AB137" i="15"/>
  <c r="AB138" i="15"/>
  <c r="AB139" i="15"/>
  <c r="AB140" i="15"/>
  <c r="AB141" i="15"/>
  <c r="AB142" i="15"/>
  <c r="AB143" i="15"/>
  <c r="AB144" i="15"/>
  <c r="AB145" i="15"/>
  <c r="AB146" i="15"/>
  <c r="AB147" i="15"/>
  <c r="AB148" i="15"/>
  <c r="AB149" i="15"/>
  <c r="AB150" i="15"/>
  <c r="AB151" i="15"/>
  <c r="AB152" i="15"/>
  <c r="AB153" i="15"/>
  <c r="AB154" i="15"/>
  <c r="AB155" i="15"/>
  <c r="AB156" i="15"/>
  <c r="AB157" i="15"/>
  <c r="AB158" i="15"/>
  <c r="AB159" i="15"/>
  <c r="AB160" i="15"/>
  <c r="AB161" i="15"/>
  <c r="AB162" i="15"/>
  <c r="AB163" i="15"/>
  <c r="AB164" i="15"/>
  <c r="AB165" i="15"/>
  <c r="AB166" i="15"/>
  <c r="AB167" i="15"/>
  <c r="AB168" i="15"/>
  <c r="AB169" i="15"/>
  <c r="AB170" i="15"/>
  <c r="AB171" i="15"/>
  <c r="AB172" i="15"/>
  <c r="AB173" i="15"/>
  <c r="AB174" i="15"/>
  <c r="AB175" i="15"/>
  <c r="AB176" i="15"/>
  <c r="AB177" i="15"/>
  <c r="AB178" i="15"/>
  <c r="AB179" i="15"/>
  <c r="AB180" i="15"/>
  <c r="AB181" i="15"/>
  <c r="AB182" i="15"/>
  <c r="AB183" i="15"/>
  <c r="AB184" i="15"/>
  <c r="AB185" i="15"/>
  <c r="AB186" i="15"/>
  <c r="AB187" i="15"/>
  <c r="AB188" i="15"/>
  <c r="AB189" i="15"/>
  <c r="AB190" i="15"/>
  <c r="AB191" i="15"/>
  <c r="AB192" i="15"/>
  <c r="AB193" i="15"/>
  <c r="AB194" i="15"/>
  <c r="AB195" i="15"/>
  <c r="AA14" i="15"/>
  <c r="G387" i="16"/>
  <c r="G389" i="16"/>
  <c r="G411" i="16"/>
  <c r="G401" i="16"/>
  <c r="G385" i="16"/>
  <c r="K385" i="16" s="1"/>
  <c r="K402" i="16"/>
  <c r="J438" i="20" l="1"/>
  <c r="J439" i="22"/>
  <c r="L439" i="22" s="1"/>
  <c r="N439" i="22" s="1"/>
  <c r="J471" i="24"/>
  <c r="L471" i="24" s="1"/>
  <c r="N471" i="24" s="1"/>
  <c r="S42" i="15"/>
  <c r="J389" i="22" s="1"/>
  <c r="L389" i="22" s="1"/>
  <c r="N389" i="22" s="1"/>
  <c r="J501" i="20"/>
  <c r="L501" i="20" s="1"/>
  <c r="N501" i="20" s="1"/>
  <c r="J542" i="24"/>
  <c r="L542" i="24" s="1"/>
  <c r="N542" i="24" s="1"/>
  <c r="S83" i="15"/>
  <c r="O51" i="15"/>
  <c r="AC51" i="15" s="1"/>
  <c r="J441" i="20"/>
  <c r="L441" i="20" s="1"/>
  <c r="N441" i="20" s="1"/>
  <c r="J476" i="24"/>
  <c r="L476" i="24" s="1"/>
  <c r="N476" i="24" s="1"/>
  <c r="J444" i="22"/>
  <c r="L444" i="22" s="1"/>
  <c r="N444" i="22" s="1"/>
  <c r="AC83" i="15"/>
  <c r="AG83" i="15" s="1"/>
  <c r="AC120" i="15"/>
  <c r="AG120" i="15" s="1"/>
  <c r="J504" i="22"/>
  <c r="L504" i="22" s="1"/>
  <c r="N504" i="22" s="1"/>
  <c r="J510" i="22"/>
  <c r="L510" i="22" s="1"/>
  <c r="N510" i="22" s="1"/>
  <c r="J441" i="22"/>
  <c r="L441" i="22" s="1"/>
  <c r="N441" i="22" s="1"/>
  <c r="J424" i="20"/>
  <c r="J428" i="22"/>
  <c r="L428" i="22" s="1"/>
  <c r="N428" i="22" s="1"/>
  <c r="K72" i="22"/>
  <c r="L72" i="22" s="1"/>
  <c r="N72" i="22" s="1"/>
  <c r="K410" i="22"/>
  <c r="K411" i="22"/>
  <c r="K72" i="20"/>
  <c r="L72" i="20" s="1"/>
  <c r="N72" i="20" s="1"/>
  <c r="K406" i="20"/>
  <c r="K407" i="20"/>
  <c r="N41" i="15"/>
  <c r="AB41" i="15" s="1"/>
  <c r="AG41" i="15" s="1"/>
  <c r="K403" i="18"/>
  <c r="N51" i="15" s="1"/>
  <c r="AB51" i="15" s="1"/>
  <c r="K414" i="18"/>
  <c r="L414" i="18" s="1"/>
  <c r="N414" i="18" s="1"/>
  <c r="K549" i="18"/>
  <c r="K94" i="18"/>
  <c r="N425" i="18"/>
  <c r="K163" i="18"/>
  <c r="J208" i="18"/>
  <c r="L208" i="18" s="1"/>
  <c r="N208" i="18" s="1"/>
  <c r="K108" i="18"/>
  <c r="L108" i="18" s="1"/>
  <c r="N108" i="18" s="1"/>
  <c r="K154" i="18"/>
  <c r="K76" i="18"/>
  <c r="N411" i="18"/>
  <c r="K304" i="18"/>
  <c r="L304" i="18" s="1"/>
  <c r="N304" i="18" s="1"/>
  <c r="G106" i="18"/>
  <c r="K106" i="18" s="1"/>
  <c r="K261" i="18"/>
  <c r="K389" i="16"/>
  <c r="K388" i="16" s="1"/>
  <c r="M44" i="15" s="1"/>
  <c r="G391" i="16"/>
  <c r="K391" i="16" s="1"/>
  <c r="K390" i="16" s="1"/>
  <c r="G393" i="16"/>
  <c r="K393" i="16" s="1"/>
  <c r="K392" i="16" s="1"/>
  <c r="M46" i="15" s="1"/>
  <c r="AA46" i="15" s="1"/>
  <c r="AA15" i="15"/>
  <c r="AA16" i="15"/>
  <c r="AA17" i="15"/>
  <c r="AA18" i="15"/>
  <c r="AA19" i="15"/>
  <c r="AA20" i="15"/>
  <c r="AA21" i="15"/>
  <c r="AA22" i="15"/>
  <c r="AA23" i="15"/>
  <c r="AA24" i="15"/>
  <c r="AA25" i="15"/>
  <c r="AA26" i="15"/>
  <c r="AA27" i="15"/>
  <c r="AA28" i="15"/>
  <c r="AA29" i="15"/>
  <c r="AA30" i="15"/>
  <c r="AA31" i="15"/>
  <c r="AA32" i="15"/>
  <c r="AA33" i="15"/>
  <c r="AA34" i="15"/>
  <c r="AA35" i="15"/>
  <c r="AA36" i="15"/>
  <c r="AA37" i="15"/>
  <c r="AA38" i="15"/>
  <c r="AA39" i="15"/>
  <c r="AA40" i="15"/>
  <c r="AA42" i="15"/>
  <c r="AA47" i="15"/>
  <c r="AA55" i="15"/>
  <c r="AA56" i="15"/>
  <c r="AA57" i="15"/>
  <c r="AA58" i="15"/>
  <c r="AA59" i="15"/>
  <c r="AA61" i="15"/>
  <c r="AA63" i="15"/>
  <c r="AA64" i="15"/>
  <c r="AA66" i="15"/>
  <c r="AA67" i="15"/>
  <c r="AA68" i="15"/>
  <c r="AA69" i="15"/>
  <c r="AA70" i="15"/>
  <c r="AA71" i="15"/>
  <c r="AA72" i="15"/>
  <c r="AA73" i="15"/>
  <c r="AA74" i="15"/>
  <c r="AA75" i="15"/>
  <c r="AA76" i="15"/>
  <c r="AA77" i="15"/>
  <c r="AA78" i="15"/>
  <c r="AA79" i="15"/>
  <c r="AA80" i="15"/>
  <c r="AA81" i="15"/>
  <c r="AA82" i="15"/>
  <c r="AA83" i="15"/>
  <c r="AA84" i="15"/>
  <c r="AA85" i="15"/>
  <c r="AA86" i="15"/>
  <c r="AA87" i="15"/>
  <c r="AA88" i="15"/>
  <c r="AA89" i="15"/>
  <c r="AA90" i="15"/>
  <c r="AA91" i="15"/>
  <c r="AA92" i="15"/>
  <c r="AA93" i="15"/>
  <c r="AA94" i="15"/>
  <c r="AA95" i="15"/>
  <c r="AA96" i="15"/>
  <c r="AA97" i="15"/>
  <c r="AA98" i="15"/>
  <c r="AA99" i="15"/>
  <c r="AA100" i="15"/>
  <c r="AA101" i="15"/>
  <c r="AA102" i="15"/>
  <c r="AA103" i="15"/>
  <c r="AA104" i="15"/>
  <c r="AA105" i="15"/>
  <c r="AA106" i="15"/>
  <c r="AA107" i="15"/>
  <c r="AA109" i="15"/>
  <c r="AA110" i="15"/>
  <c r="AA111" i="15"/>
  <c r="AA112" i="15"/>
  <c r="AA113" i="15"/>
  <c r="AA114" i="15"/>
  <c r="AA115" i="15"/>
  <c r="AA116" i="15"/>
  <c r="AA117" i="15"/>
  <c r="AA118" i="15"/>
  <c r="AA119" i="15"/>
  <c r="AA120" i="15"/>
  <c r="AA121" i="15"/>
  <c r="AA122" i="15"/>
  <c r="AA123" i="15"/>
  <c r="AA124" i="15"/>
  <c r="AA125" i="15"/>
  <c r="AA126" i="15"/>
  <c r="AA127" i="15"/>
  <c r="AA128" i="15"/>
  <c r="AA129" i="15"/>
  <c r="AA130" i="15"/>
  <c r="AA131" i="15"/>
  <c r="AA132" i="15"/>
  <c r="AA133" i="15"/>
  <c r="AA134" i="15"/>
  <c r="AA135" i="15"/>
  <c r="AA136" i="15"/>
  <c r="AA137" i="15"/>
  <c r="AA138" i="15"/>
  <c r="AA139" i="15"/>
  <c r="AA140" i="15"/>
  <c r="AA141" i="15"/>
  <c r="AA142" i="15"/>
  <c r="AA143" i="15"/>
  <c r="AA144" i="15"/>
  <c r="AA145" i="15"/>
  <c r="AA146" i="15"/>
  <c r="AA147" i="15"/>
  <c r="AA148" i="15"/>
  <c r="AA149" i="15"/>
  <c r="AA150" i="15"/>
  <c r="AA151" i="15"/>
  <c r="AA152" i="15"/>
  <c r="AA153" i="15"/>
  <c r="AA154" i="15"/>
  <c r="AA155" i="15"/>
  <c r="AA156" i="15"/>
  <c r="AA157" i="15"/>
  <c r="AA158" i="15"/>
  <c r="AA159" i="15"/>
  <c r="AA160" i="15"/>
  <c r="AA161" i="15"/>
  <c r="AA162" i="15"/>
  <c r="AA163" i="15"/>
  <c r="AA164" i="15"/>
  <c r="AA165" i="15"/>
  <c r="AA166" i="15"/>
  <c r="AA167" i="15"/>
  <c r="AA168" i="15"/>
  <c r="AA169" i="15"/>
  <c r="AA170" i="15"/>
  <c r="AA171" i="15"/>
  <c r="AA172" i="15"/>
  <c r="AA173" i="15"/>
  <c r="AA174" i="15"/>
  <c r="AA175" i="15"/>
  <c r="AA176" i="15"/>
  <c r="AA177" i="15"/>
  <c r="AA178" i="15"/>
  <c r="AA179" i="15"/>
  <c r="AA180" i="15"/>
  <c r="AA181" i="15"/>
  <c r="AA182" i="15"/>
  <c r="AA183" i="15"/>
  <c r="AA184" i="15"/>
  <c r="AA185" i="15"/>
  <c r="AA186" i="15"/>
  <c r="AA187" i="15"/>
  <c r="AA188" i="15"/>
  <c r="AA189" i="15"/>
  <c r="AA191" i="15"/>
  <c r="AA192" i="15"/>
  <c r="AA193" i="15"/>
  <c r="AA194" i="15"/>
  <c r="AA195" i="15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AA51" i="15" s="1"/>
  <c r="K399" i="16"/>
  <c r="K398" i="16" s="1"/>
  <c r="K397" i="16"/>
  <c r="K396" i="16" s="1"/>
  <c r="K395" i="16"/>
  <c r="K394" i="16" s="1"/>
  <c r="K387" i="16"/>
  <c r="K386" i="16" s="1"/>
  <c r="M43" i="15" s="1"/>
  <c r="K384" i="16"/>
  <c r="M41" i="15" s="1"/>
  <c r="S41" i="15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Z195" i="15"/>
  <c r="Y195" i="15"/>
  <c r="X195" i="15"/>
  <c r="W195" i="15"/>
  <c r="V195" i="15"/>
  <c r="T195" i="15"/>
  <c r="Z194" i="15"/>
  <c r="Y194" i="15"/>
  <c r="X194" i="15"/>
  <c r="W194" i="15"/>
  <c r="V194" i="15"/>
  <c r="T194" i="15"/>
  <c r="Z193" i="15"/>
  <c r="Y193" i="15"/>
  <c r="X193" i="15"/>
  <c r="W193" i="15"/>
  <c r="V193" i="15"/>
  <c r="Z192" i="15"/>
  <c r="Y192" i="15"/>
  <c r="X192" i="15"/>
  <c r="W192" i="15"/>
  <c r="V192" i="15"/>
  <c r="T192" i="15"/>
  <c r="Z191" i="15"/>
  <c r="Y191" i="15"/>
  <c r="X191" i="15"/>
  <c r="W191" i="15"/>
  <c r="V191" i="15"/>
  <c r="T191" i="15"/>
  <c r="Y190" i="15"/>
  <c r="X190" i="15"/>
  <c r="W190" i="15"/>
  <c r="V190" i="15"/>
  <c r="X189" i="15"/>
  <c r="W189" i="15"/>
  <c r="V189" i="15"/>
  <c r="W188" i="15"/>
  <c r="V188" i="15"/>
  <c r="Z187" i="15"/>
  <c r="Y187" i="15"/>
  <c r="W187" i="15"/>
  <c r="V187" i="15"/>
  <c r="Z182" i="15"/>
  <c r="Y182" i="15"/>
  <c r="X182" i="15"/>
  <c r="W182" i="15"/>
  <c r="V182" i="15"/>
  <c r="T182" i="15"/>
  <c r="Z180" i="15"/>
  <c r="Y180" i="15"/>
  <c r="X180" i="15"/>
  <c r="Z179" i="15"/>
  <c r="Y179" i="15"/>
  <c r="X179" i="15"/>
  <c r="Z178" i="15"/>
  <c r="Y178" i="15"/>
  <c r="X178" i="15"/>
  <c r="W177" i="15"/>
  <c r="V177" i="15"/>
  <c r="Z176" i="15"/>
  <c r="Y176" i="15"/>
  <c r="X176" i="15"/>
  <c r="V176" i="15"/>
  <c r="Z175" i="15"/>
  <c r="Y175" i="15"/>
  <c r="X175" i="15"/>
  <c r="W175" i="15"/>
  <c r="V175" i="15"/>
  <c r="T175" i="15"/>
  <c r="Z174" i="15"/>
  <c r="Y174" i="15"/>
  <c r="X174" i="15"/>
  <c r="W174" i="15"/>
  <c r="Z173" i="15"/>
  <c r="Y173" i="15"/>
  <c r="X173" i="15"/>
  <c r="W173" i="15"/>
  <c r="V173" i="15"/>
  <c r="Z172" i="15"/>
  <c r="Y172" i="15"/>
  <c r="X172" i="15"/>
  <c r="W172" i="15"/>
  <c r="V172" i="15"/>
  <c r="T172" i="15"/>
  <c r="Z171" i="15"/>
  <c r="Y171" i="15"/>
  <c r="X171" i="15"/>
  <c r="W171" i="15"/>
  <c r="V171" i="15"/>
  <c r="T171" i="15"/>
  <c r="Z170" i="15"/>
  <c r="Y170" i="15"/>
  <c r="X170" i="15"/>
  <c r="W170" i="15"/>
  <c r="V170" i="15"/>
  <c r="T170" i="15"/>
  <c r="Z169" i="15"/>
  <c r="Y169" i="15"/>
  <c r="X169" i="15"/>
  <c r="W169" i="15"/>
  <c r="V169" i="15"/>
  <c r="T169" i="15"/>
  <c r="Z168" i="15"/>
  <c r="Y168" i="15"/>
  <c r="X168" i="15"/>
  <c r="W168" i="15"/>
  <c r="V168" i="15"/>
  <c r="T168" i="15"/>
  <c r="Z167" i="15"/>
  <c r="Y167" i="15"/>
  <c r="X167" i="15"/>
  <c r="W167" i="15"/>
  <c r="V167" i="15"/>
  <c r="T167" i="15"/>
  <c r="Z166" i="15"/>
  <c r="Y166" i="15"/>
  <c r="X166" i="15"/>
  <c r="W166" i="15"/>
  <c r="V166" i="15"/>
  <c r="T166" i="15"/>
  <c r="Z165" i="15"/>
  <c r="Y165" i="15"/>
  <c r="X165" i="15"/>
  <c r="W165" i="15"/>
  <c r="V165" i="15"/>
  <c r="T165" i="15"/>
  <c r="Z164" i="15"/>
  <c r="Y164" i="15"/>
  <c r="X164" i="15"/>
  <c r="W164" i="15"/>
  <c r="V164" i="15"/>
  <c r="T164" i="15"/>
  <c r="Z163" i="15"/>
  <c r="Y163" i="15"/>
  <c r="X163" i="15"/>
  <c r="W163" i="15"/>
  <c r="V163" i="15"/>
  <c r="T163" i="15"/>
  <c r="Z162" i="15"/>
  <c r="Y162" i="15"/>
  <c r="X162" i="15"/>
  <c r="W162" i="15"/>
  <c r="V162" i="15"/>
  <c r="T162" i="15"/>
  <c r="Z161" i="15"/>
  <c r="Y161" i="15"/>
  <c r="X161" i="15"/>
  <c r="W161" i="15"/>
  <c r="V161" i="15"/>
  <c r="T161" i="15"/>
  <c r="Z160" i="15"/>
  <c r="Y160" i="15"/>
  <c r="X160" i="15"/>
  <c r="W160" i="15"/>
  <c r="V160" i="15"/>
  <c r="Z159" i="15"/>
  <c r="Y159" i="15"/>
  <c r="X159" i="15"/>
  <c r="W159" i="15"/>
  <c r="V159" i="15"/>
  <c r="J513" i="20"/>
  <c r="L513" i="20" s="1"/>
  <c r="Z158" i="15"/>
  <c r="Y158" i="15"/>
  <c r="X158" i="15"/>
  <c r="W158" i="15"/>
  <c r="V158" i="15"/>
  <c r="Z157" i="15"/>
  <c r="Y157" i="15"/>
  <c r="X157" i="15"/>
  <c r="W157" i="15"/>
  <c r="V157" i="15"/>
  <c r="L507" i="20"/>
  <c r="N507" i="20" s="1"/>
  <c r="Z156" i="15"/>
  <c r="Y156" i="15"/>
  <c r="X156" i="15"/>
  <c r="W156" i="15"/>
  <c r="V156" i="15"/>
  <c r="Z155" i="15"/>
  <c r="Y155" i="15"/>
  <c r="X155" i="15"/>
  <c r="W155" i="15"/>
  <c r="V155" i="15"/>
  <c r="Z154" i="15"/>
  <c r="Y154" i="15"/>
  <c r="X154" i="15"/>
  <c r="W154" i="15"/>
  <c r="V154" i="15"/>
  <c r="L498" i="20"/>
  <c r="N498" i="20" s="1"/>
  <c r="Z153" i="15"/>
  <c r="Y153" i="15"/>
  <c r="X153" i="15"/>
  <c r="W153" i="15"/>
  <c r="V153" i="15"/>
  <c r="Z152" i="15"/>
  <c r="Y152" i="15"/>
  <c r="X152" i="15"/>
  <c r="W152" i="15"/>
  <c r="V152" i="15"/>
  <c r="Z151" i="15"/>
  <c r="Y151" i="15"/>
  <c r="X151" i="15"/>
  <c r="W151" i="15"/>
  <c r="V151" i="15"/>
  <c r="Z150" i="15"/>
  <c r="Y150" i="15"/>
  <c r="X150" i="15"/>
  <c r="W150" i="15"/>
  <c r="V150" i="15"/>
  <c r="Z149" i="15"/>
  <c r="Y149" i="15"/>
  <c r="X149" i="15"/>
  <c r="W149" i="15"/>
  <c r="V149" i="15"/>
  <c r="Z148" i="15"/>
  <c r="Y148" i="15"/>
  <c r="X148" i="15"/>
  <c r="W148" i="15"/>
  <c r="V148" i="15"/>
  <c r="Z147" i="15"/>
  <c r="Y147" i="15"/>
  <c r="X147" i="15"/>
  <c r="W147" i="15"/>
  <c r="V147" i="15"/>
  <c r="Z146" i="15"/>
  <c r="Y146" i="15"/>
  <c r="X146" i="15"/>
  <c r="W146" i="15"/>
  <c r="V146" i="15"/>
  <c r="Z145" i="15"/>
  <c r="Y145" i="15"/>
  <c r="X145" i="15"/>
  <c r="W145" i="15"/>
  <c r="V145" i="15"/>
  <c r="Z144" i="15"/>
  <c r="Y144" i="15"/>
  <c r="X144" i="15"/>
  <c r="W144" i="15"/>
  <c r="V144" i="15"/>
  <c r="L468" i="20"/>
  <c r="N468" i="20" s="1"/>
  <c r="Z143" i="15"/>
  <c r="Y143" i="15"/>
  <c r="X143" i="15"/>
  <c r="W143" i="15"/>
  <c r="V143" i="15"/>
  <c r="L465" i="20"/>
  <c r="N465" i="20" s="1"/>
  <c r="Z142" i="15"/>
  <c r="Y142" i="15"/>
  <c r="X142" i="15"/>
  <c r="W142" i="15"/>
  <c r="V142" i="15"/>
  <c r="Z141" i="15"/>
  <c r="Y141" i="15"/>
  <c r="X141" i="15"/>
  <c r="W141" i="15"/>
  <c r="V141" i="15"/>
  <c r="Z140" i="15"/>
  <c r="Y140" i="15"/>
  <c r="X140" i="15"/>
  <c r="W140" i="15"/>
  <c r="V140" i="15"/>
  <c r="L456" i="20"/>
  <c r="N456" i="20" s="1"/>
  <c r="Z139" i="15"/>
  <c r="Y139" i="15"/>
  <c r="X139" i="15"/>
  <c r="W139" i="15"/>
  <c r="V139" i="15"/>
  <c r="L453" i="20"/>
  <c r="N453" i="20" s="1"/>
  <c r="Z138" i="15"/>
  <c r="Y138" i="15"/>
  <c r="X138" i="15"/>
  <c r="W138" i="15"/>
  <c r="V138" i="15"/>
  <c r="L450" i="20"/>
  <c r="N450" i="20" s="1"/>
  <c r="Z137" i="15"/>
  <c r="Y137" i="15"/>
  <c r="X137" i="15"/>
  <c r="W137" i="15"/>
  <c r="V137" i="15"/>
  <c r="Z136" i="15"/>
  <c r="Y136" i="15"/>
  <c r="X136" i="15"/>
  <c r="W136" i="15"/>
  <c r="V136" i="15"/>
  <c r="T136" i="15"/>
  <c r="Z135" i="15"/>
  <c r="Y135" i="15"/>
  <c r="X135" i="15"/>
  <c r="W135" i="15"/>
  <c r="V135" i="15"/>
  <c r="T135" i="15"/>
  <c r="Z134" i="15"/>
  <c r="Y134" i="15"/>
  <c r="X134" i="15"/>
  <c r="W134" i="15"/>
  <c r="V134" i="15"/>
  <c r="T134" i="15"/>
  <c r="Z133" i="15"/>
  <c r="Y133" i="15"/>
  <c r="X133" i="15"/>
  <c r="W133" i="15"/>
  <c r="V133" i="15"/>
  <c r="T133" i="15"/>
  <c r="Z132" i="15"/>
  <c r="Y132" i="15"/>
  <c r="X132" i="15"/>
  <c r="W132" i="15"/>
  <c r="V132" i="15"/>
  <c r="T132" i="15"/>
  <c r="Z131" i="15"/>
  <c r="Y131" i="15"/>
  <c r="X131" i="15"/>
  <c r="W131" i="15"/>
  <c r="V131" i="15"/>
  <c r="T131" i="15"/>
  <c r="Z130" i="15"/>
  <c r="Y130" i="15"/>
  <c r="X130" i="15"/>
  <c r="W130" i="15"/>
  <c r="V130" i="15"/>
  <c r="T130" i="15"/>
  <c r="Z129" i="15"/>
  <c r="Y129" i="15"/>
  <c r="X129" i="15"/>
  <c r="W129" i="15"/>
  <c r="V129" i="15"/>
  <c r="T129" i="15"/>
  <c r="Z128" i="15"/>
  <c r="Y128" i="15"/>
  <c r="X128" i="15"/>
  <c r="W128" i="15"/>
  <c r="V128" i="15"/>
  <c r="T128" i="15"/>
  <c r="Z127" i="15"/>
  <c r="Y127" i="15"/>
  <c r="X127" i="15"/>
  <c r="W127" i="15"/>
  <c r="V127" i="15"/>
  <c r="Z126" i="15"/>
  <c r="Y126" i="15"/>
  <c r="X126" i="15"/>
  <c r="W126" i="15"/>
  <c r="V126" i="15"/>
  <c r="T126" i="15"/>
  <c r="Z125" i="15"/>
  <c r="Y125" i="15"/>
  <c r="X125" i="15"/>
  <c r="W125" i="15"/>
  <c r="V125" i="15"/>
  <c r="T125" i="15"/>
  <c r="Z124" i="15"/>
  <c r="Y124" i="15"/>
  <c r="X124" i="15"/>
  <c r="W124" i="15"/>
  <c r="V124" i="15"/>
  <c r="T124" i="15"/>
  <c r="Z123" i="15"/>
  <c r="Y123" i="15"/>
  <c r="X123" i="15"/>
  <c r="W123" i="15"/>
  <c r="V123" i="15"/>
  <c r="T123" i="15"/>
  <c r="Z122" i="15"/>
  <c r="Y122" i="15"/>
  <c r="X122" i="15"/>
  <c r="W122" i="15"/>
  <c r="V122" i="15"/>
  <c r="U209" i="15"/>
  <c r="T122" i="15"/>
  <c r="Z121" i="15"/>
  <c r="Y121" i="15"/>
  <c r="X121" i="15"/>
  <c r="W121" i="15"/>
  <c r="V121" i="15"/>
  <c r="T121" i="15"/>
  <c r="Z120" i="15"/>
  <c r="Y120" i="15"/>
  <c r="X120" i="15"/>
  <c r="W120" i="15"/>
  <c r="V120" i="15"/>
  <c r="Z119" i="15"/>
  <c r="Y119" i="15"/>
  <c r="X119" i="15"/>
  <c r="W119" i="15"/>
  <c r="V119" i="15"/>
  <c r="Z118" i="15"/>
  <c r="Y118" i="15"/>
  <c r="X118" i="15"/>
  <c r="W118" i="15"/>
  <c r="V118" i="15"/>
  <c r="Z117" i="15"/>
  <c r="Y117" i="15"/>
  <c r="X117" i="15"/>
  <c r="W117" i="15"/>
  <c r="V117" i="15"/>
  <c r="T117" i="15"/>
  <c r="Z116" i="15"/>
  <c r="Y116" i="15"/>
  <c r="X116" i="15"/>
  <c r="W116" i="15"/>
  <c r="V116" i="15"/>
  <c r="T116" i="15"/>
  <c r="Z115" i="15"/>
  <c r="Y115" i="15"/>
  <c r="X115" i="15"/>
  <c r="W115" i="15"/>
  <c r="V115" i="15"/>
  <c r="T115" i="15"/>
  <c r="Z114" i="15"/>
  <c r="Y114" i="15"/>
  <c r="X114" i="15"/>
  <c r="W114" i="15"/>
  <c r="V114" i="15"/>
  <c r="T114" i="15"/>
  <c r="Z113" i="15"/>
  <c r="Y113" i="15"/>
  <c r="X113" i="15"/>
  <c r="W113" i="15"/>
  <c r="V113" i="15"/>
  <c r="T113" i="15"/>
  <c r="Z112" i="15"/>
  <c r="Y112" i="15"/>
  <c r="X112" i="15"/>
  <c r="W112" i="15"/>
  <c r="V112" i="15"/>
  <c r="T112" i="15"/>
  <c r="Z111" i="15"/>
  <c r="Y111" i="15"/>
  <c r="X111" i="15"/>
  <c r="W111" i="15"/>
  <c r="V111" i="15"/>
  <c r="T111" i="15"/>
  <c r="Z110" i="15"/>
  <c r="Y110" i="15"/>
  <c r="X110" i="15"/>
  <c r="W110" i="15"/>
  <c r="V110" i="15"/>
  <c r="T110" i="15"/>
  <c r="L438" i="20" s="1"/>
  <c r="N438" i="20" s="1"/>
  <c r="Z109" i="15"/>
  <c r="Y109" i="15"/>
  <c r="X109" i="15"/>
  <c r="W109" i="15"/>
  <c r="V109" i="15"/>
  <c r="T109" i="15"/>
  <c r="L436" i="20" s="1"/>
  <c r="N436" i="20" s="1"/>
  <c r="Z108" i="15"/>
  <c r="Y108" i="15"/>
  <c r="X108" i="15"/>
  <c r="W108" i="15"/>
  <c r="V108" i="15"/>
  <c r="Z107" i="15"/>
  <c r="Y107" i="15"/>
  <c r="X107" i="15"/>
  <c r="W107" i="15"/>
  <c r="V107" i="15"/>
  <c r="T107" i="15"/>
  <c r="Z106" i="15"/>
  <c r="Y106" i="15"/>
  <c r="X106" i="15"/>
  <c r="W106" i="15"/>
  <c r="V106" i="15"/>
  <c r="T106" i="15"/>
  <c r="Z105" i="15"/>
  <c r="Y105" i="15"/>
  <c r="X105" i="15"/>
  <c r="W105" i="15"/>
  <c r="V105" i="15"/>
  <c r="T105" i="15"/>
  <c r="Z104" i="15"/>
  <c r="Y104" i="15"/>
  <c r="X104" i="15"/>
  <c r="W104" i="15"/>
  <c r="V104" i="15"/>
  <c r="T104" i="15"/>
  <c r="Z103" i="15"/>
  <c r="Y103" i="15"/>
  <c r="X103" i="15"/>
  <c r="W103" i="15"/>
  <c r="V103" i="15"/>
  <c r="T103" i="15"/>
  <c r="Z102" i="15"/>
  <c r="Y102" i="15"/>
  <c r="X102" i="15"/>
  <c r="W102" i="15"/>
  <c r="V102" i="15"/>
  <c r="T102" i="15"/>
  <c r="Z101" i="15"/>
  <c r="Y101" i="15"/>
  <c r="X101" i="15"/>
  <c r="W101" i="15"/>
  <c r="V101" i="15"/>
  <c r="T101" i="15"/>
  <c r="Z100" i="15"/>
  <c r="Y100" i="15"/>
  <c r="X100" i="15"/>
  <c r="W100" i="15"/>
  <c r="V100" i="15"/>
  <c r="T100" i="15"/>
  <c r="Z99" i="15"/>
  <c r="Y99" i="15"/>
  <c r="X99" i="15"/>
  <c r="W99" i="15"/>
  <c r="V99" i="15"/>
  <c r="T99" i="15"/>
  <c r="Z98" i="15"/>
  <c r="Y98" i="15"/>
  <c r="X98" i="15"/>
  <c r="W98" i="15"/>
  <c r="V98" i="15"/>
  <c r="T98" i="15"/>
  <c r="Z97" i="15"/>
  <c r="Y97" i="15"/>
  <c r="X97" i="15"/>
  <c r="W97" i="15"/>
  <c r="V97" i="15"/>
  <c r="T97" i="15"/>
  <c r="Z96" i="15"/>
  <c r="Y96" i="15"/>
  <c r="X96" i="15"/>
  <c r="W96" i="15"/>
  <c r="V96" i="15"/>
  <c r="T96" i="15"/>
  <c r="Z95" i="15"/>
  <c r="Y95" i="15"/>
  <c r="X95" i="15"/>
  <c r="W95" i="15"/>
  <c r="V95" i="15"/>
  <c r="T95" i="15"/>
  <c r="Z94" i="15"/>
  <c r="Y94" i="15"/>
  <c r="X94" i="15"/>
  <c r="W94" i="15"/>
  <c r="V94" i="15"/>
  <c r="T94" i="15"/>
  <c r="Z93" i="15"/>
  <c r="Y93" i="15"/>
  <c r="X93" i="15"/>
  <c r="W93" i="15"/>
  <c r="V93" i="15"/>
  <c r="T93" i="15"/>
  <c r="Z92" i="15"/>
  <c r="Y92" i="15"/>
  <c r="X92" i="15"/>
  <c r="W92" i="15"/>
  <c r="V92" i="15"/>
  <c r="T92" i="15"/>
  <c r="Z91" i="15"/>
  <c r="Y91" i="15"/>
  <c r="X91" i="15"/>
  <c r="W91" i="15"/>
  <c r="V91" i="15"/>
  <c r="T91" i="15"/>
  <c r="Z90" i="15"/>
  <c r="Y90" i="15"/>
  <c r="X90" i="15"/>
  <c r="W90" i="15"/>
  <c r="V90" i="15"/>
  <c r="T90" i="15"/>
  <c r="Z89" i="15"/>
  <c r="Y89" i="15"/>
  <c r="X89" i="15"/>
  <c r="W89" i="15"/>
  <c r="V89" i="15"/>
  <c r="Z88" i="15"/>
  <c r="Y88" i="15"/>
  <c r="X88" i="15"/>
  <c r="W88" i="15"/>
  <c r="V88" i="15"/>
  <c r="T88" i="15"/>
  <c r="Z87" i="15"/>
  <c r="Y87" i="15"/>
  <c r="X87" i="15"/>
  <c r="W87" i="15"/>
  <c r="V87" i="15"/>
  <c r="T87" i="15"/>
  <c r="Z86" i="15"/>
  <c r="Y86" i="15"/>
  <c r="X86" i="15"/>
  <c r="W86" i="15"/>
  <c r="V86" i="15"/>
  <c r="T86" i="15"/>
  <c r="Z85" i="15"/>
  <c r="Y85" i="15"/>
  <c r="X85" i="15"/>
  <c r="W85" i="15"/>
  <c r="V85" i="15"/>
  <c r="T85" i="15"/>
  <c r="Z84" i="15"/>
  <c r="Y84" i="15"/>
  <c r="X84" i="15"/>
  <c r="W84" i="15"/>
  <c r="V84" i="15"/>
  <c r="T84" i="15"/>
  <c r="Z83" i="15"/>
  <c r="Y83" i="15"/>
  <c r="X83" i="15"/>
  <c r="W83" i="15"/>
  <c r="V83" i="15"/>
  <c r="Z82" i="15"/>
  <c r="Y82" i="15"/>
  <c r="X82" i="15"/>
  <c r="W82" i="15"/>
  <c r="V82" i="15"/>
  <c r="Z81" i="15"/>
  <c r="Y81" i="15"/>
  <c r="X81" i="15"/>
  <c r="W81" i="15"/>
  <c r="V81" i="15"/>
  <c r="Z80" i="15"/>
  <c r="Y80" i="15"/>
  <c r="X80" i="15"/>
  <c r="W80" i="15"/>
  <c r="V80" i="15"/>
  <c r="T80" i="15"/>
  <c r="Z79" i="15"/>
  <c r="Y79" i="15"/>
  <c r="X79" i="15"/>
  <c r="W79" i="15"/>
  <c r="V79" i="15"/>
  <c r="T79" i="15"/>
  <c r="Z78" i="15"/>
  <c r="Y78" i="15"/>
  <c r="X78" i="15"/>
  <c r="W78" i="15"/>
  <c r="V78" i="15"/>
  <c r="T78" i="15"/>
  <c r="Z77" i="15"/>
  <c r="Y77" i="15"/>
  <c r="X77" i="15"/>
  <c r="W77" i="15"/>
  <c r="V77" i="15"/>
  <c r="T77" i="15"/>
  <c r="Z76" i="15"/>
  <c r="Y76" i="15"/>
  <c r="X76" i="15"/>
  <c r="W76" i="15"/>
  <c r="V76" i="15"/>
  <c r="T76" i="15"/>
  <c r="Z75" i="15"/>
  <c r="Y75" i="15"/>
  <c r="X75" i="15"/>
  <c r="W75" i="15"/>
  <c r="V75" i="15"/>
  <c r="T75" i="15"/>
  <c r="Z74" i="15"/>
  <c r="Y74" i="15"/>
  <c r="X74" i="15"/>
  <c r="W74" i="15"/>
  <c r="V74" i="15"/>
  <c r="Z73" i="15"/>
  <c r="Y73" i="15"/>
  <c r="X73" i="15"/>
  <c r="W73" i="15"/>
  <c r="V73" i="15"/>
  <c r="T73" i="15"/>
  <c r="Z72" i="15"/>
  <c r="Y72" i="15"/>
  <c r="X72" i="15"/>
  <c r="W72" i="15"/>
  <c r="V72" i="15"/>
  <c r="T72" i="15"/>
  <c r="Z71" i="15"/>
  <c r="Y71" i="15"/>
  <c r="X71" i="15"/>
  <c r="W71" i="15"/>
  <c r="V71" i="15"/>
  <c r="T71" i="15"/>
  <c r="Z70" i="15"/>
  <c r="Y70" i="15"/>
  <c r="X70" i="15"/>
  <c r="W70" i="15"/>
  <c r="V70" i="15"/>
  <c r="T70" i="15"/>
  <c r="Z69" i="15"/>
  <c r="Y69" i="15"/>
  <c r="X69" i="15"/>
  <c r="W69" i="15"/>
  <c r="V69" i="15"/>
  <c r="T69" i="15"/>
  <c r="Z68" i="15"/>
  <c r="Y68" i="15"/>
  <c r="X68" i="15"/>
  <c r="W68" i="15"/>
  <c r="V68" i="15"/>
  <c r="T68" i="15"/>
  <c r="Z67" i="15"/>
  <c r="Y67" i="15"/>
  <c r="X67" i="15"/>
  <c r="W67" i="15"/>
  <c r="V67" i="15"/>
  <c r="T67" i="15"/>
  <c r="Z66" i="15"/>
  <c r="Y66" i="15"/>
  <c r="X66" i="15"/>
  <c r="W66" i="15"/>
  <c r="V66" i="15"/>
  <c r="T66" i="15"/>
  <c r="Z65" i="15"/>
  <c r="Y65" i="15"/>
  <c r="X65" i="15"/>
  <c r="W65" i="15"/>
  <c r="V65" i="15"/>
  <c r="Z64" i="15"/>
  <c r="Y64" i="15"/>
  <c r="X64" i="15"/>
  <c r="W64" i="15"/>
  <c r="V64" i="15"/>
  <c r="T64" i="15"/>
  <c r="Z63" i="15"/>
  <c r="Y63" i="15"/>
  <c r="X63" i="15"/>
  <c r="W63" i="15"/>
  <c r="V63" i="15"/>
  <c r="L420" i="20"/>
  <c r="N420" i="20" s="1"/>
  <c r="Z62" i="15"/>
  <c r="Y62" i="15"/>
  <c r="X62" i="15"/>
  <c r="W62" i="15"/>
  <c r="V62" i="15"/>
  <c r="Z61" i="15"/>
  <c r="Y61" i="15"/>
  <c r="X61" i="15"/>
  <c r="W61" i="15"/>
  <c r="V61" i="15"/>
  <c r="T61" i="15"/>
  <c r="Z60" i="15"/>
  <c r="Y60" i="15"/>
  <c r="X60" i="15"/>
  <c r="W60" i="15"/>
  <c r="V60" i="15"/>
  <c r="X59" i="15"/>
  <c r="W59" i="15"/>
  <c r="V59" i="15"/>
  <c r="X58" i="15"/>
  <c r="W58" i="15"/>
  <c r="V58" i="15"/>
  <c r="X57" i="15"/>
  <c r="W57" i="15"/>
  <c r="V57" i="15"/>
  <c r="X56" i="15"/>
  <c r="W56" i="15"/>
  <c r="V56" i="15"/>
  <c r="Z55" i="15"/>
  <c r="Y55" i="15"/>
  <c r="X55" i="15"/>
  <c r="W55" i="15"/>
  <c r="V55" i="15"/>
  <c r="Z54" i="15"/>
  <c r="Y54" i="15"/>
  <c r="X54" i="15"/>
  <c r="W54" i="15"/>
  <c r="V54" i="15"/>
  <c r="Z53" i="15"/>
  <c r="Y53" i="15"/>
  <c r="X53" i="15"/>
  <c r="W53" i="15"/>
  <c r="V53" i="15"/>
  <c r="X52" i="15"/>
  <c r="W52" i="15"/>
  <c r="V52" i="15"/>
  <c r="X51" i="15"/>
  <c r="W51" i="15"/>
  <c r="V51" i="15"/>
  <c r="Z50" i="15"/>
  <c r="Y50" i="15"/>
  <c r="X50" i="15"/>
  <c r="W50" i="15"/>
  <c r="V50" i="15"/>
  <c r="Z49" i="15"/>
  <c r="Y49" i="15"/>
  <c r="X49" i="15"/>
  <c r="W49" i="15"/>
  <c r="V49" i="15"/>
  <c r="Z48" i="15"/>
  <c r="Y48" i="15"/>
  <c r="X48" i="15"/>
  <c r="W48" i="15"/>
  <c r="V48" i="15"/>
  <c r="X47" i="15"/>
  <c r="W47" i="15"/>
  <c r="V47" i="15"/>
  <c r="X46" i="15"/>
  <c r="W46" i="15"/>
  <c r="V46" i="15"/>
  <c r="Y45" i="15"/>
  <c r="X45" i="15"/>
  <c r="W45" i="15"/>
  <c r="V45" i="15"/>
  <c r="Y44" i="15"/>
  <c r="X44" i="15"/>
  <c r="W44" i="15"/>
  <c r="V44" i="15"/>
  <c r="X43" i="15"/>
  <c r="W43" i="15"/>
  <c r="V43" i="15"/>
  <c r="Z42" i="15"/>
  <c r="Y42" i="15"/>
  <c r="X42" i="15"/>
  <c r="W42" i="15"/>
  <c r="V42" i="15"/>
  <c r="Z41" i="15"/>
  <c r="Y41" i="15"/>
  <c r="X41" i="15"/>
  <c r="W41" i="15"/>
  <c r="V41" i="15"/>
  <c r="X40" i="15"/>
  <c r="W40" i="15"/>
  <c r="V40" i="15"/>
  <c r="Z39" i="15"/>
  <c r="Y39" i="15"/>
  <c r="X39" i="15"/>
  <c r="W39" i="15"/>
  <c r="V39" i="15"/>
  <c r="Z38" i="15"/>
  <c r="X38" i="15"/>
  <c r="W38" i="15"/>
  <c r="V38" i="15"/>
  <c r="Z37" i="15"/>
  <c r="Y37" i="15"/>
  <c r="V37" i="15"/>
  <c r="Z36" i="15"/>
  <c r="Y36" i="15"/>
  <c r="V36" i="15"/>
  <c r="Z35" i="15"/>
  <c r="Y35" i="15"/>
  <c r="X35" i="15"/>
  <c r="W35" i="15"/>
  <c r="V35" i="15"/>
  <c r="T35" i="15"/>
  <c r="Z34" i="15"/>
  <c r="Y34" i="15"/>
  <c r="X34" i="15"/>
  <c r="V34" i="15"/>
  <c r="Z33" i="15"/>
  <c r="Y33" i="15"/>
  <c r="V33" i="15"/>
  <c r="Z32" i="15"/>
  <c r="Y32" i="15"/>
  <c r="X32" i="15"/>
  <c r="V32" i="15"/>
  <c r="Z31" i="15"/>
  <c r="Y31" i="15"/>
  <c r="X31" i="15"/>
  <c r="W31" i="15"/>
  <c r="V31" i="15"/>
  <c r="T31" i="15"/>
  <c r="Z30" i="15"/>
  <c r="Y30" i="15"/>
  <c r="X30" i="15"/>
  <c r="V30" i="15"/>
  <c r="Z29" i="15"/>
  <c r="Y29" i="15"/>
  <c r="X29" i="15"/>
  <c r="V29" i="15"/>
  <c r="Z28" i="15"/>
  <c r="Y28" i="15"/>
  <c r="X28" i="15"/>
  <c r="W28" i="15"/>
  <c r="V28" i="15"/>
  <c r="T28" i="15"/>
  <c r="Z27" i="15"/>
  <c r="Y27" i="15"/>
  <c r="X27" i="15"/>
  <c r="W27" i="15"/>
  <c r="V27" i="15"/>
  <c r="T27" i="15"/>
  <c r="Z26" i="15"/>
  <c r="Y26" i="15"/>
  <c r="X26" i="15"/>
  <c r="V26" i="15"/>
  <c r="Z25" i="15"/>
  <c r="Y25" i="15"/>
  <c r="X25" i="15"/>
  <c r="W25" i="15"/>
  <c r="V25" i="15"/>
  <c r="Z24" i="15"/>
  <c r="Y24" i="15"/>
  <c r="X24" i="15"/>
  <c r="W24" i="15"/>
  <c r="V24" i="15"/>
  <c r="T24" i="15"/>
  <c r="Z23" i="15"/>
  <c r="Y23" i="15"/>
  <c r="W23" i="15"/>
  <c r="V23" i="15"/>
  <c r="Z22" i="15"/>
  <c r="Y22" i="15"/>
  <c r="Z21" i="15"/>
  <c r="Y21" i="15"/>
  <c r="X21" i="15"/>
  <c r="W21" i="15"/>
  <c r="Z20" i="15"/>
  <c r="Y20" i="15"/>
  <c r="X20" i="15"/>
  <c r="W20" i="15"/>
  <c r="V20" i="15"/>
  <c r="Z19" i="15"/>
  <c r="Y19" i="15"/>
  <c r="X19" i="15"/>
  <c r="W19" i="15"/>
  <c r="V19" i="15"/>
  <c r="T19" i="15"/>
  <c r="Z18" i="15"/>
  <c r="Y18" i="15"/>
  <c r="X18" i="15"/>
  <c r="W18" i="15"/>
  <c r="V18" i="15"/>
  <c r="T18" i="15"/>
  <c r="Z17" i="15"/>
  <c r="Y17" i="15"/>
  <c r="X17" i="15"/>
  <c r="V17" i="15"/>
  <c r="Z16" i="15"/>
  <c r="Y16" i="15"/>
  <c r="X16" i="15"/>
  <c r="V16" i="15"/>
  <c r="Z15" i="15"/>
  <c r="Y15" i="15"/>
  <c r="X15" i="15"/>
  <c r="V15" i="15"/>
  <c r="Z14" i="15"/>
  <c r="Y14" i="15"/>
  <c r="X14" i="15"/>
  <c r="W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81" i="15" s="1"/>
  <c r="Z181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77" i="15" s="1"/>
  <c r="Z177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M48" i="15" l="1"/>
  <c r="S48" i="15" s="1"/>
  <c r="L394" i="16"/>
  <c r="J421" i="24"/>
  <c r="L421" i="24" s="1"/>
  <c r="N421" i="24" s="1"/>
  <c r="L410" i="16"/>
  <c r="M62" i="15"/>
  <c r="S62" i="15" s="1"/>
  <c r="J446" i="22"/>
  <c r="L446" i="22" s="1"/>
  <c r="N446" i="22" s="1"/>
  <c r="J478" i="24"/>
  <c r="L478" i="24" s="1"/>
  <c r="N478" i="24" s="1"/>
  <c r="J430" i="22"/>
  <c r="L430" i="22" s="1"/>
  <c r="N430" i="22" s="1"/>
  <c r="J462" i="24"/>
  <c r="L462" i="24" s="1"/>
  <c r="N462" i="24" s="1"/>
  <c r="T120" i="15"/>
  <c r="AH195" i="15"/>
  <c r="J443" i="20"/>
  <c r="L443" i="20" s="1"/>
  <c r="N443" i="20" s="1"/>
  <c r="AH20" i="15"/>
  <c r="AH68" i="15"/>
  <c r="AH74" i="15"/>
  <c r="AH86" i="15"/>
  <c r="AH100" i="15"/>
  <c r="AH120" i="15"/>
  <c r="AH134" i="15"/>
  <c r="AH140" i="15"/>
  <c r="AH149" i="15"/>
  <c r="AH153" i="15"/>
  <c r="AH159" i="15"/>
  <c r="AH35" i="15"/>
  <c r="AH66" i="15"/>
  <c r="AH80" i="15"/>
  <c r="AH84" i="15"/>
  <c r="AH90" i="15"/>
  <c r="AH98" i="15"/>
  <c r="AH106" i="15"/>
  <c r="AH112" i="15"/>
  <c r="AH118" i="15"/>
  <c r="AH18" i="15"/>
  <c r="AH24" i="15"/>
  <c r="AH28" i="15"/>
  <c r="AH39" i="15"/>
  <c r="AH42" i="15"/>
  <c r="AH78" i="15"/>
  <c r="AH96" i="15"/>
  <c r="AH104" i="15"/>
  <c r="AH110" i="15"/>
  <c r="AH124" i="15"/>
  <c r="AH130" i="15"/>
  <c r="AH142" i="15"/>
  <c r="AH151" i="15"/>
  <c r="AH156" i="15"/>
  <c r="AH161" i="15"/>
  <c r="AH169" i="15"/>
  <c r="AH31" i="15"/>
  <c r="AH55" i="15"/>
  <c r="AH77" i="15"/>
  <c r="AH82" i="15"/>
  <c r="AH95" i="15"/>
  <c r="AH103" i="15"/>
  <c r="AH109" i="15"/>
  <c r="AH117" i="15"/>
  <c r="AH123" i="15"/>
  <c r="AH64" i="15"/>
  <c r="AH70" i="15"/>
  <c r="AH76" i="15"/>
  <c r="AH88" i="15"/>
  <c r="AH94" i="15"/>
  <c r="AH102" i="15"/>
  <c r="AH122" i="15"/>
  <c r="AH128" i="15"/>
  <c r="AH136" i="15"/>
  <c r="AH141" i="15"/>
  <c r="AH146" i="15"/>
  <c r="AH150" i="15"/>
  <c r="AH155" i="15"/>
  <c r="AH173" i="15"/>
  <c r="AH182" i="15"/>
  <c r="AH193" i="15"/>
  <c r="AH63" i="15"/>
  <c r="AH69" i="15"/>
  <c r="AH75" i="15"/>
  <c r="AH81" i="15"/>
  <c r="AH87" i="15"/>
  <c r="AH93" i="15"/>
  <c r="AH115" i="15"/>
  <c r="AH121" i="15"/>
  <c r="AH127" i="15"/>
  <c r="AH135" i="15"/>
  <c r="AH154" i="15"/>
  <c r="AH25" i="15"/>
  <c r="AH61" i="15"/>
  <c r="AH67" i="15"/>
  <c r="AH85" i="15"/>
  <c r="AH91" i="15"/>
  <c r="AH99" i="15"/>
  <c r="AH107" i="15"/>
  <c r="AH119" i="15"/>
  <c r="AH133" i="15"/>
  <c r="AH139" i="15"/>
  <c r="AH158" i="15"/>
  <c r="AH164" i="15"/>
  <c r="AH172" i="15"/>
  <c r="AH192" i="15"/>
  <c r="AH126" i="15"/>
  <c r="AH132" i="15"/>
  <c r="AH138" i="15"/>
  <c r="AH144" i="15"/>
  <c r="AH148" i="15"/>
  <c r="AH152" i="15"/>
  <c r="AH163" i="15"/>
  <c r="AH171" i="15"/>
  <c r="AH175" i="15"/>
  <c r="AH191" i="15"/>
  <c r="AH19" i="15"/>
  <c r="AH73" i="15"/>
  <c r="AH79" i="15"/>
  <c r="AH83" i="15"/>
  <c r="AH89" i="15"/>
  <c r="AH105" i="15"/>
  <c r="AH111" i="15"/>
  <c r="AH125" i="15"/>
  <c r="AH131" i="15"/>
  <c r="AH137" i="15"/>
  <c r="AH143" i="15"/>
  <c r="AH157" i="15"/>
  <c r="AH170" i="15"/>
  <c r="P52" i="15"/>
  <c r="AD52" i="15" s="1"/>
  <c r="AD209" i="15" s="1"/>
  <c r="E8" i="22" s="1"/>
  <c r="T83" i="15"/>
  <c r="J427" i="20"/>
  <c r="O52" i="15"/>
  <c r="AH113" i="15"/>
  <c r="T156" i="15"/>
  <c r="L504" i="20"/>
  <c r="N504" i="20" s="1"/>
  <c r="J503" i="18"/>
  <c r="L503" i="18" s="1"/>
  <c r="AH147" i="15"/>
  <c r="J386" i="18"/>
  <c r="J386" i="20"/>
  <c r="L386" i="20" s="1"/>
  <c r="N386" i="20" s="1"/>
  <c r="T153" i="15"/>
  <c r="J494" i="18"/>
  <c r="L494" i="18" s="1"/>
  <c r="L495" i="20"/>
  <c r="N495" i="20" s="1"/>
  <c r="AH116" i="15"/>
  <c r="L489" i="20"/>
  <c r="N489" i="20" s="1"/>
  <c r="J488" i="18"/>
  <c r="L488" i="18" s="1"/>
  <c r="T152" i="15"/>
  <c r="L492" i="20"/>
  <c r="N492" i="20" s="1"/>
  <c r="J491" i="18"/>
  <c r="L491" i="18" s="1"/>
  <c r="AH160" i="15"/>
  <c r="AH168" i="15"/>
  <c r="T148" i="15"/>
  <c r="J479" i="18"/>
  <c r="L479" i="18" s="1"/>
  <c r="L480" i="20"/>
  <c r="N480" i="20" s="1"/>
  <c r="AH27" i="15"/>
  <c r="AH72" i="15"/>
  <c r="J421" i="18"/>
  <c r="L421" i="18" s="1"/>
  <c r="N421" i="18" s="1"/>
  <c r="L424" i="20"/>
  <c r="N424" i="20" s="1"/>
  <c r="AH129" i="15"/>
  <c r="T150" i="15"/>
  <c r="L486" i="20"/>
  <c r="N486" i="20" s="1"/>
  <c r="J485" i="18"/>
  <c r="L485" i="18" s="1"/>
  <c r="T151" i="15"/>
  <c r="AH167" i="15"/>
  <c r="AH71" i="15"/>
  <c r="T149" i="15"/>
  <c r="L483" i="20"/>
  <c r="N483" i="20" s="1"/>
  <c r="J482" i="18"/>
  <c r="L482" i="18" s="1"/>
  <c r="T158" i="15"/>
  <c r="J510" i="20"/>
  <c r="L510" i="20" s="1"/>
  <c r="J509" i="18"/>
  <c r="L509" i="18" s="1"/>
  <c r="AH166" i="15"/>
  <c r="J476" i="18"/>
  <c r="L476" i="18" s="1"/>
  <c r="L477" i="20"/>
  <c r="N477" i="20" s="1"/>
  <c r="AH194" i="15"/>
  <c r="T147" i="15"/>
  <c r="T146" i="15"/>
  <c r="L474" i="20"/>
  <c r="N474" i="20" s="1"/>
  <c r="J473" i="18"/>
  <c r="L473" i="18" s="1"/>
  <c r="T145" i="15"/>
  <c r="J470" i="18"/>
  <c r="L470" i="18" s="1"/>
  <c r="L471" i="20"/>
  <c r="N471" i="20" s="1"/>
  <c r="J458" i="18"/>
  <c r="L458" i="18" s="1"/>
  <c r="N458" i="18" s="1"/>
  <c r="L459" i="20"/>
  <c r="N459" i="20" s="1"/>
  <c r="T159" i="15"/>
  <c r="J512" i="18"/>
  <c r="L512" i="18" s="1"/>
  <c r="T157" i="15"/>
  <c r="J506" i="18"/>
  <c r="L506" i="18" s="1"/>
  <c r="T155" i="15"/>
  <c r="J500" i="18"/>
  <c r="L500" i="18" s="1"/>
  <c r="T154" i="15"/>
  <c r="J497" i="18"/>
  <c r="L497" i="18" s="1"/>
  <c r="T144" i="15"/>
  <c r="J467" i="18"/>
  <c r="L467" i="18" s="1"/>
  <c r="N467" i="18" s="1"/>
  <c r="T143" i="15"/>
  <c r="J464" i="18"/>
  <c r="L464" i="18" s="1"/>
  <c r="N464" i="18" s="1"/>
  <c r="T142" i="15"/>
  <c r="J461" i="18"/>
  <c r="L461" i="18" s="1"/>
  <c r="N461" i="18" s="1"/>
  <c r="T141" i="15"/>
  <c r="T140" i="15"/>
  <c r="J455" i="18"/>
  <c r="L455" i="18" s="1"/>
  <c r="N455" i="18" s="1"/>
  <c r="T139" i="15"/>
  <c r="J452" i="18"/>
  <c r="L452" i="18" s="1"/>
  <c r="N452" i="18" s="1"/>
  <c r="T138" i="15"/>
  <c r="J449" i="18"/>
  <c r="L449" i="18" s="1"/>
  <c r="N449" i="18" s="1"/>
  <c r="T119" i="15"/>
  <c r="J432" i="18"/>
  <c r="L432" i="18" s="1"/>
  <c r="N432" i="18" s="1"/>
  <c r="T82" i="15"/>
  <c r="T63" i="15"/>
  <c r="J417" i="18"/>
  <c r="L417" i="18" s="1"/>
  <c r="N417" i="18" s="1"/>
  <c r="T42" i="15"/>
  <c r="G408" i="18"/>
  <c r="K407" i="18" s="1"/>
  <c r="K72" i="18"/>
  <c r="L72" i="18" s="1"/>
  <c r="N72" i="18" s="1"/>
  <c r="L184" i="15"/>
  <c r="Z184" i="15" s="1"/>
  <c r="L181" i="2"/>
  <c r="V181" i="2" s="1"/>
  <c r="M49" i="15"/>
  <c r="S49" i="15" s="1"/>
  <c r="L396" i="16"/>
  <c r="N396" i="16" s="1"/>
  <c r="L413" i="16"/>
  <c r="N413" i="16" s="1"/>
  <c r="M108" i="15"/>
  <c r="L398" i="16"/>
  <c r="N398" i="16" s="1"/>
  <c r="M50" i="15"/>
  <c r="S50" i="15" s="1"/>
  <c r="L190" i="15"/>
  <c r="L47" i="15"/>
  <c r="Z47" i="15" s="1"/>
  <c r="M53" i="15"/>
  <c r="S53" i="15" s="1"/>
  <c r="M190" i="15"/>
  <c r="AA190" i="15" s="1"/>
  <c r="AH145" i="15"/>
  <c r="M54" i="15"/>
  <c r="AH101" i="15"/>
  <c r="L52" i="15"/>
  <c r="Z52" i="15" s="1"/>
  <c r="AH97" i="15"/>
  <c r="L189" i="15"/>
  <c r="Z189" i="15" s="1"/>
  <c r="K705" i="11"/>
  <c r="L45" i="15"/>
  <c r="S45" i="15" s="1"/>
  <c r="L51" i="15"/>
  <c r="Z51" i="15" s="1"/>
  <c r="L186" i="15"/>
  <c r="Z186" i="15" s="1"/>
  <c r="AA48" i="15"/>
  <c r="L185" i="15"/>
  <c r="Z185" i="15" s="1"/>
  <c r="K397" i="13"/>
  <c r="L46" i="15" s="1"/>
  <c r="Z46" i="15" s="1"/>
  <c r="L44" i="15"/>
  <c r="S44" i="15" s="1"/>
  <c r="AH165" i="15"/>
  <c r="L188" i="15"/>
  <c r="Z188" i="15" s="1"/>
  <c r="M45" i="15"/>
  <c r="AA43" i="15"/>
  <c r="AH92" i="15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AH162" i="15"/>
  <c r="AH114" i="15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S54" i="15" l="1"/>
  <c r="J446" i="24" s="1"/>
  <c r="L446" i="24" s="1"/>
  <c r="N446" i="24" s="1"/>
  <c r="S108" i="15"/>
  <c r="J434" i="20" s="1"/>
  <c r="L434" i="20" s="1"/>
  <c r="N434" i="20" s="1"/>
  <c r="S190" i="15"/>
  <c r="AA62" i="15"/>
  <c r="AH62" i="15" s="1"/>
  <c r="T48" i="15"/>
  <c r="J434" i="24"/>
  <c r="L434" i="24" s="1"/>
  <c r="N434" i="24" s="1"/>
  <c r="J386" i="22"/>
  <c r="L386" i="22" s="1"/>
  <c r="N386" i="22" s="1"/>
  <c r="J418" i="24"/>
  <c r="L418" i="24" s="1"/>
  <c r="N418" i="24" s="1"/>
  <c r="J402" i="22"/>
  <c r="L402" i="22" s="1"/>
  <c r="N402" i="22" s="1"/>
  <c r="J397" i="18"/>
  <c r="L397" i="18" s="1"/>
  <c r="N397" i="18" s="1"/>
  <c r="J396" i="20"/>
  <c r="L396" i="20" s="1"/>
  <c r="N396" i="20" s="1"/>
  <c r="J384" i="20"/>
  <c r="L384" i="20" s="1"/>
  <c r="N384" i="20" s="1"/>
  <c r="Z45" i="15"/>
  <c r="Z44" i="15"/>
  <c r="Z190" i="15"/>
  <c r="E8" i="23"/>
  <c r="AC52" i="15"/>
  <c r="AH48" i="15"/>
  <c r="N52" i="15"/>
  <c r="AB52" i="15" s="1"/>
  <c r="L386" i="18"/>
  <c r="N386" i="18" s="1"/>
  <c r="K408" i="18"/>
  <c r="AA108" i="15"/>
  <c r="AA49" i="15"/>
  <c r="L59" i="2"/>
  <c r="V59" i="2" s="1"/>
  <c r="L59" i="15"/>
  <c r="Z59" i="15" s="1"/>
  <c r="AA53" i="15"/>
  <c r="L56" i="2"/>
  <c r="V56" i="2" s="1"/>
  <c r="L56" i="15"/>
  <c r="Z56" i="15" s="1"/>
  <c r="L57" i="2"/>
  <c r="V57" i="2" s="1"/>
  <c r="L57" i="15"/>
  <c r="Z57" i="15" s="1"/>
  <c r="AA54" i="15"/>
  <c r="AA50" i="15"/>
  <c r="L43" i="2"/>
  <c r="V43" i="2" s="1"/>
  <c r="L43" i="15"/>
  <c r="Z43" i="15" s="1"/>
  <c r="L58" i="2"/>
  <c r="V58" i="2" s="1"/>
  <c r="L58" i="15"/>
  <c r="Z58" i="15" s="1"/>
  <c r="K189" i="2"/>
  <c r="U189" i="2" s="1"/>
  <c r="K189" i="15"/>
  <c r="S189" i="15" s="1"/>
  <c r="L40" i="2"/>
  <c r="V40" i="2" s="1"/>
  <c r="L40" i="15"/>
  <c r="Z40" i="15" s="1"/>
  <c r="AA45" i="15"/>
  <c r="T44" i="15"/>
  <c r="AA44" i="15"/>
  <c r="AA41" i="15"/>
  <c r="K72" i="16"/>
  <c r="L72" i="16" s="1"/>
  <c r="N72" i="16" s="1"/>
  <c r="K404" i="16"/>
  <c r="K403" i="16"/>
  <c r="M52" i="15" s="1"/>
  <c r="AA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T54" i="15" l="1"/>
  <c r="J410" i="20"/>
  <c r="L410" i="20" s="1"/>
  <c r="N410" i="20" s="1"/>
  <c r="J414" i="22"/>
  <c r="L414" i="22" s="1"/>
  <c r="N414" i="22" s="1"/>
  <c r="J469" i="24"/>
  <c r="L469" i="24" s="1"/>
  <c r="N469" i="24" s="1"/>
  <c r="J437" i="22"/>
  <c r="L437" i="22" s="1"/>
  <c r="N437" i="22" s="1"/>
  <c r="T108" i="15"/>
  <c r="J406" i="22"/>
  <c r="L406" i="22" s="1"/>
  <c r="N406" i="22" s="1"/>
  <c r="J438" i="24"/>
  <c r="L438" i="24" s="1"/>
  <c r="N438" i="24" s="1"/>
  <c r="T190" i="15"/>
  <c r="T62" i="15"/>
  <c r="J412" i="22"/>
  <c r="L412" i="22" s="1"/>
  <c r="N412" i="22" s="1"/>
  <c r="J444" i="24"/>
  <c r="L444" i="24" s="1"/>
  <c r="N444" i="24" s="1"/>
  <c r="J408" i="20"/>
  <c r="L408" i="20" s="1"/>
  <c r="N408" i="20" s="1"/>
  <c r="J404" i="22"/>
  <c r="L404" i="22" s="1"/>
  <c r="N404" i="22" s="1"/>
  <c r="J436" i="24"/>
  <c r="L436" i="24" s="1"/>
  <c r="N436" i="24" s="1"/>
  <c r="J396" i="22"/>
  <c r="L396" i="22" s="1"/>
  <c r="N396" i="22" s="1"/>
  <c r="J428" i="24"/>
  <c r="L428" i="24" s="1"/>
  <c r="N428" i="24" s="1"/>
  <c r="J400" i="20"/>
  <c r="L400" i="20" s="1"/>
  <c r="N400" i="20" s="1"/>
  <c r="AH45" i="15"/>
  <c r="J398" i="20"/>
  <c r="L398" i="20" s="1"/>
  <c r="N398" i="20" s="1"/>
  <c r="AH41" i="15"/>
  <c r="AH44" i="15"/>
  <c r="AH190" i="15"/>
  <c r="T45" i="15"/>
  <c r="AC209" i="15"/>
  <c r="AH53" i="15"/>
  <c r="AH49" i="15"/>
  <c r="AH54" i="15"/>
  <c r="AH50" i="15"/>
  <c r="AH108" i="15"/>
  <c r="T53" i="15"/>
  <c r="J409" i="18"/>
  <c r="L409" i="18" s="1"/>
  <c r="N409" i="18" s="1"/>
  <c r="T50" i="15"/>
  <c r="J401" i="18"/>
  <c r="L401" i="18" s="1"/>
  <c r="N401" i="18" s="1"/>
  <c r="T49" i="15"/>
  <c r="J399" i="18"/>
  <c r="L399" i="18" s="1"/>
  <c r="N399" i="18" s="1"/>
  <c r="AB209" i="15"/>
  <c r="T41" i="15"/>
  <c r="J384" i="18"/>
  <c r="L384" i="18" s="1"/>
  <c r="N384" i="18" s="1"/>
  <c r="L183" i="2"/>
  <c r="V183" i="2" s="1"/>
  <c r="V196" i="2" s="1"/>
  <c r="E8" i="2" s="1"/>
  <c r="L183" i="15"/>
  <c r="Z183" i="15" s="1"/>
  <c r="Z209" i="15" s="1"/>
  <c r="T189" i="15"/>
  <c r="Y189" i="15"/>
  <c r="K177" i="2"/>
  <c r="U177" i="2" s="1"/>
  <c r="K177" i="15"/>
  <c r="K46" i="2"/>
  <c r="U46" i="2" s="1"/>
  <c r="K46" i="15"/>
  <c r="S46" i="15" s="1"/>
  <c r="K47" i="2"/>
  <c r="U47" i="2" s="1"/>
  <c r="K47" i="15"/>
  <c r="S47" i="15" s="1"/>
  <c r="K184" i="2"/>
  <c r="U184" i="2" s="1"/>
  <c r="K184" i="15"/>
  <c r="Y184" i="15" s="1"/>
  <c r="G406" i="11"/>
  <c r="K405" i="11" s="1"/>
  <c r="K51" i="15"/>
  <c r="S51" i="15" s="1"/>
  <c r="AA209" i="15"/>
  <c r="K410" i="11"/>
  <c r="K56" i="15" s="1"/>
  <c r="S56" i="15" s="1"/>
  <c r="K624" i="11"/>
  <c r="K181" i="15" s="1"/>
  <c r="Y181" i="15" s="1"/>
  <c r="K492" i="11"/>
  <c r="K51" i="2"/>
  <c r="U51" i="2" s="1"/>
  <c r="K488" i="11"/>
  <c r="K484" i="1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K56" i="2" l="1"/>
  <c r="U56" i="2" s="1"/>
  <c r="J450" i="24"/>
  <c r="L450" i="24" s="1"/>
  <c r="N450" i="24" s="1"/>
  <c r="J414" i="20"/>
  <c r="J418" i="22"/>
  <c r="L418" i="22" s="1"/>
  <c r="N418" i="22" s="1"/>
  <c r="AH189" i="15"/>
  <c r="E8" i="20"/>
  <c r="E8" i="18"/>
  <c r="E8" i="21"/>
  <c r="E8" i="19"/>
  <c r="K58" i="2"/>
  <c r="U58" i="2" s="1"/>
  <c r="K58" i="15"/>
  <c r="S58" i="15" s="1"/>
  <c r="K52" i="2"/>
  <c r="U52" i="2" s="1"/>
  <c r="K52" i="15"/>
  <c r="S52" i="15" s="1"/>
  <c r="Y177" i="15"/>
  <c r="K59" i="2"/>
  <c r="U59" i="2" s="1"/>
  <c r="K59" i="15"/>
  <c r="S59" i="15" s="1"/>
  <c r="K38" i="2"/>
  <c r="U38" i="2" s="1"/>
  <c r="K38" i="15"/>
  <c r="S38" i="15" s="1"/>
  <c r="K40" i="2"/>
  <c r="U40" i="2" s="1"/>
  <c r="K40" i="15"/>
  <c r="S40" i="15" s="1"/>
  <c r="Y56" i="15"/>
  <c r="T56" i="15"/>
  <c r="G106" i="9"/>
  <c r="K106" i="9" s="1"/>
  <c r="K43" i="2"/>
  <c r="U43" i="2" s="1"/>
  <c r="K43" i="15"/>
  <c r="S43" i="15" s="1"/>
  <c r="Y47" i="15"/>
  <c r="Y51" i="15"/>
  <c r="K57" i="2"/>
  <c r="U57" i="2" s="1"/>
  <c r="K57" i="15"/>
  <c r="S57" i="15" s="1"/>
  <c r="Y46" i="15"/>
  <c r="E8" i="16"/>
  <c r="E8" i="17"/>
  <c r="K76" i="9"/>
  <c r="K94" i="9"/>
  <c r="K682" i="11"/>
  <c r="K611" i="11"/>
  <c r="K94" i="11"/>
  <c r="K703" i="11"/>
  <c r="K188" i="15" s="1"/>
  <c r="Y188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J400" i="22" l="1"/>
  <c r="L400" i="22" s="1"/>
  <c r="N400" i="22" s="1"/>
  <c r="J432" i="24"/>
  <c r="L432" i="24" s="1"/>
  <c r="N432" i="24" s="1"/>
  <c r="J403" i="24"/>
  <c r="L403" i="24" s="1"/>
  <c r="N403" i="24" s="1"/>
  <c r="J424" i="24"/>
  <c r="L424" i="24" s="1"/>
  <c r="N424" i="24" s="1"/>
  <c r="J402" i="20"/>
  <c r="L402" i="20" s="1"/>
  <c r="N402" i="20" s="1"/>
  <c r="J440" i="24"/>
  <c r="L440" i="24" s="1"/>
  <c r="N440" i="24" s="1"/>
  <c r="J398" i="22"/>
  <c r="L398" i="22" s="1"/>
  <c r="N398" i="22" s="1"/>
  <c r="J430" i="24"/>
  <c r="L430" i="24" s="1"/>
  <c r="N430" i="24" s="1"/>
  <c r="T47" i="15"/>
  <c r="T46" i="15"/>
  <c r="J408" i="22"/>
  <c r="L408" i="22" s="1"/>
  <c r="N408" i="22" s="1"/>
  <c r="J392" i="22"/>
  <c r="L392" i="22" s="1"/>
  <c r="N392" i="22" s="1"/>
  <c r="T43" i="15"/>
  <c r="AH47" i="15"/>
  <c r="AH46" i="15"/>
  <c r="AH56" i="15"/>
  <c r="AH51" i="15"/>
  <c r="T51" i="15"/>
  <c r="J403" i="18"/>
  <c r="L403" i="18" s="1"/>
  <c r="N403" i="18" s="1"/>
  <c r="Y57" i="15"/>
  <c r="T57" i="15"/>
  <c r="Y40" i="15"/>
  <c r="T40" i="15"/>
  <c r="Y52" i="15"/>
  <c r="T52" i="15"/>
  <c r="K186" i="2"/>
  <c r="U186" i="2" s="1"/>
  <c r="K186" i="15"/>
  <c r="Y186" i="15" s="1"/>
  <c r="Y59" i="15"/>
  <c r="T59" i="15"/>
  <c r="K185" i="2"/>
  <c r="U185" i="2" s="1"/>
  <c r="K185" i="15"/>
  <c r="Y185" i="15" s="1"/>
  <c r="T38" i="15"/>
  <c r="Y38" i="15"/>
  <c r="Y58" i="15"/>
  <c r="T58" i="15"/>
  <c r="Y43" i="15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J384" i="22" l="1"/>
  <c r="L384" i="22" s="1"/>
  <c r="N384" i="22" s="1"/>
  <c r="J416" i="24"/>
  <c r="L416" i="24" s="1"/>
  <c r="N416" i="24" s="1"/>
  <c r="AH52" i="15"/>
  <c r="AH43" i="15"/>
  <c r="AH59" i="15"/>
  <c r="AH57" i="15"/>
  <c r="AH40" i="15"/>
  <c r="AH58" i="15"/>
  <c r="K183" i="2"/>
  <c r="U183" i="2" s="1"/>
  <c r="K183" i="15"/>
  <c r="Y183" i="15" s="1"/>
  <c r="Y209" i="15" s="1"/>
  <c r="AH38" i="15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187" i="15"/>
  <c r="S187" i="15" s="1"/>
  <c r="K581" i="9"/>
  <c r="K530" i="9"/>
  <c r="K567" i="9"/>
  <c r="G261" i="9"/>
  <c r="K260" i="9" s="1"/>
  <c r="T32" i="2" s="1"/>
  <c r="K340" i="9"/>
  <c r="K330" i="9"/>
  <c r="G70" i="9"/>
  <c r="K68" i="9" s="1"/>
  <c r="J23" i="15" s="1"/>
  <c r="S23" i="15" s="1"/>
  <c r="K262" i="9"/>
  <c r="T29" i="2"/>
  <c r="J36" i="2" l="1"/>
  <c r="T36" i="2" s="1"/>
  <c r="J36" i="15"/>
  <c r="X36" i="15" s="1"/>
  <c r="J37" i="2"/>
  <c r="T37" i="2" s="1"/>
  <c r="J37" i="15"/>
  <c r="X37" i="15" s="1"/>
  <c r="J186" i="2"/>
  <c r="T186" i="2" s="1"/>
  <c r="J186" i="15"/>
  <c r="X186" i="15" s="1"/>
  <c r="J181" i="2"/>
  <c r="T181" i="2" s="1"/>
  <c r="J181" i="15"/>
  <c r="X181" i="15" s="1"/>
  <c r="J188" i="2"/>
  <c r="T188" i="2" s="1"/>
  <c r="J188" i="15"/>
  <c r="S188" i="15" s="1"/>
  <c r="X187" i="15"/>
  <c r="T187" i="15"/>
  <c r="J33" i="2"/>
  <c r="T33" i="2" s="1"/>
  <c r="J33" i="15"/>
  <c r="X33" i="15" s="1"/>
  <c r="T23" i="15"/>
  <c r="X23" i="15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AH23" i="15" l="1"/>
  <c r="AH187" i="15"/>
  <c r="J22" i="2"/>
  <c r="T22" i="2" s="1"/>
  <c r="J22" i="15"/>
  <c r="X22" i="15" s="1"/>
  <c r="J177" i="2"/>
  <c r="T177" i="2" s="1"/>
  <c r="J177" i="15"/>
  <c r="S177" i="15" s="1"/>
  <c r="T188" i="15"/>
  <c r="X188" i="15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S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AH188" i="15" l="1"/>
  <c r="T34" i="15"/>
  <c r="W34" i="15"/>
  <c r="I178" i="2"/>
  <c r="S178" i="2" s="1"/>
  <c r="I178" i="15"/>
  <c r="W178" i="15" s="1"/>
  <c r="J184" i="2"/>
  <c r="T184" i="2" s="1"/>
  <c r="J184" i="15"/>
  <c r="X184" i="15" s="1"/>
  <c r="I179" i="2"/>
  <c r="I179" i="15"/>
  <c r="W179" i="15" s="1"/>
  <c r="X177" i="15"/>
  <c r="T177" i="15"/>
  <c r="I176" i="2"/>
  <c r="S176" i="2" s="1"/>
  <c r="I176" i="15"/>
  <c r="S176" i="15" s="1"/>
  <c r="J185" i="2"/>
  <c r="T185" i="2" s="1"/>
  <c r="J185" i="15"/>
  <c r="X185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S36" i="15" s="1"/>
  <c r="K195" i="5"/>
  <c r="K153" i="5"/>
  <c r="I33" i="15" s="1"/>
  <c r="S33" i="15" s="1"/>
  <c r="K54" i="5"/>
  <c r="I26" i="15" s="1"/>
  <c r="S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7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J274" i="24" l="1"/>
  <c r="L274" i="24" s="1"/>
  <c r="N274" i="24" s="1"/>
  <c r="J108" i="24"/>
  <c r="L108" i="24" s="1"/>
  <c r="N108" i="24" s="1"/>
  <c r="AH34" i="15"/>
  <c r="AH177" i="15"/>
  <c r="I16" i="2"/>
  <c r="I16" i="15"/>
  <c r="S16" i="15" s="1"/>
  <c r="I17" i="2"/>
  <c r="S17" i="2" s="1"/>
  <c r="I17" i="15"/>
  <c r="S17" i="15" s="1"/>
  <c r="W26" i="15"/>
  <c r="T26" i="15"/>
  <c r="W33" i="15"/>
  <c r="T33" i="15"/>
  <c r="I184" i="2"/>
  <c r="S184" i="2" s="1"/>
  <c r="I184" i="15"/>
  <c r="W184" i="15" s="1"/>
  <c r="T176" i="15"/>
  <c r="W176" i="15"/>
  <c r="I180" i="2"/>
  <c r="S180" i="2" s="1"/>
  <c r="I180" i="15"/>
  <c r="W180" i="15" s="1"/>
  <c r="T36" i="15"/>
  <c r="W36" i="15"/>
  <c r="J183" i="2"/>
  <c r="J183" i="15"/>
  <c r="X183" i="15" s="1"/>
  <c r="X209" i="15" s="1"/>
  <c r="I15" i="2"/>
  <c r="I15" i="15"/>
  <c r="S15" i="15" s="1"/>
  <c r="I185" i="2"/>
  <c r="S185" i="2" s="1"/>
  <c r="I185" i="15"/>
  <c r="W185" i="15" s="1"/>
  <c r="I37" i="2"/>
  <c r="I37" i="15"/>
  <c r="S37" i="15" s="1"/>
  <c r="S34" i="2"/>
  <c r="S16" i="2"/>
  <c r="S15" i="2"/>
  <c r="T183" i="2"/>
  <c r="T196" i="2" s="1"/>
  <c r="J340" i="9"/>
  <c r="L340" i="9" s="1"/>
  <c r="N340" i="9" s="1"/>
  <c r="K99" i="5"/>
  <c r="I30" i="15" s="1"/>
  <c r="S30" i="15" s="1"/>
  <c r="S31" i="2"/>
  <c r="G152" i="5"/>
  <c r="K152" i="5" s="1"/>
  <c r="I33" i="2"/>
  <c r="I36" i="2"/>
  <c r="K90" i="5"/>
  <c r="K81" i="5"/>
  <c r="K72" i="5"/>
  <c r="I26" i="2"/>
  <c r="K25" i="5"/>
  <c r="K437" i="5"/>
  <c r="K415" i="5"/>
  <c r="K426" i="5"/>
  <c r="I181" i="15" s="1"/>
  <c r="W181" i="15" s="1"/>
  <c r="K205" i="3"/>
  <c r="K204" i="3" s="1"/>
  <c r="K197" i="3"/>
  <c r="K203" i="3"/>
  <c r="K202" i="3" s="1"/>
  <c r="K208" i="3"/>
  <c r="K207" i="3"/>
  <c r="K193" i="3"/>
  <c r="R176" i="2"/>
  <c r="K196" i="3"/>
  <c r="Y47" i="2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K15" i="3"/>
  <c r="R15" i="2" s="1"/>
  <c r="Y15" i="2" s="1"/>
  <c r="K14" i="3"/>
  <c r="Y16" i="2" l="1"/>
  <c r="J262" i="22"/>
  <c r="L262" i="22" s="1"/>
  <c r="N262" i="22" s="1"/>
  <c r="J262" i="20"/>
  <c r="L262" i="20" s="1"/>
  <c r="N262" i="20" s="1"/>
  <c r="J262" i="18"/>
  <c r="L262" i="18" s="1"/>
  <c r="N262" i="18" s="1"/>
  <c r="J343" i="24"/>
  <c r="L343" i="24" s="1"/>
  <c r="N343" i="24" s="1"/>
  <c r="J330" i="20"/>
  <c r="L330" i="20" s="1"/>
  <c r="N330" i="20" s="1"/>
  <c r="J330" i="22"/>
  <c r="L330" i="22" s="1"/>
  <c r="N330" i="22" s="1"/>
  <c r="J330" i="18"/>
  <c r="L330" i="18" s="1"/>
  <c r="N330" i="18" s="1"/>
  <c r="J354" i="24"/>
  <c r="L354" i="24" s="1"/>
  <c r="N354" i="24" s="1"/>
  <c r="J216" i="24"/>
  <c r="L216" i="24" s="1"/>
  <c r="N216" i="24" s="1"/>
  <c r="J340" i="11"/>
  <c r="L340" i="11" s="1"/>
  <c r="N340" i="11" s="1"/>
  <c r="J340" i="22"/>
  <c r="L340" i="22" s="1"/>
  <c r="N340" i="22" s="1"/>
  <c r="J340" i="20"/>
  <c r="L340" i="20" s="1"/>
  <c r="N340" i="20" s="1"/>
  <c r="J340" i="18"/>
  <c r="L340" i="18" s="1"/>
  <c r="N340" i="18" s="1"/>
  <c r="AH176" i="15"/>
  <c r="AH36" i="15"/>
  <c r="AH33" i="15"/>
  <c r="AH26" i="15"/>
  <c r="H21" i="2"/>
  <c r="R21" i="2" s="1"/>
  <c r="Y21" i="2" s="1"/>
  <c r="H21" i="15"/>
  <c r="S21" i="15" s="1"/>
  <c r="H185" i="2"/>
  <c r="R185" i="2" s="1"/>
  <c r="Y185" i="2" s="1"/>
  <c r="H185" i="15"/>
  <c r="S185" i="15" s="1"/>
  <c r="I29" i="2"/>
  <c r="I29" i="15"/>
  <c r="S29" i="15" s="1"/>
  <c r="H184" i="2"/>
  <c r="R184" i="2" s="1"/>
  <c r="Y184" i="2" s="1"/>
  <c r="H184" i="15"/>
  <c r="S184" i="15" s="1"/>
  <c r="H174" i="2"/>
  <c r="R174" i="2" s="1"/>
  <c r="Y174" i="2" s="1"/>
  <c r="H174" i="15"/>
  <c r="S174" i="15" s="1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W15" i="15"/>
  <c r="T15" i="15"/>
  <c r="T17" i="15"/>
  <c r="W17" i="15"/>
  <c r="H180" i="2"/>
  <c r="R180" i="2" s="1"/>
  <c r="Y180" i="2" s="1"/>
  <c r="H180" i="15"/>
  <c r="S180" i="15" s="1"/>
  <c r="I186" i="2"/>
  <c r="S186" i="2" s="1"/>
  <c r="I186" i="15"/>
  <c r="W186" i="15" s="1"/>
  <c r="J340" i="13"/>
  <c r="L340" i="13" s="1"/>
  <c r="N340" i="13" s="1"/>
  <c r="J340" i="16"/>
  <c r="L340" i="16" s="1"/>
  <c r="N340" i="16" s="1"/>
  <c r="H14" i="2"/>
  <c r="H14" i="15"/>
  <c r="S14" i="15" s="1"/>
  <c r="H178" i="2"/>
  <c r="R178" i="2" s="1"/>
  <c r="Y178" i="2" s="1"/>
  <c r="H178" i="15"/>
  <c r="S178" i="15" s="1"/>
  <c r="I22" i="2"/>
  <c r="I22" i="15"/>
  <c r="W22" i="15" s="1"/>
  <c r="T16" i="15"/>
  <c r="W16" i="15"/>
  <c r="T37" i="15"/>
  <c r="W37" i="15"/>
  <c r="S37" i="2"/>
  <c r="H179" i="2"/>
  <c r="R179" i="2" s="1"/>
  <c r="Y179" i="2" s="1"/>
  <c r="H179" i="15"/>
  <c r="S179" i="15" s="1"/>
  <c r="T30" i="15"/>
  <c r="W30" i="15"/>
  <c r="K206" i="3"/>
  <c r="S26" i="2"/>
  <c r="Y37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81" i="15" s="1"/>
  <c r="S181" i="15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J68" i="24" l="1"/>
  <c r="L68" i="24" s="1"/>
  <c r="N68" i="24" s="1"/>
  <c r="J68" i="22"/>
  <c r="L68" i="22" s="1"/>
  <c r="N68" i="22" s="1"/>
  <c r="J68" i="20"/>
  <c r="L68" i="20" s="1"/>
  <c r="N68" i="20" s="1"/>
  <c r="J68" i="18"/>
  <c r="L68" i="18" s="1"/>
  <c r="N68" i="18" s="1"/>
  <c r="AH15" i="15"/>
  <c r="AH30" i="15"/>
  <c r="AH37" i="15"/>
  <c r="AH17" i="15"/>
  <c r="V181" i="15"/>
  <c r="T181" i="15"/>
  <c r="H186" i="2"/>
  <c r="R186" i="2" s="1"/>
  <c r="Y186" i="2" s="1"/>
  <c r="H186" i="15"/>
  <c r="S186" i="15" s="1"/>
  <c r="AH16" i="15"/>
  <c r="V184" i="15"/>
  <c r="T184" i="15"/>
  <c r="T29" i="15"/>
  <c r="W29" i="15"/>
  <c r="I32" i="2"/>
  <c r="I32" i="15"/>
  <c r="S32" i="15" s="1"/>
  <c r="T179" i="15"/>
  <c r="V179" i="15"/>
  <c r="J68" i="13"/>
  <c r="L68" i="13" s="1"/>
  <c r="N68" i="13" s="1"/>
  <c r="J68" i="16"/>
  <c r="L68" i="16" s="1"/>
  <c r="N68" i="16" s="1"/>
  <c r="V178" i="15"/>
  <c r="T178" i="15"/>
  <c r="V180" i="15"/>
  <c r="T180" i="15"/>
  <c r="V185" i="15"/>
  <c r="T185" i="15"/>
  <c r="H22" i="2"/>
  <c r="R22" i="2" s="1"/>
  <c r="Y22" i="2" s="1"/>
  <c r="H22" i="15"/>
  <c r="S22" i="15" s="1"/>
  <c r="I183" i="2"/>
  <c r="S183" i="2" s="1"/>
  <c r="I183" i="15"/>
  <c r="W183" i="15" s="1"/>
  <c r="J68" i="11"/>
  <c r="L68" i="11" s="1"/>
  <c r="N68" i="11" s="1"/>
  <c r="T14" i="15"/>
  <c r="V14" i="15"/>
  <c r="V174" i="15"/>
  <c r="T174" i="15"/>
  <c r="V21" i="15"/>
  <c r="T21" i="15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J260" i="22" l="1"/>
  <c r="L260" i="22" s="1"/>
  <c r="N260" i="22" s="1"/>
  <c r="J260" i="20"/>
  <c r="L260" i="20" s="1"/>
  <c r="N260" i="20" s="1"/>
  <c r="J260" i="18"/>
  <c r="L260" i="18" s="1"/>
  <c r="N260" i="18" s="1"/>
  <c r="AH184" i="15"/>
  <c r="AH174" i="15"/>
  <c r="AH179" i="15"/>
  <c r="AH21" i="15"/>
  <c r="AH185" i="15"/>
  <c r="AH178" i="15"/>
  <c r="AH180" i="15"/>
  <c r="AH29" i="15"/>
  <c r="AH181" i="15"/>
  <c r="V22" i="15"/>
  <c r="T22" i="15"/>
  <c r="T32" i="15"/>
  <c r="W32" i="15"/>
  <c r="T186" i="15"/>
  <c r="V186" i="15"/>
  <c r="J260" i="13"/>
  <c r="L260" i="13" s="1"/>
  <c r="N260" i="13" s="1"/>
  <c r="J260" i="16"/>
  <c r="L260" i="16" s="1"/>
  <c r="N260" i="16" s="1"/>
  <c r="H183" i="2"/>
  <c r="R183" i="2" s="1"/>
  <c r="Y183" i="2" s="1"/>
  <c r="H183" i="15"/>
  <c r="S183" i="15" s="1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O45" i="2"/>
  <c r="O46" i="2"/>
  <c r="O48" i="2"/>
  <c r="O49" i="2"/>
  <c r="O50" i="2"/>
  <c r="O51" i="2"/>
  <c r="J400" i="16" s="1"/>
  <c r="L400" i="16" s="1"/>
  <c r="N400" i="16" s="1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390" i="16" l="1"/>
  <c r="L390" i="16" s="1"/>
  <c r="N390" i="16" s="1"/>
  <c r="J392" i="20"/>
  <c r="L392" i="20" s="1"/>
  <c r="N392" i="20" s="1"/>
  <c r="J393" i="18"/>
  <c r="L393" i="18" s="1"/>
  <c r="N393" i="18" s="1"/>
  <c r="J257" i="16"/>
  <c r="L257" i="16" s="1"/>
  <c r="N257" i="16" s="1"/>
  <c r="J264" i="24"/>
  <c r="L264" i="24" s="1"/>
  <c r="N264" i="24" s="1"/>
  <c r="J257" i="20"/>
  <c r="L257" i="20" s="1"/>
  <c r="N257" i="20" s="1"/>
  <c r="J257" i="22"/>
  <c r="L257" i="22" s="1"/>
  <c r="N257" i="22" s="1"/>
  <c r="J257" i="18"/>
  <c r="L257" i="18" s="1"/>
  <c r="N257" i="18" s="1"/>
  <c r="J25" i="16"/>
  <c r="L25" i="16" s="1"/>
  <c r="N25" i="16" s="1"/>
  <c r="J25" i="24"/>
  <c r="L25" i="24" s="1"/>
  <c r="N25" i="24" s="1"/>
  <c r="J25" i="20"/>
  <c r="L25" i="20" s="1"/>
  <c r="N25" i="20" s="1"/>
  <c r="J25" i="22"/>
  <c r="L25" i="22" s="1"/>
  <c r="N25" i="22" s="1"/>
  <c r="J25" i="18"/>
  <c r="L25" i="18" s="1"/>
  <c r="N25" i="18" s="1"/>
  <c r="J14" i="16"/>
  <c r="L14" i="16" s="1"/>
  <c r="N14" i="16" s="1"/>
  <c r="J14" i="24"/>
  <c r="L14" i="24" s="1"/>
  <c r="N14" i="24" s="1"/>
  <c r="J14" i="22"/>
  <c r="L14" i="22" s="1"/>
  <c r="N14" i="22" s="1"/>
  <c r="J14" i="20"/>
  <c r="L14" i="20" s="1"/>
  <c r="N14" i="20" s="1"/>
  <c r="J14" i="18"/>
  <c r="L14" i="18" s="1"/>
  <c r="N14" i="18" s="1"/>
  <c r="J426" i="24"/>
  <c r="L426" i="24" s="1"/>
  <c r="N426" i="24" s="1"/>
  <c r="J390" i="20"/>
  <c r="L390" i="20" s="1"/>
  <c r="N390" i="20" s="1"/>
  <c r="J394" i="22"/>
  <c r="L394" i="22" s="1"/>
  <c r="N394" i="22" s="1"/>
  <c r="J391" i="18"/>
  <c r="L391" i="18" s="1"/>
  <c r="N391" i="18" s="1"/>
  <c r="J302" i="16"/>
  <c r="L302" i="16" s="1"/>
  <c r="N302" i="16" s="1"/>
  <c r="J314" i="24"/>
  <c r="L314" i="24" s="1"/>
  <c r="N314" i="24" s="1"/>
  <c r="J302" i="22"/>
  <c r="L302" i="22" s="1"/>
  <c r="N302" i="22" s="1"/>
  <c r="J302" i="20"/>
  <c r="L302" i="20" s="1"/>
  <c r="N302" i="20" s="1"/>
  <c r="J302" i="18"/>
  <c r="L302" i="18" s="1"/>
  <c r="N302" i="18" s="1"/>
  <c r="J24" i="16"/>
  <c r="L24" i="16" s="1"/>
  <c r="N24" i="16" s="1"/>
  <c r="J24" i="24"/>
  <c r="L24" i="24" s="1"/>
  <c r="N24" i="24" s="1"/>
  <c r="J24" i="22"/>
  <c r="L24" i="22" s="1"/>
  <c r="N24" i="22" s="1"/>
  <c r="J24" i="20"/>
  <c r="L24" i="20" s="1"/>
  <c r="N24" i="20" s="1"/>
  <c r="J24" i="18"/>
  <c r="L24" i="18" s="1"/>
  <c r="N24" i="18" s="1"/>
  <c r="J16" i="24"/>
  <c r="L16" i="24" s="1"/>
  <c r="N16" i="24" s="1"/>
  <c r="J16" i="22"/>
  <c r="L16" i="22" s="1"/>
  <c r="N16" i="22" s="1"/>
  <c r="J16" i="20"/>
  <c r="L16" i="20" s="1"/>
  <c r="N16" i="20" s="1"/>
  <c r="J16" i="18"/>
  <c r="L16" i="18" s="1"/>
  <c r="N16" i="18" s="1"/>
  <c r="J154" i="16"/>
  <c r="L154" i="16" s="1"/>
  <c r="N154" i="16" s="1"/>
  <c r="J189" i="24"/>
  <c r="L189" i="24" s="1"/>
  <c r="N189" i="24" s="1"/>
  <c r="J154" i="22"/>
  <c r="L154" i="22" s="1"/>
  <c r="N154" i="22" s="1"/>
  <c r="J154" i="20"/>
  <c r="L154" i="20" s="1"/>
  <c r="N154" i="20" s="1"/>
  <c r="J154" i="18"/>
  <c r="L154" i="18" s="1"/>
  <c r="N154" i="18" s="1"/>
  <c r="J17" i="16"/>
  <c r="L17" i="16" s="1"/>
  <c r="N17" i="16" s="1"/>
  <c r="J17" i="24"/>
  <c r="L17" i="24" s="1"/>
  <c r="N17" i="24" s="1"/>
  <c r="J17" i="22"/>
  <c r="L17" i="22" s="1"/>
  <c r="N17" i="22" s="1"/>
  <c r="J17" i="20"/>
  <c r="L17" i="20" s="1"/>
  <c r="N17" i="20" s="1"/>
  <c r="J17" i="18"/>
  <c r="L17" i="18" s="1"/>
  <c r="N17" i="18" s="1"/>
  <c r="J417" i="16"/>
  <c r="L417" i="16" s="1"/>
  <c r="N417" i="16" s="1"/>
  <c r="J429" i="18"/>
  <c r="L429" i="18" s="1"/>
  <c r="N429" i="18" s="1"/>
  <c r="J403" i="16"/>
  <c r="L403" i="16" s="1"/>
  <c r="N403" i="16" s="1"/>
  <c r="J442" i="24"/>
  <c r="L442" i="24" s="1"/>
  <c r="N442" i="24" s="1"/>
  <c r="J410" i="22"/>
  <c r="L410" i="22" s="1"/>
  <c r="N410" i="22" s="1"/>
  <c r="J406" i="20"/>
  <c r="L406" i="20" s="1"/>
  <c r="N406" i="20" s="1"/>
  <c r="J407" i="18"/>
  <c r="L407" i="18" s="1"/>
  <c r="N407" i="18" s="1"/>
  <c r="J386" i="16"/>
  <c r="L386" i="16" s="1"/>
  <c r="N386" i="16" s="1"/>
  <c r="J388" i="20"/>
  <c r="L388" i="20" s="1"/>
  <c r="N388" i="20" s="1"/>
  <c r="J389" i="18"/>
  <c r="L389" i="18" s="1"/>
  <c r="N389" i="18" s="1"/>
  <c r="J381" i="16"/>
  <c r="L381" i="16" s="1"/>
  <c r="N381" i="16" s="1"/>
  <c r="J413" i="24"/>
  <c r="L413" i="24" s="1"/>
  <c r="N413" i="24" s="1"/>
  <c r="J381" i="22"/>
  <c r="L381" i="22" s="1"/>
  <c r="N381" i="22" s="1"/>
  <c r="J381" i="20"/>
  <c r="L381" i="20" s="1"/>
  <c r="N381" i="20" s="1"/>
  <c r="J381" i="18"/>
  <c r="L381" i="18" s="1"/>
  <c r="N381" i="18" s="1"/>
  <c r="J172" i="16"/>
  <c r="L172" i="16" s="1"/>
  <c r="N172" i="16" s="1"/>
  <c r="J172" i="22"/>
  <c r="L172" i="22" s="1"/>
  <c r="N172" i="22" s="1"/>
  <c r="J172" i="20"/>
  <c r="L172" i="20" s="1"/>
  <c r="N172" i="20" s="1"/>
  <c r="J172" i="18"/>
  <c r="L172" i="18" s="1"/>
  <c r="N172" i="18" s="1"/>
  <c r="J21" i="16"/>
  <c r="L21" i="16" s="1"/>
  <c r="N21" i="16" s="1"/>
  <c r="J21" i="24"/>
  <c r="L21" i="24" s="1"/>
  <c r="N21" i="24" s="1"/>
  <c r="J21" i="22"/>
  <c r="L21" i="22" s="1"/>
  <c r="N21" i="22" s="1"/>
  <c r="J21" i="20"/>
  <c r="L21" i="20" s="1"/>
  <c r="N21" i="20" s="1"/>
  <c r="J21" i="18"/>
  <c r="L21" i="18" s="1"/>
  <c r="N21" i="18" s="1"/>
  <c r="J15" i="16"/>
  <c r="L15" i="16" s="1"/>
  <c r="N15" i="16" s="1"/>
  <c r="J15" i="24"/>
  <c r="L15" i="24" s="1"/>
  <c r="N15" i="24" s="1"/>
  <c r="J15" i="22"/>
  <c r="L15" i="22" s="1"/>
  <c r="N15" i="22" s="1"/>
  <c r="J15" i="20"/>
  <c r="L15" i="20" s="1"/>
  <c r="N15" i="20" s="1"/>
  <c r="J15" i="18"/>
  <c r="L15" i="18" s="1"/>
  <c r="N15" i="18" s="1"/>
  <c r="J420" i="16"/>
  <c r="L420" i="16" s="1"/>
  <c r="N420" i="16" s="1"/>
  <c r="J579" i="24"/>
  <c r="L579" i="24" s="1"/>
  <c r="N579" i="24" s="1"/>
  <c r="J545" i="20"/>
  <c r="L545" i="20" s="1"/>
  <c r="N545" i="20" s="1"/>
  <c r="J547" i="22"/>
  <c r="L547" i="22" s="1"/>
  <c r="N547" i="22" s="1"/>
  <c r="J544" i="18"/>
  <c r="L544" i="18" s="1"/>
  <c r="N544" i="18" s="1"/>
  <c r="J415" i="16"/>
  <c r="L415" i="16" s="1"/>
  <c r="N415" i="16" s="1"/>
  <c r="J427" i="18"/>
  <c r="L427" i="18" s="1"/>
  <c r="N427" i="18" s="1"/>
  <c r="J392" i="16"/>
  <c r="L392" i="16" s="1"/>
  <c r="N392" i="16" s="1"/>
  <c r="J394" i="20"/>
  <c r="L394" i="20" s="1"/>
  <c r="N394" i="20" s="1"/>
  <c r="J395" i="18"/>
  <c r="L395" i="18" s="1"/>
  <c r="N395" i="18" s="1"/>
  <c r="J163" i="16"/>
  <c r="L163" i="16" s="1"/>
  <c r="N163" i="16" s="1"/>
  <c r="J198" i="24"/>
  <c r="L198" i="24" s="1"/>
  <c r="N198" i="24" s="1"/>
  <c r="J163" i="22"/>
  <c r="L163" i="22" s="1"/>
  <c r="N163" i="22" s="1"/>
  <c r="J163" i="20"/>
  <c r="L163" i="20" s="1"/>
  <c r="N163" i="20" s="1"/>
  <c r="J163" i="18"/>
  <c r="L163" i="18" s="1"/>
  <c r="N163" i="18" s="1"/>
  <c r="J19" i="16"/>
  <c r="L19" i="16" s="1"/>
  <c r="N19" i="16" s="1"/>
  <c r="J19" i="24"/>
  <c r="L19" i="24" s="1"/>
  <c r="N19" i="24" s="1"/>
  <c r="J19" i="22"/>
  <c r="L19" i="22" s="1"/>
  <c r="N19" i="22" s="1"/>
  <c r="J19" i="20"/>
  <c r="L19" i="20" s="1"/>
  <c r="N19" i="20" s="1"/>
  <c r="J19" i="18"/>
  <c r="L19" i="18" s="1"/>
  <c r="N19" i="18" s="1"/>
  <c r="AH186" i="15"/>
  <c r="AH22" i="15"/>
  <c r="Z183" i="2"/>
  <c r="J393" i="13"/>
  <c r="L393" i="13" s="1"/>
  <c r="N393" i="13" s="1"/>
  <c r="J388" i="16"/>
  <c r="L388" i="16" s="1"/>
  <c r="N388" i="16" s="1"/>
  <c r="AH32" i="15"/>
  <c r="W209" i="15"/>
  <c r="V183" i="15"/>
  <c r="AG209" i="15" s="1"/>
  <c r="AH209" i="15" s="1"/>
  <c r="T183" i="15"/>
  <c r="AH14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V209" i="15" l="1"/>
  <c r="AH183" i="15"/>
  <c r="P8" i="15"/>
  <c r="L413" i="13"/>
  <c r="N413" i="13" s="1"/>
  <c r="G501" i="13"/>
  <c r="K502" i="13" s="1"/>
  <c r="N25" i="5"/>
  <c r="G50" i="5"/>
  <c r="N25" i="9"/>
  <c r="Z14" i="2"/>
  <c r="Y196" i="2"/>
  <c r="J8" i="2" s="1"/>
  <c r="H8" i="24" l="1"/>
  <c r="H8" i="23"/>
  <c r="H8" i="22"/>
  <c r="J8" i="15"/>
  <c r="H8" i="15"/>
  <c r="H8" i="2"/>
  <c r="Z196" i="2"/>
  <c r="H8" i="21" l="1"/>
  <c r="H8" i="20"/>
  <c r="H8" i="18"/>
  <c r="H8" i="19"/>
  <c r="H8" i="17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111" authorId="0" shapeId="0" xr:uid="{F2F747EF-8C38-4744-997B-0B0385880B6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D177" authorId="0" shapeId="0" xr:uid="{93C4C165-DC4F-443E-8E6C-A285A2AA9975}">
      <text>
        <r>
          <rPr>
            <b/>
            <sz val="9"/>
            <color indexed="81"/>
            <rFont val="Segoe UI"/>
            <family val="2"/>
          </rPr>
          <t>OBS: TRECHOS 01,02...INDICADOS NA PLANILHA NOMEADA ANEXOS (ADITIVO 01). PARA MELHOR ENTENDIMENTO</t>
        </r>
      </text>
    </comment>
    <comment ref="K177" authorId="0" shapeId="0" xr:uid="{D2A199A4-57D5-4C58-86B2-0BEF0BF0968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CONSIDERANDO ÁREA LATERAL DE CADA TRECHO VEZES 0.2 (PROFUNDIDADE) PARA ENCONTRAR O VOLUME. 
</t>
        </r>
      </text>
    </comment>
    <comment ref="J228" authorId="0" shapeId="0" xr:uid="{732967D0-C3A5-4025-B701-16574AD87D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K235" authorId="0" shapeId="0" xr:uid="{4E613B98-9023-4F05-9941-87A3AE1AF33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76" authorId="0" shapeId="0" xr:uid="{A2D78236-68DA-40FE-AA9B-A424AB131DB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18" authorId="0" shapeId="0" xr:uid="{03774770-913A-4308-A9AA-16D3F862312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45" authorId="0" shapeId="0" xr:uid="{28C49CB5-D3C6-4166-BBF5-266BE96FAC7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72" authorId="0" shapeId="0" xr:uid="{42CFCB1D-B64B-42E2-8721-B619ADCC086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E31ACD6B-7B83-4047-BECE-2693BA4F724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3CB36F03-23F7-4B6A-B27E-6A76149F449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637FBBEA-A5E9-404B-9A1B-83D611FAEC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A6B3DDF1-601D-48DA-BABF-769F81913DC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76402866-E386-4786-9906-A5387154787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6A4C4E62-9FF6-4F33-ABCC-990E15F331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1085BCD2-87FF-4D4A-95CC-FEB652FC552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DF9DC238-A59C-4B02-AD24-EC1C85E76BD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472BE33A-9ADA-4978-98C1-F68A5AF15DF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ACB1015B-D1FD-43E9-818D-42AC642D474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4CD7D15D-15E9-4DA9-B3EB-B6538069A6F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D20F380-225A-4C96-8E53-3F015047DE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1FDA2637-A74B-4DF5-ACEE-B2A0E7E2EA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141D249-420C-4F6B-843E-4BD9384224F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60EC92-9FA2-4129-906A-EF06BA44B2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<sst xmlns="http://schemas.openxmlformats.org/spreadsheetml/2006/main" count="11582" uniqueCount="1109">
  <si>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</si>
  <si>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</si>
  <si>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</si>
  <si>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</si>
  <si>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</si>
  <si>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</si>
  <si>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</si>
  <si>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</si>
  <si>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</si>
  <si>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</si>
  <si>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</si>
  <si>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</si>
  <si>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</si>
  <si>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</si>
  <si>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</si>
  <si>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</si>
  <si>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</si>
  <si>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</si>
  <si>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</si>
  <si>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</si>
  <si>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</si>
  <si>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</si>
  <si>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</si>
  <si>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</si>
  <si>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</si>
  <si>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</si>
  <si>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</si>
  <si>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</si>
  <si>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</si>
  <si>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</si>
  <si>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</si>
  <si>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</si>
  <si>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</si>
  <si>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</si>
  <si>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</si>
  <si>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</si>
  <si>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</si>
  <si>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</si>
  <si>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</si>
  <si>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</si>
  <si>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</si>
  <si>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</si>
  <si>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</si>
  <si>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</si>
  <si>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</si>
  <si>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</si>
  <si>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</si>
  <si>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</si>
  <si>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</si>
  <si>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</si>
  <si>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</si>
  <si>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</si>
  <si>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</si>
  <si>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</si>
  <si>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</si>
  <si>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</si>
  <si>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</si>
  <si>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</si>
  <si>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</si>
  <si>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</si>
  <si>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</si>
  <si>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</si>
  <si>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</si>
  <si>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</si>
  <si>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</si>
  <si>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</si>
  <si>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</si>
  <si>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</si>
  <si>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</si>
  <si>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</si>
  <si>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</si>
  <si>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</si>
  <si>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</si>
  <si>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</si>
  <si>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</si>
  <si>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</si>
  <si>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</si>
  <si>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</si>
  <si>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</si>
  <si>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</si>
  <si>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</si>
  <si>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</si>
  <si>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</si>
  <si>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</si>
  <si>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</si>
  <si>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</si>
  <si>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</si>
  <si>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</si>
  <si>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</si>
  <si>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</si>
  <si>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</si>
  <si>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</si>
  <si>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</si>
  <si>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</si>
  <si>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</si>
  <si>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</si>
  <si>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</si>
  <si>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</si>
  <si>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</si>
  <si>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</si>
  <si>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</si>
  <si>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</si>
  <si>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</si>
  <si>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</si>
  <si>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</si>
  <si>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</si>
  <si>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</si>
  <si>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</si>
  <si>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</si>
  <si>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</si>
  <si>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</si>
  <si>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</si>
  <si>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</si>
  <si>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</si>
  <si>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</si>
  <si>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</si>
  <si>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</si>
  <si>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</si>
  <si>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</si>
  <si>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</si>
  <si>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</si>
  <si>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</si>
  <si>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</si>
  <si>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</si>
  <si>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</si>
  <si>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</si>
  <si>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</si>
  <si>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</si>
  <si>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</si>
  <si>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</si>
  <si>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</si>
  <si>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</si>
  <si>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</si>
  <si>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</si>
  <si>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</si>
  <si>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</si>
  <si>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</si>
  <si>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</si>
  <si>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</si>
  <si>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</si>
  <si>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</si>
  <si>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</si>
  <si>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</si>
  <si>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</si>
  <si>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</si>
  <si>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</si>
  <si>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</si>
  <si>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</si>
  <si>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</si>
  <si>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</si>
  <si>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</si>
  <si>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</si>
  <si>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</si>
  <si>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</si>
  <si>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</si>
  <si>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</si>
  <si>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</si>
  <si>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</si>
  <si>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</si>
  <si>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</si>
  <si>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</si>
  <si>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</si>
  <si>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</si>
  <si>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</si>
  <si>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</si>
  <si>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</si>
  <si>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</si>
  <si>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</si>
  <si>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</si>
  <si>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</si>
  <si>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</si>
  <si>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</si>
  <si>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</si>
  <si>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</si>
  <si>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</si>
  <si>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</si>
  <si>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</si>
  <si>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</si>
  <si>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</si>
  <si>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</si>
  <si>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</si>
  <si>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</si>
  <si>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</si>
  <si>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</si>
  <si>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</si>
  <si>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</si>
  <si>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</si>
  <si>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</si>
  <si>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</si>
  <si>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</si>
  <si>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</si>
  <si>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</si>
  <si>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</si>
  <si>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</si>
  <si>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</si>
  <si>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</si>
  <si>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</si>
  <si>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</si>
  <si>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</si>
  <si>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</si>
  <si>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</si>
  <si>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</si>
  <si>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</si>
  <si>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</si>
  <si>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</si>
  <si>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</si>
  <si>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</si>
  <si>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</si>
  <si>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</si>
  <si>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</si>
  <si>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</si>
  <si>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</si>
  <si>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</si>
  <si>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</si>
  <si>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</si>
  <si>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</si>
  <si>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</si>
  <si>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</si>
  <si>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</si>
  <si>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</si>
  <si>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</si>
  <si>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</si>
  <si>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</si>
  <si>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</si>
  <si>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</si>
  <si>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</si>
  <si>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</si>
  <si>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</si>
  <si>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</si>
  <si>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</si>
  <si>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</si>
  <si>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</si>
  <si>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</si>
  <si>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</si>
  <si>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</si>
  <si>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</si>
  <si>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</si>
  <si>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</si>
  <si>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</si>
  <si>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</si>
  <si>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</si>
  <si>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</si>
  <si>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</si>
  <si>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</si>
  <si>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</si>
  <si>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</si>
  <si>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</si>
  <si>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</si>
  <si>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</si>
  <si>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</si>
  <si>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</si>
  <si>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</si>
  <si>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</si>
  <si>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</si>
  <si>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</si>
  <si>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</si>
  <si>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</si>
  <si>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</si>
  <si>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</si>
  <si>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</si>
  <si>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</si>
  <si>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</si>
  <si>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</si>
  <si>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</si>
  <si>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</si>
  <si>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</si>
  <si>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</si>
  <si>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</si>
  <si>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</si>
  <si>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</si>
  <si>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</si>
  <si>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</si>
  <si>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</si>
  <si>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</si>
  <si>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</si>
  <si>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</si>
  <si>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</si>
  <si>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</si>
  <si>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</si>
  <si>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</si>
  <si>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</si>
  <si>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</si>
  <si>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</si>
  <si>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</si>
  <si>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</si>
  <si>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</si>
  <si>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</si>
  <si>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</si>
  <si>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</si>
  <si>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</si>
  <si>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</si>
  <si>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</si>
  <si>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</si>
  <si>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</si>
  <si>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</si>
  <si>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</si>
  <si>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</si>
  <si>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</si>
  <si>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</si>
  <si>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</si>
  <si>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</si>
  <si>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</si>
  <si>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</si>
  <si>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</si>
  <si>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</si>
  <si>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</si>
  <si>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</si>
  <si>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</si>
  <si>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</si>
  <si>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</si>
  <si>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</si>
  <si>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</si>
  <si>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</si>
  <si>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</si>
  <si>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</si>
  <si>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</si>
  <si>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</si>
  <si>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</si>
  <si>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</si>
  <si>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</si>
  <si>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</si>
  <si>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</si>
  <si>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</si>
  <si>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</si>
  <si>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</si>
  <si>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</si>
  <si>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</si>
  <si>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</si>
  <si>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</si>
  <si>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</si>
  <si>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</si>
  <si>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</si>
  <si>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</si>
  <si>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</si>
  <si>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</si>
  <si>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</si>
  <si>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</si>
  <si>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</si>
  <si>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</si>
  <si>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</si>
  <si>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</si>
  <si>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</si>
  <si>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</si>
  <si>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</si>
  <si>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</si>
  <si>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</si>
  <si>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</si>
  <si>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</si>
  <si>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</si>
  <si>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</si>
  <si>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</si>
  <si>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</si>
  <si>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</si>
  <si>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</si>
  <si>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</si>
  <si>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</si>
  <si>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</si>
  <si>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</si>
  <si>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</si>
  <si>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</si>
  <si>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</si>
  <si>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</si>
  <si>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</si>
  <si>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</si>
  <si>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</si>
  <si>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</si>
  <si>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</si>
  <si>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</si>
  <si>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</si>
  <si>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</si>
  <si>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</si>
  <si>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</si>
  <si>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</si>
  <si>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</si>
  <si>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</si>
  <si>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</si>
  <si>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</si>
  <si>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</si>
  <si>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</si>
  <si>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</si>
  <si>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</si>
  <si>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</si>
  <si>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</si>
  <si>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</si>
  <si>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</si>
  <si>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</si>
  <si>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</si>
  <si>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</si>
  <si>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</si>
  <si>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</si>
  <si>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</si>
  <si>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</si>
  <si>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</si>
  <si>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</si>
  <si>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</si>
  <si>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</si>
  <si>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</si>
  <si>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</si>
  <si>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</si>
  <si>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</si>
  <si>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</si>
  <si>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</si>
  <si>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</si>
  <si>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</si>
  <si>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</si>
  <si>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</si>
  <si>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</si>
  <si>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</si>
  <si>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</si>
  <si>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</si>
  <si>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</si>
  <si>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</si>
  <si>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</si>
  <si>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</si>
  <si>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</si>
  <si>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</si>
  <si>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</si>
  <si>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</si>
  <si>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</si>
  <si>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</si>
  <si>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</si>
  <si>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</si>
  <si>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</si>
  <si>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</si>
  <si>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</si>
  <si>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</si>
  <si>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</si>
  <si>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</si>
  <si>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</si>
  <si>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</si>
  <si>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</si>
  <si>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</si>
  <si>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</si>
  <si>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</si>
  <si>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</si>
  <si>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</si>
  <si>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</si>
  <si>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</si>
  <si>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</si>
  <si>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</si>
  <si>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</si>
  <si>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</si>
  <si>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</si>
  <si>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</si>
  <si>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</si>
  <si>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</si>
  <si>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</si>
  <si>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</si>
  <si>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</si>
  <si>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</si>
  <si>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</si>
  <si>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</si>
  <si>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</si>
  <si>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</si>
  <si>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</si>
  <si>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</si>
  <si>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</si>
  <si>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</si>
  <si>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</si>
  <si>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</si>
  <si>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</si>
  <si>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</si>
  <si>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</si>
  <si>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</si>
  <si>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</si>
  <si>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</si>
  <si>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</si>
  <si>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</si>
  <si>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</si>
  <si>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</si>
  <si>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</si>
  <si>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</si>
  <si>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</si>
  <si>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</si>
  <si>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</si>
  <si>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</si>
  <si>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</si>
  <si>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</si>
  <si>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</si>
  <si>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</si>
  <si>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</si>
  <si>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</si>
  <si>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</si>
  <si>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</si>
  <si>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</si>
  <si>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</si>
  <si>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</si>
  <si>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</si>
  <si>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</si>
  <si>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</si>
  <si>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</si>
  <si>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</si>
  <si>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</si>
  <si>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</si>
  <si>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</si>
  <si>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</si>
  <si>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</si>
  <si>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</si>
  <si>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</si>
  <si>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</si>
  <si>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</si>
  <si>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</si>
  <si>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</si>
  <si>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</si>
  <si>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</si>
  <si>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</si>
  <si>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</si>
  <si>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</si>
  <si>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</si>
  <si>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</si>
  <si>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</si>
  <si>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</si>
  <si>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</si>
  <si>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</si>
  <si>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</si>
  <si>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</si>
  <si>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</si>
  <si>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</si>
  <si>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</si>
  <si>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</si>
  <si>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</si>
  <si>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</si>
  <si>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</si>
  <si>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</si>
  <si>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</si>
  <si>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</si>
  <si>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</si>
  <si>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</si>
  <si>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</si>
  <si>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</si>
  <si>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</si>
  <si>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</si>
  <si>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</si>
  <si>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</si>
  <si>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</si>
  <si>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</si>
  <si>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</si>
  <si>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</si>
  <si>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</si>
  <si>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</si>
  <si>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</si>
  <si>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</si>
  <si>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</si>
  <si>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</si>
  <si>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</si>
  <si>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</si>
  <si>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</si>
  <si>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</si>
  <si>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</si>
  <si>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</si>
  <si>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</si>
  <si>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</si>
  <si>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</si>
  <si>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</si>
  <si>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</si>
  <si>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</si>
  <si>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</si>
  <si>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</si>
  <si>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</si>
  <si>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</si>
  <si>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</si>
  <si>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</si>
  <si>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</si>
  <si>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</si>
  <si>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</si>
  <si>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</si>
  <si>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</si>
  <si>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</si>
  <si>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</si>
  <si>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</si>
  <si>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</si>
  <si>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</si>
  <si>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</si>
  <si>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</si>
  <si>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</si>
  <si>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</si>
  <si>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</si>
  <si>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</si>
  <si>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</si>
  <si>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</si>
  <si>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</si>
  <si>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</si>
  <si>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</si>
  <si>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</si>
  <si>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</si>
  <si>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</si>
  <si>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</si>
  <si>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</si>
  <si>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</si>
  <si>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</si>
  <si>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</si>
  <si>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</si>
  <si>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</si>
  <si>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</si>
  <si>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</si>
  <si>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</si>
  <si>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</si>
  <si>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</si>
  <si>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</si>
  <si>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</si>
  <si>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</si>
  <si>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</si>
  <si>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</si>
  <si>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</si>
  <si>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</si>
  <si>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</si>
  <si>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</si>
  <si>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</si>
  <si>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</si>
  <si>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</si>
  <si>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</si>
  <si>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</si>
  <si>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</si>
  <si>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</si>
  <si>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</si>
  <si>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</si>
  <si>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</si>
  <si>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</si>
  <si>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</si>
  <si>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</si>
  <si>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</si>
  <si>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</si>
  <si>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</si>
  <si>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</si>
  <si>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</si>
  <si>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</si>
  <si>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</si>
  <si>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</si>
  <si>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</si>
  <si>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</si>
  <si>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</si>
  <si>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</si>
  <si>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</si>
  <si>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</si>
  <si>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</si>
  <si>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</si>
  <si>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</si>
  <si>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</si>
  <si>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</si>
  <si>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</si>
  <si>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</si>
  <si>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</si>
  <si>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</si>
  <si>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</si>
  <si>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</si>
  <si>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</si>
  <si>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</si>
  <si>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</si>
  <si>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</si>
  <si>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</si>
  <si>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</si>
  <si>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</si>
  <si>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</si>
  <si>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</si>
  <si>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</si>
  <si>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</si>
  <si>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</si>
  <si>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</si>
  <si>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</si>
  <si>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</si>
  <si>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</si>
  <si>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</si>
  <si>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</si>
  <si>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</si>
  <si>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</si>
  <si>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</si>
  <si>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</si>
  <si>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</si>
  <si>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</si>
  <si>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</si>
  <si>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</si>
  <si>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</si>
  <si>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</si>
  <si>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</si>
  <si>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</si>
  <si>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</si>
  <si>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</si>
  <si>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</si>
  <si>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</si>
  <si>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</si>
  <si>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</si>
  <si>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</si>
  <si>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</si>
  <si>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</si>
  <si>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</si>
  <si>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</si>
  <si>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</si>
  <si>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</si>
  <si>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</si>
  <si>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</si>
  <si>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</si>
  <si>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</si>
  <si>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</si>
  <si>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</si>
  <si>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</si>
  <si>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</si>
  <si>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</si>
  <si>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</si>
  <si>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</si>
  <si>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</si>
  <si>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</si>
  <si>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</si>
  <si>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</si>
  <si>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</si>
  <si>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</si>
  <si>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</si>
  <si>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</si>
  <si>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</si>
  <si>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</si>
  <si>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</si>
  <si>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</si>
  <si>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</si>
  <si>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</si>
  <si>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</si>
  <si>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</si>
  <si>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</si>
  <si>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</si>
  <si>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</si>
  <si>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</si>
  <si>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</si>
  <si>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</si>
  <si>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</si>
  <si>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</si>
  <si>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</si>
  <si>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</si>
  <si>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</si>
  <si>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</si>
  <si>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</si>
  <si>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</si>
  <si>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</si>
  <si>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</si>
  <si>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</si>
  <si>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</si>
  <si>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</si>
  <si>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</si>
  <si>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</si>
  <si>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</si>
  <si>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</si>
  <si>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</si>
  <si>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</si>
  <si>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</si>
  <si>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</si>
  <si>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</si>
  <si>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</si>
  <si>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</si>
  <si>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</si>
  <si>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</si>
  <si>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</si>
  <si>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</si>
  <si>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</si>
  <si>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</si>
  <si>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</si>
  <si>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</si>
  <si>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</si>
  <si>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</si>
  <si>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</si>
  <si>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</si>
  <si>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</si>
  <si>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</si>
  <si>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</si>
  <si>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</si>
  <si>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</si>
  <si>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</si>
  <si>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</si>
  <si>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</si>
  <si>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</si>
  <si>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</si>
  <si>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</si>
  <si>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</si>
  <si>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</si>
  <si>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</si>
  <si>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</si>
  <si>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</si>
  <si>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</si>
  <si>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</si>
  <si>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</si>
  <si>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</si>
  <si>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</si>
  <si>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</si>
  <si>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</si>
  <si>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</si>
  <si>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</si>
  <si>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</si>
  <si>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</si>
  <si>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</si>
  <si>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</si>
  <si>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</si>
  <si>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</si>
  <si>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</si>
  <si>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</si>
  <si>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</si>
  <si>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</si>
  <si>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</si>
  <si>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</si>
  <si>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</si>
  <si>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</si>
  <si>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</si>
  <si>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</si>
  <si>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</si>
  <si>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</si>
  <si>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</si>
  <si>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</si>
  <si>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</si>
  <si>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</si>
  <si>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</si>
  <si>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</si>
  <si>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</si>
  <si>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</si>
  <si>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</si>
  <si>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</si>
  <si>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</si>
  <si>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</si>
  <si>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</si>
  <si>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</si>
  <si>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</si>
  <si>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</si>
  <si>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</si>
  <si>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</si>
  <si>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</si>
  <si>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</si>
  <si>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</si>
  <si>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</si>
  <si>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</si>
  <si>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</si>
  <si>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</si>
  <si>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</si>
  <si>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</si>
  <si>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</si>
  <si>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</si>
  <si>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</si>
  <si>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</si>
  <si>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</si>
  <si>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</si>
  <si>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</si>
  <si>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</si>
  <si>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</si>
  <si>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</si>
  <si>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</si>
  <si>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</si>
  <si>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</si>
  <si>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</si>
  <si>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</si>
  <si>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</si>
  <si>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</si>
  <si>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</si>
  <si>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</si>
  <si>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</si>
  <si>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</si>
  <si>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</si>
  <si>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</si>
  <si>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</si>
  <si>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</si>
  <si>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</si>
  <si>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</si>
  <si>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</si>
  <si>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</si>
  <si>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</si>
  <si>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</si>
  <si>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</si>
  <si>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</si>
  <si>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</si>
  <si>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</si>
  <si>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</si>
  <si>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</si>
  <si>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</si>
  <si>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</si>
  <si>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</si>
  <si>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</si>
  <si>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</si>
  <si>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</si>
  <si>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</si>
  <si>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</si>
  <si>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</si>
  <si>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</si>
  <si>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</si>
  <si>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</si>
  <si>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</si>
  <si>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</si>
  <si>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</si>
  <si>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</si>
  <si>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</si>
  <si>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</si>
  <si>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</si>
  <si>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</si>
  <si>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</si>
  <si>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</si>
  <si>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</si>
  <si>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</si>
  <si>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</si>
  <si>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</si>
  <si>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</si>
  <si>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</si>
  <si>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</si>
  <si>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</si>
  <si>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</si>
  <si>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</si>
  <si>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</si>
  <si>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</si>
  <si>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</si>
  <si>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</si>
  <si>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</si>
  <si>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</si>
  <si>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</si>
  <si>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</si>
  <si>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</si>
  <si>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</si>
  <si>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</si>
  <si>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</si>
  <si>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</si>
  <si>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</si>
  <si>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</si>
  <si>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</si>
  <si>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</si>
  <si>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</si>
  <si>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</si>
  <si>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</si>
  <si>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</si>
  <si>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</si>
  <si>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</si>
  <si>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</si>
  <si>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</si>
  <si>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</si>
  <si>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</si>
  <si>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</si>
  <si>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</si>
  <si>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</si>
  <si>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</si>
  <si>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</si>
  <si>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</si>
  <si>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</si>
  <si>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</si>
  <si>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</si>
  <si>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</si>
  <si>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</si>
  <si>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</si>
  <si>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</si>
  <si>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</si>
  <si>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</si>
  <si>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</si>
  <si>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</si>
  <si>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</si>
  <si>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</si>
  <si>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</si>
  <si>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</si>
  <si>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</si>
  <si>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</si>
  <si>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</si>
  <si>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</si>
  <si>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</si>
  <si>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</si>
  <si>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</si>
  <si>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</si>
  <si>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</si>
  <si>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</si>
  <si>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</si>
  <si>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06</t>
  </si>
  <si>
    <t>BOLETIM DE MEDIÇÃO 06 - MEMORIAL DE CÁLCULO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</si>
  <si>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</si>
  <si>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</si>
  <si>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</si>
  <si>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</si>
  <si>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</si>
  <si>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</si>
  <si>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</si>
  <si>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</si>
  <si>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07</t>
  </si>
  <si>
    <t>BOLETIM 06 - MEMORIAL FOTOGRÁFICO</t>
  </si>
  <si>
    <t>Laje Marquise (100%)</t>
  </si>
  <si>
    <t>Vigas nível coberta (100%)</t>
  </si>
  <si>
    <t>Laje caixa d'água</t>
  </si>
  <si>
    <t>Laje Marquise</t>
  </si>
  <si>
    <t>Laje Caixa d'água</t>
  </si>
  <si>
    <t>Referente ao executato in loco (100%)</t>
  </si>
  <si>
    <t>Valor referente a Vigas Coberta (90% executado)</t>
  </si>
  <si>
    <t>Vigas nível coberta (90%)</t>
  </si>
  <si>
    <t xml:space="preserve">Valor referente ao executado (Exceto caixa d'água e platibanda) </t>
  </si>
  <si>
    <t>AMBIENTES</t>
  </si>
  <si>
    <t>GUARITA</t>
  </si>
  <si>
    <t>WC</t>
  </si>
  <si>
    <t>PSICOLOGO</t>
  </si>
  <si>
    <t>SALA DE ESTUDO</t>
  </si>
  <si>
    <t>QUARTO INFANTIL MASCULINO</t>
  </si>
  <si>
    <t>ESPESSURA (M)</t>
  </si>
  <si>
    <t>Referente ao executado (50%)</t>
  </si>
  <si>
    <t>Referente ao executado (30%)</t>
  </si>
  <si>
    <t>BOLETIM 07 - MEMORIAL FOTOGRÁFICO</t>
  </si>
  <si>
    <t>BOLETIM DE MEDIÇÃO 07 - MEMORIAL DE CÁLCULO</t>
  </si>
  <si>
    <t>08</t>
  </si>
  <si>
    <t>MEDIDA NO PERÍODO 8</t>
  </si>
  <si>
    <t>MEDIDA NO PERÍODO 9</t>
  </si>
  <si>
    <t>MEDIÇÃO 08</t>
  </si>
  <si>
    <t>MEDIÇÃO 09</t>
  </si>
  <si>
    <t>BOLETIM 08 - MEMORIAL FOTOGRÁFICO</t>
  </si>
  <si>
    <t>BOLETIM DE MEDIÇÃO 08 - MEMORIAL DE CÁLCULO</t>
  </si>
  <si>
    <t>Saldo restante</t>
  </si>
  <si>
    <t xml:space="preserve">Valor referente ao executado (Exceto caixa d'água) </t>
  </si>
  <si>
    <t>Desc portas entradas</t>
  </si>
  <si>
    <t>Desc porta serviço</t>
  </si>
  <si>
    <t>Desc janelas 1,5</t>
  </si>
  <si>
    <t>Desc janelas 1,0</t>
  </si>
  <si>
    <t>Fachada completa (60%)</t>
  </si>
  <si>
    <t>Conforme projeto elétrico</t>
  </si>
  <si>
    <t>Saldo restante com exceção da caixa d' água e base das camas</t>
  </si>
  <si>
    <t>Vigas Coberta (100%)</t>
  </si>
  <si>
    <t>Referente ao executado (100%)</t>
  </si>
  <si>
    <t>Laje Marquise (60%)</t>
  </si>
  <si>
    <t>09</t>
  </si>
  <si>
    <t>BOLETIM 09 - MEMORIAL FOTOGRÁFICO</t>
  </si>
  <si>
    <t>Pilares nível Cinta caixa (100%)</t>
  </si>
  <si>
    <t>Vigas caixa d´água</t>
  </si>
  <si>
    <t>Vigas Cinta</t>
  </si>
  <si>
    <t>Laje Marquise (40%)</t>
  </si>
  <si>
    <t>Laje caixa d'água (100%)</t>
  </si>
  <si>
    <t>Valor referente ao saldo restante</t>
  </si>
  <si>
    <t>BOLETIM DE MEDIÇÃO 09 - MEMORIAL DE CÁLCULO</t>
  </si>
  <si>
    <t xml:space="preserve">Item medido devido adição de alvenaria na platibanda (Alvenaria in loco já superior ao contrato) </t>
  </si>
  <si>
    <t>MEDIDA NO PERÍODO 10</t>
  </si>
  <si>
    <t>1.17.1</t>
  </si>
  <si>
    <t>1.17.2</t>
  </si>
  <si>
    <t>1.17.3</t>
  </si>
  <si>
    <t>1.17.4</t>
  </si>
  <si>
    <t>1.17.5</t>
  </si>
  <si>
    <t>1.17.6</t>
  </si>
  <si>
    <t>1.17.7</t>
  </si>
  <si>
    <t>1.17.8</t>
  </si>
  <si>
    <t>1.17.9</t>
  </si>
  <si>
    <t>1.17.10</t>
  </si>
  <si>
    <t>1.17.11</t>
  </si>
  <si>
    <t>1.17.12</t>
  </si>
  <si>
    <t>MEDIÇÃO 10</t>
  </si>
  <si>
    <t>NOVOS SERVIÇOS</t>
  </si>
  <si>
    <t>S071105</t>
  </si>
  <si>
    <t>S06096</t>
  </si>
  <si>
    <t>00020204</t>
  </si>
  <si>
    <t>00020208</t>
  </si>
  <si>
    <t>ATERRO MECANIZADO DE VALA COM RETROESCAVADEIRA (CAPACIDADE DA CAÇAMBA DA RETRO: 0,26 M³ / POTÊNCIA: 88 HP), LARGURA DE 0,8 A 1,5 M, PROFUNDIDADE ATÉ 1,5 M, COM SOLO ARGILO-ARENOSO. AF_05/2016</t>
  </si>
  <si>
    <t>DEMOLIÇÃO DE PILARES E VIGAS EM CONCRETO ARMADO, DE FORMA MANUAL, SEM REAPROVEITAMENTO. AF_12/2017</t>
  </si>
  <si>
    <t>DEMOLIÇÃO DE ALVENARIA DE BLOCO FURADO, DE FORMA MANUAL, SEM REAPROVEITAMENTO. AF_12/2017</t>
  </si>
  <si>
    <t>Grade de ferro em barra chata, inclusive chumbamento</t>
  </si>
  <si>
    <t>ENTRADA DE ENERGIA ELÉTRICA, AÉREA, MONOFÁSICA, COM CAIXA DE EMBUTIR, CABO DE 10 MM2 E DISJUNTOR DIN 50A (NÃO INCLUSO O POSTE DE CONCRETO). AF_07/2020_PS</t>
  </si>
  <si>
    <t>Ligação Predial de Água em Mureta de Concreto, Provisória ou Definitiva, com Fornecimento de Material, inclusive Mureta e Hidrômetro, Rede DN 50mm - Rev 03_10/2022</t>
  </si>
  <si>
    <t>PRANCHAO APARELHADO *7,5 X 23* CM, EM MACARANDUBA, ANGELIM OU EQUIVALENTE DA REGIAO</t>
  </si>
  <si>
    <t>PRANCHAO APARELHADO *8 X 30* CM, EM MACARANDUBA, ANGELIM OU EQUIVALENTE DA REGIAO</t>
  </si>
  <si>
    <t>CHAPISCO APLICADO NO TETO OU EM ESTRUTURA, COM DESEMPENADEIRA DENTADA. ARGAMASSA INDUSTRIALIZADA COM PREPARO EM MISTURADOR 300 KG. AF_10/2022</t>
  </si>
  <si>
    <t>MASSA ÚNICA, PARA RECEBIMENTO DE PINTURA, EM ARGAMASSA TRAÇO 1:2:8, PREPARO MECÂNICO COM BETONEIRA 400L, APLICADA MANUALMENTE EM TETO, ESPESSURA DE 10MM, COM EXECUÇÃO DE TALISCAS. AF_03/2015</t>
  </si>
  <si>
    <t>APLICAÇÃO MANUAL DE PINTURA COM TINTA LÁTEX PVA EM TETO, DUAS DEMÃOS. AF_06/2014</t>
  </si>
  <si>
    <t>m2</t>
  </si>
  <si>
    <t>BOLETIM DE MEDIÇÃO 10 - MEMORIAL DE CÁLCULO</t>
  </si>
  <si>
    <t>V02 (P8 ATÉ P9)</t>
  </si>
  <si>
    <t xml:space="preserve">EMBASAMENTO ABAIXO DAS NOVAS VIGAS BALDRAMES QUE FORAM ADICIONADAS. </t>
  </si>
  <si>
    <t>EXTENSÃO DA VIGA 19 (AO LADO ESQUERDO DO PILAR 81 (PROJETO ESTRUTURAL - PLANTA DE FÔRMAS DE VIGA BALDRAME)</t>
  </si>
  <si>
    <t>LIGAÇÃO DA EXTENSÃO DA VIGA 19 AO PILAR 80  (PROJETO ESTRUTURAL - PLANTA DE FÔRMAS DE VIGA BALDRAME)</t>
  </si>
  <si>
    <t>VIGA ADICIONADA ENTRE O P8 E O P22</t>
  </si>
  <si>
    <t>VIGA ADICIONADA ENTRE O P76 E O P84</t>
  </si>
  <si>
    <t xml:space="preserve">ALVENARIA DE EMBASAMENTO ADICIONADA PARA COMPLEMENTAÇÃO </t>
  </si>
  <si>
    <t xml:space="preserve">EMBASAMENTO (ALVENARIA ABAIXO DAS CANALETAS) - MURO </t>
  </si>
  <si>
    <t xml:space="preserve">EMBASAMENTO (CALÇADA PERÍMETRO INTERNO DA OBRA) </t>
  </si>
  <si>
    <t>SOMA DOS PERÍMETROS (TRECHOS EM ANEXO)</t>
  </si>
  <si>
    <t xml:space="preserve">EMBASAMENTO (BATENTES ACIMA DA CALÇADA (ENTRADA PRINCIPAL E ÁREA DE SERVIÇO ) </t>
  </si>
  <si>
    <t xml:space="preserve">ALVENARIA DE DETALHAMENTO ACIMA DA LAJE DA GUARITA </t>
  </si>
  <si>
    <t xml:space="preserve">PERÍMETRO  VEZES ALTURA </t>
  </si>
  <si>
    <t>0.41; 0.41</t>
  </si>
  <si>
    <t>0.41; 0.64</t>
  </si>
  <si>
    <t>0.62; 0.55</t>
  </si>
  <si>
    <t>0.20; 0.35</t>
  </si>
  <si>
    <t>SOMA DOS PERÍMETROS (M)</t>
  </si>
  <si>
    <t>ALTURA DE EMBASAMENTO (M)</t>
  </si>
  <si>
    <t>BALDRAMES (VALOR EM MEMORIAL DE CÁLCULO)</t>
  </si>
  <si>
    <t xml:space="preserve">AÇO 8.0 ADICIONADO ÀS NOVAS VIGAS BALDRAMES REALIZADAS. </t>
  </si>
  <si>
    <t>COMPRIMENTO DO CORTE (M)</t>
  </si>
  <si>
    <t>QUANTIDADE (UND)</t>
  </si>
  <si>
    <t>VIGAS ADICIONADAS NO MURO (LOCAL DA PASSAGEM DE VEÍCULOS (P07) PRÓXIMO A ÁREA DE SERVIÇO)</t>
  </si>
  <si>
    <t xml:space="preserve">CONCRETO ADICIONADO ÀS NOVAS VIGAS BALDRAMES REALIZADAS. </t>
  </si>
  <si>
    <t>COMPRIMENTO(M)</t>
  </si>
  <si>
    <t>ALVENARIA DE EMBASAMENTO (CÁLCULO CONSIDERANDO O VOLUME PRISMÁTICO DE CADA SEÇÃO ABAIXO DAS VIGAS BALDRAME).</t>
  </si>
  <si>
    <t xml:space="preserve">CÁLCULO DO AÇO 8.0 UTILIZADO NAS VIGAS BALDRAMES + VIGAS NOVAS ADICIONAIS. </t>
  </si>
  <si>
    <t>CÁLCULO DO VOLUME DE CONCRETO DAS SAPATAS E JUNTAMENTE COM VIGAS BALDRAMES. REDUZINDO O VALOR DO ITEM 1.3.6.</t>
  </si>
  <si>
    <t>VALOR IDEM AO VOLUME DE CONCRETO. VALOR TOTAL CÁLCULADO.</t>
  </si>
  <si>
    <t>VOLUME EM MEMORIAL DE CÁLCULO</t>
  </si>
  <si>
    <t>VOLUME CALCULADO</t>
  </si>
  <si>
    <t xml:space="preserve">AÇO 5.0 ADICIONADO ÀS NOVAS VIGAS BALDRAMES REALIZADAS. </t>
  </si>
  <si>
    <t>CÁLCULO DE TODO AÇO 12.5 UTILIZADO NAS SAPATAS ATÉ O NÍVEL DA BALDRAME.</t>
  </si>
  <si>
    <t>CÁLCULO DE TODA ÁREA DE FÔRMA UTILIZADA DA FUNDAÇÃO AO NÍVEL DE VIGA BALDRAME.</t>
  </si>
  <si>
    <t xml:space="preserve">ÁREA DE FÔRMA PARA AS NOVAS VIGAS BALDRAMES REALIZADAS. </t>
  </si>
  <si>
    <t>CÁLCULO DA ÁREA DE IMPERMEABILIZAÇÃO DAS VIGAS BALDRAMES.</t>
  </si>
  <si>
    <t>CÁLCULO DE TODO AÇO 10.0 UTILIZADO NAS SAPATAS ATÉ O NÍVEL DA BALDRAME.</t>
  </si>
  <si>
    <t>14/03/2025 a 26/09/2025</t>
  </si>
  <si>
    <t>11</t>
  </si>
  <si>
    <t>BOLETIM DE MEDIÇÃO 11</t>
  </si>
  <si>
    <t>MEDIDA NO PERÍODO 11</t>
  </si>
  <si>
    <t>CÁLCULOS</t>
  </si>
  <si>
    <t>MEDIÇÃO 11</t>
  </si>
  <si>
    <t>__________________________________________________________________________________</t>
  </si>
  <si>
    <t>______________________________________________________________________________</t>
  </si>
  <si>
    <t>_________________________________________________________________________</t>
  </si>
  <si>
    <t>Engenheiro Fiscal Titular</t>
  </si>
  <si>
    <t>Engenheiro Fiscal Auxiliar</t>
  </si>
  <si>
    <t>Secretário de Planejamento</t>
  </si>
  <si>
    <t>21,95+36,08+1,50=</t>
  </si>
  <si>
    <t xml:space="preserve">área de telhas coletada pela hachura do autocad - </t>
  </si>
  <si>
    <t xml:space="preserve">6,3*1,80+0,9*2,75+3,6*4,9+9,45*2,80+4,5*2,9+5,5*5,4 = </t>
  </si>
  <si>
    <t>10 unidades</t>
  </si>
  <si>
    <t xml:space="preserve">Mesma área de telhamento = </t>
  </si>
  <si>
    <t xml:space="preserve">Pelo projeto - </t>
  </si>
  <si>
    <t>7 unidades</t>
  </si>
  <si>
    <t>1 unidade</t>
  </si>
  <si>
    <t>restante do projeto executado</t>
  </si>
  <si>
    <t>32 m</t>
  </si>
  <si>
    <t>13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</si>
</sst>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  <numFmt numFmtId="174" formatCode="dd/mm/yy;@"/>
  </numFmts>
  <fonts count="39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name val="Calibri"/>
      <family val="2"/>
      <scheme val="minor"/>
    </font>
    <font>
      <i/>
      <sz val="8"/>
      <color theme="1"/>
      <name val="Arial"/>
      <family val="2"/>
    </font>
    <font>
      <i/>
      <sz val="11"/>
      <color rgb="FF000000"/>
      <name val="Arial"/>
      <family val="2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8" fillId="14" borderId="1"/>
  </cellStyleXfs>
  <cellXfs count="617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164" fontId="18" fillId="0" borderId="31" xfId="2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vertical="center"/>
    </xf>
    <xf numFmtId="4" fontId="19" fillId="0" borderId="31" xfId="0" applyNumberFormat="1" applyFont="1" applyBorder="1" applyAlignment="1">
      <alignment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7" fillId="0" borderId="5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7" fillId="0" borderId="45" xfId="0" applyNumberFormat="1" applyFont="1" applyBorder="1" applyAlignment="1">
      <alignment horizontal="center" vertical="center"/>
    </xf>
    <xf numFmtId="0" fontId="17" fillId="17" borderId="40" xfId="0" applyFont="1" applyFill="1" applyBorder="1" applyAlignment="1">
      <alignment horizontal="left" vertical="center"/>
    </xf>
    <xf numFmtId="0" fontId="17" fillId="17" borderId="40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justify" vertical="center"/>
    </xf>
    <xf numFmtId="4" fontId="17" fillId="17" borderId="31" xfId="0" applyNumberFormat="1" applyFont="1" applyFill="1" applyBorder="1" applyAlignment="1">
      <alignment horizontal="center" vertical="center"/>
    </xf>
    <xf numFmtId="4" fontId="17" fillId="17" borderId="43" xfId="0" applyNumberFormat="1" applyFont="1" applyFill="1" applyBorder="1" applyAlignment="1">
      <alignment horizontal="center" vertical="center"/>
    </xf>
    <xf numFmtId="4" fontId="17" fillId="17" borderId="32" xfId="0" applyNumberFormat="1" applyFont="1" applyFill="1" applyBorder="1" applyAlignment="1">
      <alignment horizontal="center" vertical="center"/>
    </xf>
    <xf numFmtId="2" fontId="17" fillId="17" borderId="31" xfId="2" applyNumberFormat="1" applyFont="1" applyFill="1" applyBorder="1" applyAlignment="1">
      <alignment horizontal="center" vertical="center"/>
    </xf>
    <xf numFmtId="2" fontId="17" fillId="17" borderId="39" xfId="2" applyNumberFormat="1" applyFont="1" applyFill="1" applyBorder="1" applyAlignment="1">
      <alignment horizontal="center" vertical="center"/>
    </xf>
    <xf numFmtId="0" fontId="0" fillId="17" borderId="0" xfId="0" applyFill="1"/>
    <xf numFmtId="4" fontId="17" fillId="17" borderId="3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vertical="center"/>
    </xf>
    <xf numFmtId="0" fontId="36" fillId="16" borderId="32" xfId="0" applyFont="1" applyFill="1" applyBorder="1" applyAlignment="1">
      <alignment horizontal="right" vertical="center"/>
    </xf>
    <xf numFmtId="164" fontId="35" fillId="16" borderId="0" xfId="0" applyNumberFormat="1" applyFont="1" applyFill="1"/>
    <xf numFmtId="0" fontId="10" fillId="15" borderId="10" xfId="0" applyFont="1" applyFill="1" applyBorder="1" applyAlignment="1">
      <alignment horizontal="left" vertical="center"/>
    </xf>
    <xf numFmtId="49" fontId="11" fillId="15" borderId="19" xfId="0" applyNumberFormat="1" applyFont="1" applyFill="1" applyBorder="1" applyAlignment="1">
      <alignment horizontal="center" vertical="center"/>
    </xf>
    <xf numFmtId="44" fontId="10" fillId="15" borderId="1" xfId="0" applyNumberFormat="1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/>
    </xf>
    <xf numFmtId="4" fontId="19" fillId="16" borderId="48" xfId="0" applyNumberFormat="1" applyFont="1" applyFill="1" applyBorder="1" applyAlignment="1">
      <alignment horizontal="center"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vertical="center"/>
    </xf>
    <xf numFmtId="0" fontId="23" fillId="0" borderId="32" xfId="0" applyFont="1" applyBorder="1" applyAlignment="1">
      <alignment vertical="center" wrapText="1"/>
    </xf>
    <xf numFmtId="0" fontId="19" fillId="16" borderId="48" xfId="0" applyFont="1" applyFill="1" applyBorder="1" applyAlignment="1">
      <alignment horizontal="center" vertical="center"/>
    </xf>
    <xf numFmtId="0" fontId="36" fillId="0" borderId="32" xfId="0" applyFont="1" applyBorder="1" applyAlignment="1">
      <alignment vertical="center" wrapText="1"/>
    </xf>
    <xf numFmtId="4" fontId="17" fillId="0" borderId="47" xfId="0" applyNumberFormat="1" applyFont="1" applyBorder="1" applyAlignment="1">
      <alignment horizontal="center" vertical="center"/>
    </xf>
    <xf numFmtId="4" fontId="23" fillId="0" borderId="39" xfId="0" applyNumberFormat="1" applyFont="1" applyBorder="1" applyAlignment="1">
      <alignment horizontal="center" vertical="center"/>
    </xf>
    <xf numFmtId="0" fontId="17" fillId="17" borderId="32" xfId="0" applyFont="1" applyFill="1" applyBorder="1" applyAlignment="1">
      <alignment vertical="center" wrapText="1"/>
    </xf>
    <xf numFmtId="4" fontId="17" fillId="17" borderId="44" xfId="0" applyNumberFormat="1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2" fontId="16" fillId="17" borderId="31" xfId="2" applyNumberFormat="1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right" vertical="center"/>
    </xf>
    <xf numFmtId="0" fontId="17" fillId="17" borderId="32" xfId="0" applyFont="1" applyFill="1" applyBorder="1" applyAlignment="1">
      <alignment horizontal="justify" vertical="center"/>
    </xf>
    <xf numFmtId="0" fontId="17" fillId="0" borderId="3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25" fillId="0" borderId="32" xfId="0" applyFont="1" applyBorder="1" applyAlignment="1">
      <alignment horizontal="right" vertical="center"/>
    </xf>
    <xf numFmtId="4" fontId="17" fillId="0" borderId="49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justify" vertical="center"/>
    </xf>
    <xf numFmtId="0" fontId="24" fillId="0" borderId="32" xfId="0" applyFont="1" applyBorder="1" applyAlignment="1">
      <alignment horizontal="right" vertical="center"/>
    </xf>
    <xf numFmtId="164" fontId="8" fillId="0" borderId="57" xfId="2" applyFont="1" applyBorder="1" applyAlignment="1">
      <alignment vertical="center"/>
    </xf>
    <xf numFmtId="169" fontId="10" fillId="15" borderId="17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left" vertical="center"/>
    </xf>
    <xf numFmtId="0" fontId="25" fillId="0" borderId="32" xfId="0" applyFont="1" applyBorder="1" applyAlignment="1">
      <alignment horizontal="left" vertical="center"/>
    </xf>
    <xf numFmtId="0" fontId="36" fillId="0" borderId="0" xfId="0" applyFont="1" applyAlignment="1">
      <alignment horizontal="left"/>
    </xf>
    <xf numFmtId="0" fontId="37" fillId="16" borderId="32" xfId="0" applyFont="1" applyFill="1" applyBorder="1" applyAlignment="1">
      <alignment horizontal="justify" vertical="center"/>
    </xf>
    <xf numFmtId="0" fontId="24" fillId="0" borderId="32" xfId="0" applyFont="1" applyBorder="1" applyAlignment="1">
      <alignment horizontal="left" vertical="center"/>
    </xf>
    <xf numFmtId="4" fontId="17" fillId="16" borderId="47" xfId="0" applyNumberFormat="1" applyFont="1" applyFill="1" applyBorder="1" applyAlignment="1">
      <alignment vertical="center"/>
    </xf>
    <xf numFmtId="4" fontId="17" fillId="16" borderId="49" xfId="0" applyNumberFormat="1" applyFont="1" applyFill="1" applyBorder="1" applyAlignment="1">
      <alignment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2" fontId="24" fillId="0" borderId="31" xfId="0" applyNumberFormat="1" applyFont="1" applyBorder="1" applyAlignment="1">
      <alignment horizontal="left" vertical="center" wrapText="1"/>
    </xf>
    <xf numFmtId="2" fontId="24" fillId="0" borderId="32" xfId="0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center" wrapText="1"/>
    </xf>
    <xf numFmtId="0" fontId="23" fillId="0" borderId="39" xfId="0" applyFont="1" applyBorder="1" applyAlignment="1">
      <alignment horizontal="center" wrapText="1"/>
    </xf>
    <xf numFmtId="2" fontId="23" fillId="0" borderId="32" xfId="0" applyNumberFormat="1" applyFont="1" applyBorder="1" applyAlignment="1">
      <alignment horizontal="center" vertical="center"/>
    </xf>
    <xf numFmtId="2" fontId="23" fillId="0" borderId="39" xfId="0" applyNumberFormat="1" applyFont="1" applyBorder="1" applyAlignment="1">
      <alignment horizontal="center" vertical="center"/>
    </xf>
    <xf numFmtId="2" fontId="23" fillId="0" borderId="32" xfId="0" applyNumberFormat="1" applyFont="1" applyBorder="1" applyAlignment="1">
      <alignment horizontal="center" vertical="center" wrapText="1"/>
    </xf>
    <xf numFmtId="2" fontId="23" fillId="0" borderId="31" xfId="0" applyNumberFormat="1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2" fontId="17" fillId="16" borderId="32" xfId="2" applyNumberFormat="1" applyFont="1" applyFill="1" applyBorder="1" applyAlignment="1">
      <alignment horizontal="center" vertical="center"/>
    </xf>
    <xf numFmtId="170" fontId="17" fillId="16" borderId="49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right" vertical="center" wrapText="1"/>
    </xf>
    <xf numFmtId="2" fontId="17" fillId="16" borderId="49" xfId="2" applyNumberFormat="1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4" fontId="19" fillId="0" borderId="56" xfId="0" applyNumberFormat="1" applyFont="1" applyBorder="1" applyAlignment="1">
      <alignment horizontal="center" vertical="center"/>
    </xf>
    <xf numFmtId="4" fontId="19" fillId="0" borderId="57" xfId="0" applyNumberFormat="1" applyFont="1" applyBorder="1" applyAlignment="1">
      <alignment horizontal="center" vertical="center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center" vertical="center" wrapText="1"/>
    </xf>
    <xf numFmtId="4" fontId="19" fillId="0" borderId="49" xfId="0" applyNumberFormat="1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4" fontId="17" fillId="17" borderId="47" xfId="0" applyNumberFormat="1" applyFont="1" applyFill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 wrapText="1"/>
    </xf>
    <xf numFmtId="4" fontId="32" fillId="0" borderId="21" xfId="0" applyNumberFormat="1" applyFont="1" applyBorder="1" applyAlignment="1">
      <alignment horizontal="center" vertical="center"/>
    </xf>
    <xf numFmtId="4" fontId="32" fillId="0" borderId="63" xfId="0" applyNumberFormat="1" applyFont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 wrapText="1"/>
    </xf>
    <xf numFmtId="4" fontId="16" fillId="16" borderId="48" xfId="0" applyNumberFormat="1" applyFont="1" applyFill="1" applyBorder="1" applyAlignment="1">
      <alignment horizontal="center" vertical="center" wrapText="1"/>
    </xf>
    <xf numFmtId="4" fontId="16" fillId="16" borderId="49" xfId="0" applyNumberFormat="1" applyFont="1" applyFill="1" applyBorder="1" applyAlignment="1">
      <alignment horizontal="center" vertical="center" wrapText="1"/>
    </xf>
    <xf numFmtId="4" fontId="16" fillId="16" borderId="47" xfId="0" applyNumberFormat="1" applyFont="1" applyFill="1" applyBorder="1" applyAlignment="1">
      <alignment horizontal="center" vertical="center"/>
    </xf>
    <xf numFmtId="4" fontId="16" fillId="16" borderId="48" xfId="0" applyNumberFormat="1" applyFont="1" applyFill="1" applyBorder="1" applyAlignment="1">
      <alignment horizontal="center" vertical="center"/>
    </xf>
    <xf numFmtId="4" fontId="16" fillId="16" borderId="49" xfId="0" applyNumberFormat="1" applyFont="1" applyFill="1" applyBorder="1" applyAlignment="1">
      <alignment horizontal="center" vertical="center"/>
    </xf>
    <xf numFmtId="4" fontId="17" fillId="0" borderId="48" xfId="0" applyNumberFormat="1" applyFont="1" applyBorder="1" applyAlignment="1">
      <alignment horizontal="center" vertical="center"/>
    </xf>
    <xf numFmtId="4" fontId="17" fillId="0" borderId="49" xfId="0" applyNumberFormat="1" applyFont="1" applyBorder="1" applyAlignment="1">
      <alignment horizontal="center" vertical="center"/>
    </xf>
    <xf numFmtId="2" fontId="18" fillId="16" borderId="47" xfId="0" applyNumberFormat="1" applyFont="1" applyFill="1" applyBorder="1" applyAlignment="1">
      <alignment horizontal="left" vertical="center"/>
    </xf>
    <xf numFmtId="2" fontId="18" fillId="16" borderId="32" xfId="0" applyNumberFormat="1" applyFont="1" applyFill="1" applyBorder="1" applyAlignment="1">
      <alignment horizontal="left" vertical="center"/>
    </xf>
    <xf numFmtId="2" fontId="23" fillId="0" borderId="48" xfId="0" applyNumberFormat="1" applyFont="1" applyBorder="1" applyAlignment="1">
      <alignment horizontal="center" vertical="center"/>
    </xf>
    <xf numFmtId="2" fontId="23" fillId="0" borderId="49" xfId="0" applyNumberFormat="1" applyFont="1" applyBorder="1" applyAlignment="1">
      <alignment horizontal="center" vertical="center"/>
    </xf>
    <xf numFmtId="4" fontId="17" fillId="0" borderId="56" xfId="0" applyNumberFormat="1" applyFont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/>
    </xf>
    <xf numFmtId="0" fontId="23" fillId="17" borderId="47" xfId="0" applyFont="1" applyFill="1" applyBorder="1" applyAlignment="1">
      <alignment horizontal="center"/>
    </xf>
    <xf numFmtId="0" fontId="23" fillId="17" borderId="48" xfId="0" applyFont="1" applyFill="1" applyBorder="1" applyAlignment="1">
      <alignment horizontal="center"/>
    </xf>
    <xf numFmtId="0" fontId="23" fillId="17" borderId="49" xfId="0" applyFont="1" applyFill="1" applyBorder="1" applyAlignment="1">
      <alignment horizontal="center"/>
    </xf>
    <xf numFmtId="4" fontId="19" fillId="17" borderId="47" xfId="0" applyNumberFormat="1" applyFont="1" applyFill="1" applyBorder="1" applyAlignment="1">
      <alignment horizontal="center" vertical="center"/>
    </xf>
    <xf numFmtId="4" fontId="19" fillId="17" borderId="48" xfId="0" applyNumberFormat="1" applyFont="1" applyFill="1" applyBorder="1" applyAlignment="1">
      <alignment horizontal="center" vertical="center"/>
    </xf>
    <xf numFmtId="4" fontId="19" fillId="17" borderId="49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164" fontId="8" fillId="0" borderId="7" xfId="2" applyFont="1" applyBorder="1" applyAlignment="1">
      <alignment horizontal="center" vertical="center"/>
    </xf>
    <xf numFmtId="164" fontId="8" fillId="0" borderId="8" xfId="2" applyFont="1" applyBorder="1" applyAlignment="1">
      <alignment horizontal="center" vertical="center"/>
    </xf>
    <xf numFmtId="164" fontId="8" fillId="0" borderId="1" xfId="2" applyFont="1" applyBorder="1" applyAlignment="1">
      <alignment horizontal="center" vertical="center"/>
    </xf>
    <xf numFmtId="164" fontId="8" fillId="0" borderId="15" xfId="2" applyFont="1" applyBorder="1" applyAlignment="1">
      <alignment horizontal="center" vertical="center"/>
    </xf>
    <xf numFmtId="164" fontId="8" fillId="0" borderId="19" xfId="2" applyFont="1" applyBorder="1" applyAlignment="1">
      <alignment horizontal="center" vertical="center"/>
    </xf>
    <xf numFmtId="164" fontId="8" fillId="0" borderId="20" xfId="2" applyFont="1" applyBorder="1" applyAlignment="1">
      <alignment horizontal="center" vertical="center"/>
    </xf>
    <xf numFmtId="174" fontId="10" fillId="15" borderId="16" xfId="0" applyNumberFormat="1" applyFont="1" applyFill="1" applyBorder="1" applyAlignment="1">
      <alignment horizontal="center" vertical="center"/>
    </xf>
    <xf numFmtId="174" fontId="10" fillId="15" borderId="17" xfId="0" applyNumberFormat="1" applyFont="1" applyFill="1" applyBorder="1" applyAlignment="1">
      <alignment horizontal="center" vertical="center"/>
    </xf>
    <xf numFmtId="0" fontId="7" fillId="15" borderId="14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left" vertical="center" shrinkToFit="1"/>
    </xf>
    <xf numFmtId="0" fontId="18" fillId="0" borderId="40" xfId="0" applyFont="1" applyFill="1" applyBorder="1" applyAlignment="1">
      <alignment vertical="center"/>
    </xf>
    <xf numFmtId="0" fontId="18" fillId="0" borderId="32" xfId="0" applyFont="1" applyFill="1" applyBorder="1" applyAlignment="1">
      <alignment vertical="center"/>
    </xf>
    <xf numFmtId="0" fontId="18" fillId="0" borderId="31" xfId="0" applyFont="1" applyFill="1" applyBorder="1" applyAlignment="1">
      <alignment vertical="center"/>
    </xf>
    <xf numFmtId="0" fontId="23" fillId="0" borderId="31" xfId="0" applyFont="1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164" fontId="0" fillId="0" borderId="31" xfId="2" applyFont="1" applyFill="1" applyBorder="1" applyAlignment="1">
      <alignment vertical="center"/>
    </xf>
    <xf numFmtId="164" fontId="6" fillId="0" borderId="31" xfId="2" applyFont="1" applyFill="1" applyBorder="1" applyAlignment="1">
      <alignment vertical="center"/>
    </xf>
    <xf numFmtId="164" fontId="0" fillId="0" borderId="39" xfId="2" applyFont="1" applyFill="1" applyBorder="1" applyAlignment="1">
      <alignment vertical="center"/>
    </xf>
    <xf numFmtId="4" fontId="23" fillId="0" borderId="31" xfId="0" applyNumberFormat="1" applyFont="1" applyFill="1" applyBorder="1" applyAlignment="1">
      <alignment vertical="center"/>
    </xf>
    <xf numFmtId="0" fontId="23" fillId="0" borderId="40" xfId="0" applyFont="1" applyFill="1" applyBorder="1" applyAlignment="1">
      <alignment horizontal="left" vertical="center"/>
    </xf>
    <xf numFmtId="2" fontId="23" fillId="0" borderId="40" xfId="0" applyNumberFormat="1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justify" vertical="center"/>
    </xf>
    <xf numFmtId="4" fontId="23" fillId="0" borderId="31" xfId="0" applyNumberFormat="1" applyFont="1" applyFill="1" applyBorder="1" applyAlignment="1">
      <alignment horizontal="center" vertical="center"/>
    </xf>
    <xf numFmtId="2" fontId="18" fillId="0" borderId="31" xfId="0" applyNumberFormat="1" applyFont="1" applyFill="1" applyBorder="1" applyAlignment="1">
      <alignment horizontal="center" vertical="center"/>
    </xf>
    <xf numFmtId="4" fontId="18" fillId="0" borderId="31" xfId="0" applyNumberFormat="1" applyFont="1" applyFill="1" applyBorder="1" applyAlignment="1">
      <alignment horizontal="center" vertical="center"/>
    </xf>
    <xf numFmtId="164" fontId="23" fillId="0" borderId="31" xfId="2" applyFont="1" applyFill="1" applyBorder="1" applyAlignment="1">
      <alignment horizontal="center" vertical="center"/>
    </xf>
    <xf numFmtId="164" fontId="23" fillId="0" borderId="39" xfId="2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left" vertical="center"/>
    </xf>
    <xf numFmtId="2" fontId="18" fillId="0" borderId="40" xfId="0" applyNumberFormat="1" applyFont="1" applyFill="1" applyBorder="1" applyAlignment="1">
      <alignment horizontal="left" vertical="center"/>
    </xf>
    <xf numFmtId="2" fontId="23" fillId="0" borderId="40" xfId="0" applyNumberFormat="1" applyFont="1" applyFill="1" applyBorder="1" applyAlignment="1">
      <alignment horizontal="left" vertical="center"/>
    </xf>
    <xf numFmtId="0" fontId="23" fillId="0" borderId="32" xfId="0" applyFont="1" applyFill="1" applyBorder="1" applyAlignment="1">
      <alignment vertical="center" wrapText="1"/>
    </xf>
    <xf numFmtId="0" fontId="18" fillId="0" borderId="31" xfId="0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/>
    </xf>
    <xf numFmtId="2" fontId="23" fillId="0" borderId="31" xfId="0" applyNumberFormat="1" applyFont="1" applyFill="1" applyBorder="1" applyAlignment="1">
      <alignment horizontal="center" vertical="center"/>
    </xf>
    <xf numFmtId="2" fontId="18" fillId="0" borderId="40" xfId="0" applyNumberFormat="1" applyFont="1" applyFill="1" applyBorder="1" applyAlignment="1">
      <alignment horizontal="center" vertical="center"/>
    </xf>
    <xf numFmtId="0" fontId="23" fillId="0" borderId="44" xfId="0" applyFont="1" applyFill="1" applyBorder="1" applyAlignment="1">
      <alignment horizontal="justify" vertical="center"/>
    </xf>
    <xf numFmtId="4" fontId="23" fillId="0" borderId="33" xfId="0" applyNumberFormat="1" applyFont="1" applyFill="1" applyBorder="1" applyAlignment="1">
      <alignment horizontal="center" vertical="center"/>
    </xf>
    <xf numFmtId="4" fontId="18" fillId="0" borderId="28" xfId="0" applyNumberFormat="1" applyFont="1" applyFill="1" applyBorder="1" applyAlignment="1">
      <alignment horizontal="center" vertical="center"/>
    </xf>
    <xf numFmtId="2" fontId="18" fillId="0" borderId="28" xfId="0" applyNumberFormat="1" applyFont="1" applyFill="1" applyBorder="1" applyAlignment="1">
      <alignment horizontal="center" vertical="center"/>
    </xf>
    <xf numFmtId="4" fontId="23" fillId="0" borderId="28" xfId="0" applyNumberFormat="1" applyFont="1" applyFill="1" applyBorder="1" applyAlignment="1">
      <alignment horizontal="center" vertical="center"/>
    </xf>
    <xf numFmtId="4" fontId="18" fillId="0" borderId="33" xfId="0" applyNumberFormat="1" applyFont="1" applyFill="1" applyBorder="1" applyAlignment="1">
      <alignment horizontal="center" vertical="center"/>
    </xf>
    <xf numFmtId="164" fontId="23" fillId="0" borderId="38" xfId="2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left" vertical="center"/>
    </xf>
    <xf numFmtId="2" fontId="18" fillId="0" borderId="46" xfId="0" applyNumberFormat="1" applyFont="1" applyFill="1" applyBorder="1" applyAlignment="1">
      <alignment horizontal="left" vertical="center"/>
    </xf>
    <xf numFmtId="0" fontId="23" fillId="0" borderId="11" xfId="0" applyFont="1" applyFill="1" applyBorder="1" applyAlignment="1">
      <alignment horizontal="justify" vertical="center"/>
    </xf>
    <xf numFmtId="0" fontId="23" fillId="0" borderId="12" xfId="0" applyFont="1" applyFill="1" applyBorder="1" applyAlignment="1">
      <alignment horizontal="center" vertical="center"/>
    </xf>
    <xf numFmtId="4" fontId="23" fillId="0" borderId="12" xfId="0" applyNumberFormat="1" applyFont="1" applyFill="1" applyBorder="1" applyAlignment="1">
      <alignment horizontal="center" vertical="center"/>
    </xf>
    <xf numFmtId="0" fontId="23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center" vertical="center"/>
    </xf>
    <xf numFmtId="0" fontId="23" fillId="0" borderId="64" xfId="0" applyFont="1" applyFill="1" applyBorder="1" applyAlignment="1">
      <alignment horizontal="justify" vertical="center"/>
    </xf>
    <xf numFmtId="0" fontId="23" fillId="0" borderId="33" xfId="0" applyFont="1" applyFill="1" applyBorder="1" applyAlignment="1">
      <alignment horizontal="center" vertical="center"/>
    </xf>
    <xf numFmtId="0" fontId="0" fillId="0" borderId="0" xfId="0" applyFill="1"/>
    <xf numFmtId="0" fontId="0" fillId="0" borderId="31" xfId="0" applyFill="1" applyBorder="1"/>
    <xf numFmtId="0" fontId="31" fillId="0" borderId="31" xfId="0" applyFont="1" applyFill="1" applyBorder="1"/>
    <xf numFmtId="0" fontId="30" fillId="0" borderId="31" xfId="0" applyFont="1" applyFill="1" applyBorder="1"/>
    <xf numFmtId="164" fontId="35" fillId="0" borderId="31" xfId="0" applyNumberFormat="1" applyFont="1" applyFill="1" applyBorder="1"/>
    <xf numFmtId="0" fontId="38" fillId="0" borderId="0" xfId="0" applyFont="1" applyAlignment="1">
      <alignment horizontal="center"/>
    </xf>
    <xf numFmtId="0" fontId="38" fillId="0" borderId="0" xfId="0" applyFont="1" applyAlignment="1"/>
    <xf numFmtId="0" fontId="38" fillId="0" borderId="1" xfId="0" applyFont="1" applyBorder="1" applyAlignment="1">
      <alignment horizontal="center"/>
    </xf>
    <xf numFmtId="0" fontId="38" fillId="0" borderId="1" xfId="0" applyFont="1" applyBorder="1" applyAlignment="1"/>
  </cellXfs>
  <cellStyles count="4">
    <cellStyle name="Moeda" xfId="2" builtinId="4"/>
    <cellStyle name="Normal" xfId="0" builtinId="0"/>
    <cellStyle name="Normal 4" xfId="3" xr:uid="{53DB5324-CF09-4584-AA29-98E97336265D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jpeg"/><Relationship Id="rId3" Type="http://schemas.openxmlformats.org/officeDocument/2006/relationships/image" Target="../media/image94.jpeg"/><Relationship Id="rId7" Type="http://schemas.openxmlformats.org/officeDocument/2006/relationships/image" Target="../media/image98.jpeg"/><Relationship Id="rId2" Type="http://schemas.openxmlformats.org/officeDocument/2006/relationships/image" Target="../media/image93.jpeg"/><Relationship Id="rId1" Type="http://schemas.openxmlformats.org/officeDocument/2006/relationships/image" Target="../media/image3.jpeg"/><Relationship Id="rId6" Type="http://schemas.openxmlformats.org/officeDocument/2006/relationships/image" Target="../media/image97.jpeg"/><Relationship Id="rId5" Type="http://schemas.openxmlformats.org/officeDocument/2006/relationships/image" Target="../media/image96.jpeg"/><Relationship Id="rId4" Type="http://schemas.openxmlformats.org/officeDocument/2006/relationships/image" Target="../media/image95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g"/><Relationship Id="rId13" Type="http://schemas.openxmlformats.org/officeDocument/2006/relationships/image" Target="../media/image111.jpg"/><Relationship Id="rId3" Type="http://schemas.openxmlformats.org/officeDocument/2006/relationships/image" Target="../media/image101.jpg"/><Relationship Id="rId7" Type="http://schemas.openxmlformats.org/officeDocument/2006/relationships/image" Target="../media/image105.jpg"/><Relationship Id="rId12" Type="http://schemas.openxmlformats.org/officeDocument/2006/relationships/image" Target="../media/image110.jpg"/><Relationship Id="rId2" Type="http://schemas.openxmlformats.org/officeDocument/2006/relationships/image" Target="../media/image100.jpg"/><Relationship Id="rId1" Type="http://schemas.openxmlformats.org/officeDocument/2006/relationships/image" Target="../media/image3.jpeg"/><Relationship Id="rId6" Type="http://schemas.openxmlformats.org/officeDocument/2006/relationships/image" Target="../media/image104.jpg"/><Relationship Id="rId11" Type="http://schemas.openxmlformats.org/officeDocument/2006/relationships/image" Target="../media/image109.jpg"/><Relationship Id="rId5" Type="http://schemas.openxmlformats.org/officeDocument/2006/relationships/image" Target="../media/image103.jpg"/><Relationship Id="rId10" Type="http://schemas.openxmlformats.org/officeDocument/2006/relationships/image" Target="../media/image108.jpg"/><Relationship Id="rId4" Type="http://schemas.openxmlformats.org/officeDocument/2006/relationships/image" Target="../media/image102.jpg"/><Relationship Id="rId9" Type="http://schemas.openxmlformats.org/officeDocument/2006/relationships/image" Target="../media/image107.jpg"/><Relationship Id="rId14" Type="http://schemas.openxmlformats.org/officeDocument/2006/relationships/image" Target="../media/image112.jp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3" Type="http://schemas.openxmlformats.org/officeDocument/2006/relationships/image" Target="../media/image114.jpeg"/><Relationship Id="rId7" Type="http://schemas.openxmlformats.org/officeDocument/2006/relationships/image" Target="../media/image118.jpeg"/><Relationship Id="rId12" Type="http://schemas.openxmlformats.org/officeDocument/2006/relationships/image" Target="../media/image123.jpeg"/><Relationship Id="rId2" Type="http://schemas.openxmlformats.org/officeDocument/2006/relationships/image" Target="../media/image113.jpeg"/><Relationship Id="rId1" Type="http://schemas.openxmlformats.org/officeDocument/2006/relationships/image" Target="../media/image3.jpeg"/><Relationship Id="rId6" Type="http://schemas.openxmlformats.org/officeDocument/2006/relationships/image" Target="../media/image117.jpeg"/><Relationship Id="rId11" Type="http://schemas.openxmlformats.org/officeDocument/2006/relationships/image" Target="../media/image122.jpeg"/><Relationship Id="rId5" Type="http://schemas.openxmlformats.org/officeDocument/2006/relationships/image" Target="../media/image116.jpeg"/><Relationship Id="rId10" Type="http://schemas.openxmlformats.org/officeDocument/2006/relationships/image" Target="../media/image121.jpeg"/><Relationship Id="rId4" Type="http://schemas.openxmlformats.org/officeDocument/2006/relationships/image" Target="../media/image115.jpeg"/><Relationship Id="rId9" Type="http://schemas.openxmlformats.org/officeDocument/2006/relationships/image" Target="../media/image120.jpeg"/><Relationship Id="rId14" Type="http://schemas.openxmlformats.org/officeDocument/2006/relationships/image" Target="../media/image125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jpeg"/><Relationship Id="rId3" Type="http://schemas.openxmlformats.org/officeDocument/2006/relationships/image" Target="../media/image127.jpeg"/><Relationship Id="rId7" Type="http://schemas.openxmlformats.org/officeDocument/2006/relationships/image" Target="../media/image131.jpeg"/><Relationship Id="rId12" Type="http://schemas.openxmlformats.org/officeDocument/2006/relationships/image" Target="../media/image136.jpeg"/><Relationship Id="rId2" Type="http://schemas.openxmlformats.org/officeDocument/2006/relationships/image" Target="../media/image126.jpeg"/><Relationship Id="rId1" Type="http://schemas.openxmlformats.org/officeDocument/2006/relationships/image" Target="../media/image3.jpeg"/><Relationship Id="rId6" Type="http://schemas.openxmlformats.org/officeDocument/2006/relationships/image" Target="../media/image130.jpeg"/><Relationship Id="rId11" Type="http://schemas.openxmlformats.org/officeDocument/2006/relationships/image" Target="../media/image135.jpeg"/><Relationship Id="rId5" Type="http://schemas.openxmlformats.org/officeDocument/2006/relationships/image" Target="../media/image129.jpeg"/><Relationship Id="rId10" Type="http://schemas.openxmlformats.org/officeDocument/2006/relationships/image" Target="../media/image134.jpeg"/><Relationship Id="rId4" Type="http://schemas.openxmlformats.org/officeDocument/2006/relationships/image" Target="../media/image128.jpeg"/><Relationship Id="rId9" Type="http://schemas.openxmlformats.org/officeDocument/2006/relationships/image" Target="../media/image13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156881</xdr:colOff>
      <xdr:row>3</xdr:row>
      <xdr:rowOff>56029</xdr:rowOff>
    </xdr:from>
    <xdr:to>
      <xdr:col>33</xdr:col>
      <xdr:colOff>986119</xdr:colOff>
      <xdr:row>6</xdr:row>
      <xdr:rowOff>41239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B7B3F6-DE3B-4606-98FD-2F4C8688A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263" y="717176"/>
          <a:ext cx="3339355" cy="6015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510789-DF51-4E1C-AB86-8E0AEFC5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791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643430-DCC6-4AB1-BA28-937ABD96C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934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C754A1-811E-4CC1-A235-FAA7AF1AE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19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134926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F5D2DF-B5F3-4137-AC54-F36F9A58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90FAA-CE2D-42DB-889E-9AB91B86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0309B-45E0-43F2-BD77-B8F9C018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434858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12</xdr:col>
      <xdr:colOff>598477</xdr:colOff>
      <xdr:row>46</xdr:row>
      <xdr:rowOff>20096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562190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60856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1094381</xdr:colOff>
      <xdr:row>46</xdr:row>
      <xdr:rowOff>20095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F7A285-FC0D-4587-8C41-9158DE4F6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8</xdr:col>
      <xdr:colOff>77305</xdr:colOff>
      <xdr:row>43</xdr:row>
      <xdr:rowOff>22089</xdr:rowOff>
    </xdr:from>
    <xdr:to>
      <xdr:col>13</xdr:col>
      <xdr:colOff>510749</xdr:colOff>
      <xdr:row>56</xdr:row>
      <xdr:rowOff>101480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FF9CA18-AAC4-A773-C726-AF3CD3F19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088" y="816113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17479</xdr:colOff>
      <xdr:row>27</xdr:row>
      <xdr:rowOff>183133</xdr:rowOff>
    </xdr:from>
    <xdr:to>
      <xdr:col>16</xdr:col>
      <xdr:colOff>1124574</xdr:colOff>
      <xdr:row>41</xdr:row>
      <xdr:rowOff>74785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3BA31C6-B9E2-C324-3D25-600F75742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2609" y="5318350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3082955</xdr:colOff>
      <xdr:row>42</xdr:row>
      <xdr:rowOff>123305</xdr:rowOff>
    </xdr:from>
    <xdr:to>
      <xdr:col>7</xdr:col>
      <xdr:colOff>1473355</xdr:colOff>
      <xdr:row>56</xdr:row>
      <xdr:rowOff>14957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0A448AD-664D-C699-0310-4A9489BF2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912" y="8074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295392</xdr:colOff>
      <xdr:row>42</xdr:row>
      <xdr:rowOff>151828</xdr:rowOff>
    </xdr:from>
    <xdr:to>
      <xdr:col>3</xdr:col>
      <xdr:colOff>2606226</xdr:colOff>
      <xdr:row>56</xdr:row>
      <xdr:rowOff>35860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F031A58-C4F7-2DC4-7594-781151FD3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783" y="8103132"/>
          <a:ext cx="3470400" cy="2512380"/>
        </a:xfrm>
        <a:prstGeom prst="rect">
          <a:avLst/>
        </a:prstGeom>
      </xdr:spPr>
    </xdr:pic>
    <xdr:clientData/>
  </xdr:twoCellAnchor>
  <xdr:twoCellAnchor editAs="oneCell">
    <xdr:from>
      <xdr:col>16</xdr:col>
      <xdr:colOff>1450348</xdr:colOff>
      <xdr:row>27</xdr:row>
      <xdr:rowOff>125131</xdr:rowOff>
    </xdr:from>
    <xdr:to>
      <xdr:col>25</xdr:col>
      <xdr:colOff>1177009</xdr:colOff>
      <xdr:row>41</xdr:row>
      <xdr:rowOff>16783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1885837-D2CE-B5A7-E7C5-D69388B38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8783" y="526034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286175</xdr:colOff>
      <xdr:row>27</xdr:row>
      <xdr:rowOff>46641</xdr:rowOff>
    </xdr:from>
    <xdr:to>
      <xdr:col>3</xdr:col>
      <xdr:colOff>2597009</xdr:colOff>
      <xdr:row>40</xdr:row>
      <xdr:rowOff>126032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22D9573E-D551-8D90-D12C-DD66E0B3D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566" y="518185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67132</xdr:colOff>
      <xdr:row>12</xdr:row>
      <xdr:rowOff>111306</xdr:rowOff>
    </xdr:from>
    <xdr:to>
      <xdr:col>16</xdr:col>
      <xdr:colOff>1174227</xdr:colOff>
      <xdr:row>26</xdr:row>
      <xdr:rowOff>58176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31E18B86-5CBE-C0BB-C141-F9CD33AB5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2262" y="2485654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283392</xdr:colOff>
      <xdr:row>12</xdr:row>
      <xdr:rowOff>40435</xdr:rowOff>
    </xdr:from>
    <xdr:to>
      <xdr:col>3</xdr:col>
      <xdr:colOff>2594226</xdr:colOff>
      <xdr:row>25</xdr:row>
      <xdr:rowOff>175044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28B8FD16-72B7-B136-6400-A947669BB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783" y="241478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2896086</xdr:colOff>
      <xdr:row>27</xdr:row>
      <xdr:rowOff>35826</xdr:rowOff>
    </xdr:from>
    <xdr:to>
      <xdr:col>7</xdr:col>
      <xdr:colOff>1286486</xdr:colOff>
      <xdr:row>40</xdr:row>
      <xdr:rowOff>115217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AD2C3E01-23C4-63E4-59A9-73611000B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043" y="517104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1643565</xdr:colOff>
      <xdr:row>27</xdr:row>
      <xdr:rowOff>75392</xdr:rowOff>
    </xdr:from>
    <xdr:to>
      <xdr:col>13</xdr:col>
      <xdr:colOff>343183</xdr:colOff>
      <xdr:row>40</xdr:row>
      <xdr:rowOff>154783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8B5C8529-98B4-41E1-EF50-96A4E6E96B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522" y="5210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4523</xdr:colOff>
      <xdr:row>13</xdr:row>
      <xdr:rowOff>4522</xdr:rowOff>
    </xdr:from>
    <xdr:to>
      <xdr:col>26</xdr:col>
      <xdr:colOff>73531</xdr:colOff>
      <xdr:row>26</xdr:row>
      <xdr:rowOff>83914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4F0F5965-D0DA-11DD-11C1-824FDD895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8001" y="251139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2959565</xdr:colOff>
      <xdr:row>12</xdr:row>
      <xdr:rowOff>66174</xdr:rowOff>
    </xdr:from>
    <xdr:to>
      <xdr:col>7</xdr:col>
      <xdr:colOff>1349965</xdr:colOff>
      <xdr:row>26</xdr:row>
      <xdr:rowOff>13044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FF8B64-0A77-7EFD-A7A2-BEE6F8BA5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6522" y="244052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1696000</xdr:colOff>
      <xdr:row>12</xdr:row>
      <xdr:rowOff>105739</xdr:rowOff>
    </xdr:from>
    <xdr:to>
      <xdr:col>13</xdr:col>
      <xdr:colOff>395618</xdr:colOff>
      <xdr:row>26</xdr:row>
      <xdr:rowOff>52609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B0409B08-6DE9-6AB2-D2D1-5EAEB9D24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957" y="2480087"/>
          <a:ext cx="3470400" cy="25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771853-7359-40C4-BF3E-66BCEB0DE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1</xdr:col>
      <xdr:colOff>72570</xdr:colOff>
      <xdr:row>12</xdr:row>
      <xdr:rowOff>36284</xdr:rowOff>
    </xdr:from>
    <xdr:to>
      <xdr:col>3</xdr:col>
      <xdr:colOff>1791427</xdr:colOff>
      <xdr:row>24</xdr:row>
      <xdr:rowOff>59902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645B684-4D8F-03D7-CA24-F67AF9A18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2" y="240695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113712</xdr:colOff>
      <xdr:row>27</xdr:row>
      <xdr:rowOff>29047</xdr:rowOff>
    </xdr:from>
    <xdr:to>
      <xdr:col>3</xdr:col>
      <xdr:colOff>1832569</xdr:colOff>
      <xdr:row>39</xdr:row>
      <xdr:rowOff>15714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4A449ED-64FD-BFC1-7CC9-3283B0309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74" y="507276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445143</xdr:colOff>
      <xdr:row>12</xdr:row>
      <xdr:rowOff>58095</xdr:rowOff>
    </xdr:from>
    <xdr:to>
      <xdr:col>9</xdr:col>
      <xdr:colOff>360570</xdr:colOff>
      <xdr:row>24</xdr:row>
      <xdr:rowOff>93143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8B1FC9B-BD9B-3884-462E-2ED7886C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286" y="242876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2010285</xdr:colOff>
      <xdr:row>27</xdr:row>
      <xdr:rowOff>26666</xdr:rowOff>
    </xdr:from>
    <xdr:to>
      <xdr:col>6</xdr:col>
      <xdr:colOff>403617</xdr:colOff>
      <xdr:row>39</xdr:row>
      <xdr:rowOff>17143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8A9AE85-095F-4511-8480-FCB9F6100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190" y="507038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600001</xdr:colOff>
      <xdr:row>12</xdr:row>
      <xdr:rowOff>31523</xdr:rowOff>
    </xdr:from>
    <xdr:to>
      <xdr:col>14</xdr:col>
      <xdr:colOff>456192</xdr:colOff>
      <xdr:row>24</xdr:row>
      <xdr:rowOff>58951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C56B29B-DB34-9D8A-FB2B-8F78F0B88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2382" y="240219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701618</xdr:colOff>
      <xdr:row>12</xdr:row>
      <xdr:rowOff>96858</xdr:rowOff>
    </xdr:from>
    <xdr:to>
      <xdr:col>16</xdr:col>
      <xdr:colOff>1203331</xdr:colOff>
      <xdr:row>24</xdr:row>
      <xdr:rowOff>131906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1C07D53-CE1E-2E48-24C5-EE9799B25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7808" y="2467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</xdr:colOff>
      <xdr:row>27</xdr:row>
      <xdr:rowOff>29141</xdr:rowOff>
    </xdr:from>
    <xdr:to>
      <xdr:col>9</xdr:col>
      <xdr:colOff>549907</xdr:colOff>
      <xdr:row>39</xdr:row>
      <xdr:rowOff>15808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206400F-8EB7-410F-9C0F-F7A26AC25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0858" y="507285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739129</xdr:colOff>
      <xdr:row>26</xdr:row>
      <xdr:rowOff>173442</xdr:rowOff>
    </xdr:from>
    <xdr:to>
      <xdr:col>16</xdr:col>
      <xdr:colOff>1279267</xdr:colOff>
      <xdr:row>38</xdr:row>
      <xdr:rowOff>167729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5F7A70F-B7F7-3CBD-6416-1DEDF5073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660" y="4959755"/>
          <a:ext cx="2905196" cy="2129792"/>
        </a:xfrm>
        <a:prstGeom prst="rect">
          <a:avLst/>
        </a:prstGeom>
      </xdr:spPr>
    </xdr:pic>
    <xdr:clientData/>
  </xdr:twoCellAnchor>
  <xdr:twoCellAnchor editAs="oneCell">
    <xdr:from>
      <xdr:col>17</xdr:col>
      <xdr:colOff>53196</xdr:colOff>
      <xdr:row>26</xdr:row>
      <xdr:rowOff>176625</xdr:rowOff>
    </xdr:from>
    <xdr:to>
      <xdr:col>25</xdr:col>
      <xdr:colOff>739671</xdr:colOff>
      <xdr:row>38</xdr:row>
      <xdr:rowOff>157577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194D2A6-73C1-8E90-AEDF-D32708580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813" y="4976332"/>
          <a:ext cx="2896573" cy="2124077"/>
        </a:xfrm>
        <a:prstGeom prst="rect">
          <a:avLst/>
        </a:prstGeom>
      </xdr:spPr>
    </xdr:pic>
    <xdr:clientData/>
  </xdr:twoCellAnchor>
  <xdr:twoCellAnchor editAs="oneCell">
    <xdr:from>
      <xdr:col>3</xdr:col>
      <xdr:colOff>1911047</xdr:colOff>
      <xdr:row>12</xdr:row>
      <xdr:rowOff>60475</xdr:rowOff>
    </xdr:from>
    <xdr:to>
      <xdr:col>6</xdr:col>
      <xdr:colOff>325334</xdr:colOff>
      <xdr:row>24</xdr:row>
      <xdr:rowOff>95523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D2108A93-1E7E-E503-93D2-B0030C914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952" y="243114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15340</xdr:colOff>
      <xdr:row>12</xdr:row>
      <xdr:rowOff>83344</xdr:rowOff>
    </xdr:from>
    <xdr:to>
      <xdr:col>25</xdr:col>
      <xdr:colOff>669929</xdr:colOff>
      <xdr:row>24</xdr:row>
      <xdr:rowOff>133806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6A3C547B-6A1B-601E-C416-5E03939AD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2121" y="2416969"/>
          <a:ext cx="2853436" cy="2132627"/>
        </a:xfrm>
        <a:prstGeom prst="rect">
          <a:avLst/>
        </a:prstGeom>
      </xdr:spPr>
    </xdr:pic>
    <xdr:clientData/>
  </xdr:twoCellAnchor>
  <xdr:twoCellAnchor editAs="oneCell">
    <xdr:from>
      <xdr:col>10</xdr:col>
      <xdr:colOff>125810</xdr:colOff>
      <xdr:row>27</xdr:row>
      <xdr:rowOff>41143</xdr:rowOff>
    </xdr:from>
    <xdr:to>
      <xdr:col>14</xdr:col>
      <xdr:colOff>590573</xdr:colOff>
      <xdr:row>39</xdr:row>
      <xdr:rowOff>20190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593D6950-BFE7-C618-26FB-F66CC0B49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2953" y="508485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1622453</xdr:colOff>
      <xdr:row>39</xdr:row>
      <xdr:rowOff>94370</xdr:rowOff>
    </xdr:from>
    <xdr:to>
      <xdr:col>13</xdr:col>
      <xdr:colOff>233227</xdr:colOff>
      <xdr:row>53</xdr:row>
      <xdr:rowOff>103408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E5FABD-084D-31D0-11A9-784AF8AB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4060" y="7170084"/>
          <a:ext cx="3400488" cy="2485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B1F1C0-34A3-43DA-B84B-D22B19C1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16</xdr:col>
      <xdr:colOff>1468971</xdr:colOff>
      <xdr:row>13</xdr:row>
      <xdr:rowOff>97931</xdr:rowOff>
    </xdr:from>
    <xdr:to>
      <xdr:col>25</xdr:col>
      <xdr:colOff>1001960</xdr:colOff>
      <xdr:row>27</xdr:row>
      <xdr:rowOff>49524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4F0AB7-D81C-8C02-7202-3FD1A2565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497" y="2624563"/>
          <a:ext cx="3276147" cy="257180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1467878</xdr:colOff>
      <xdr:row>28</xdr:row>
      <xdr:rowOff>96837</xdr:rowOff>
    </xdr:from>
    <xdr:to>
      <xdr:col>25</xdr:col>
      <xdr:colOff>997137</xdr:colOff>
      <xdr:row>42</xdr:row>
      <xdr:rowOff>52413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0AED-8A68-1839-4C23-81369A8B1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6404" y="5430837"/>
          <a:ext cx="3272417" cy="2575787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3163020</xdr:colOff>
      <xdr:row>28</xdr:row>
      <xdr:rowOff>49673</xdr:rowOff>
    </xdr:from>
    <xdr:to>
      <xdr:col>7</xdr:col>
      <xdr:colOff>1316264</xdr:colOff>
      <xdr:row>42</xdr:row>
      <xdr:rowOff>5251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C31FD3-C232-142B-EEB4-E47C2595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20" y="5383673"/>
          <a:ext cx="3259981" cy="2575789"/>
        </a:xfrm>
        <a:prstGeom prst="rect">
          <a:avLst/>
        </a:prstGeom>
      </xdr:spPr>
    </xdr:pic>
    <xdr:clientData/>
  </xdr:twoCellAnchor>
  <xdr:twoCellAnchor editAs="oneCell">
    <xdr:from>
      <xdr:col>14</xdr:col>
      <xdr:colOff>205948</xdr:colOff>
      <xdr:row>13</xdr:row>
      <xdr:rowOff>65933</xdr:rowOff>
    </xdr:from>
    <xdr:to>
      <xdr:col>16</xdr:col>
      <xdr:colOff>1087283</xdr:colOff>
      <xdr:row>27</xdr:row>
      <xdr:rowOff>21509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49EF0A5-07F8-5CB7-79C6-A717EFF0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264" y="2592565"/>
          <a:ext cx="3247545" cy="2575786"/>
        </a:xfrm>
        <a:prstGeom prst="rect">
          <a:avLst/>
        </a:prstGeom>
      </xdr:spPr>
    </xdr:pic>
    <xdr:clientData/>
  </xdr:twoCellAnchor>
  <xdr:twoCellAnchor editAs="oneCell">
    <xdr:from>
      <xdr:col>2</xdr:col>
      <xdr:colOff>51272</xdr:colOff>
      <xdr:row>13</xdr:row>
      <xdr:rowOff>27784</xdr:rowOff>
    </xdr:from>
    <xdr:to>
      <xdr:col>3</xdr:col>
      <xdr:colOff>2575990</xdr:colOff>
      <xdr:row>26</xdr:row>
      <xdr:rowOff>152488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FEA011D1-DCC9-E44C-B216-9D82BA54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09" y="2554416"/>
          <a:ext cx="3259981" cy="2557756"/>
        </a:xfrm>
        <a:prstGeom prst="rect">
          <a:avLst/>
        </a:prstGeom>
      </xdr:spPr>
    </xdr:pic>
    <xdr:clientData/>
  </xdr:twoCellAnchor>
  <xdr:twoCellAnchor editAs="oneCell">
    <xdr:from>
      <xdr:col>2</xdr:col>
      <xdr:colOff>25702</xdr:colOff>
      <xdr:row>28</xdr:row>
      <xdr:rowOff>65807</xdr:rowOff>
    </xdr:from>
    <xdr:to>
      <xdr:col>3</xdr:col>
      <xdr:colOff>2556554</xdr:colOff>
      <xdr:row>42</xdr:row>
      <xdr:rowOff>27346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5473EEA-2A5E-3AF1-3C8C-D8AD35FC1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39" y="5399807"/>
          <a:ext cx="3266115" cy="25817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125337</xdr:colOff>
      <xdr:row>28</xdr:row>
      <xdr:rowOff>132177</xdr:rowOff>
    </xdr:from>
    <xdr:to>
      <xdr:col>13</xdr:col>
      <xdr:colOff>340514</xdr:colOff>
      <xdr:row>42</xdr:row>
      <xdr:rowOff>87753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2D9B9388-D2B2-ACCF-9EE5-19B1C9B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969" y="5466177"/>
          <a:ext cx="3289913" cy="2575787"/>
        </a:xfrm>
        <a:prstGeom prst="rect">
          <a:avLst/>
        </a:prstGeom>
      </xdr:spPr>
    </xdr:pic>
    <xdr:clientData/>
  </xdr:twoCellAnchor>
  <xdr:twoCellAnchor editAs="oneCell">
    <xdr:from>
      <xdr:col>8</xdr:col>
      <xdr:colOff>153778</xdr:colOff>
      <xdr:row>13</xdr:row>
      <xdr:rowOff>36826</xdr:rowOff>
    </xdr:from>
    <xdr:to>
      <xdr:col>13</xdr:col>
      <xdr:colOff>315792</xdr:colOff>
      <xdr:row>26</xdr:row>
      <xdr:rowOff>169612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3A1E11A-7D0E-F076-1847-45DE3F1D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10" y="2563458"/>
          <a:ext cx="3236750" cy="2565838"/>
        </a:xfrm>
        <a:prstGeom prst="rect">
          <a:avLst/>
        </a:prstGeom>
      </xdr:spPr>
    </xdr:pic>
    <xdr:clientData/>
  </xdr:twoCellAnchor>
  <xdr:twoCellAnchor editAs="oneCell">
    <xdr:from>
      <xdr:col>3</xdr:col>
      <xdr:colOff>3116742</xdr:colOff>
      <xdr:row>13</xdr:row>
      <xdr:rowOff>52462</xdr:rowOff>
    </xdr:from>
    <xdr:to>
      <xdr:col>7</xdr:col>
      <xdr:colOff>1246755</xdr:colOff>
      <xdr:row>26</xdr:row>
      <xdr:rowOff>185249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62DAA26-A944-9D70-E1ED-081B0D55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742" y="2579094"/>
          <a:ext cx="3236750" cy="2565839"/>
        </a:xfrm>
        <a:prstGeom prst="rect">
          <a:avLst/>
        </a:prstGeom>
      </xdr:spPr>
    </xdr:pic>
    <xdr:clientData/>
  </xdr:twoCellAnchor>
  <xdr:twoCellAnchor editAs="oneCell">
    <xdr:from>
      <xdr:col>14</xdr:col>
      <xdr:colOff>154698</xdr:colOff>
      <xdr:row>28</xdr:row>
      <xdr:rowOff>169763</xdr:rowOff>
    </xdr:from>
    <xdr:to>
      <xdr:col>16</xdr:col>
      <xdr:colOff>1078401</xdr:colOff>
      <xdr:row>42</xdr:row>
      <xdr:rowOff>125340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18CBBB7-B622-67CF-BBC9-0A5880AE9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014" y="5503763"/>
          <a:ext cx="3289913" cy="2575788"/>
        </a:xfrm>
        <a:prstGeom prst="rect">
          <a:avLst/>
        </a:prstGeom>
      </xdr:spPr>
    </xdr:pic>
    <xdr:clientData/>
  </xdr:twoCellAnchor>
  <xdr:twoCellAnchor editAs="oneCell">
    <xdr:from>
      <xdr:col>2</xdr:col>
      <xdr:colOff>87075</xdr:colOff>
      <xdr:row>45</xdr:row>
      <xdr:rowOff>25290</xdr:rowOff>
    </xdr:from>
    <xdr:to>
      <xdr:col>3</xdr:col>
      <xdr:colOff>2624910</xdr:colOff>
      <xdr:row>58</xdr:row>
      <xdr:rowOff>173988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4F90D39-61A8-D73B-DF56-02BE578DF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812" y="8540974"/>
          <a:ext cx="3273098" cy="258175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8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topLeftCell="A4" zoomScale="90" zoomScaleNormal="100" workbookViewId="0">
      <selection activeCell="A181" sqref="A31:XFD18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3" t="s">
        <v>566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v>45281</v>
      </c>
      <c r="C8" s="448"/>
      <c r="D8" s="23" t="s">
        <v>595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4" t="s">
        <v>545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462">
        <f>K195</f>
        <v>4.5500000000000007</v>
      </c>
      <c r="H201" s="463"/>
      <c r="I201" s="464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462" t="s">
        <v>586</v>
      </c>
      <c r="H204" s="465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462">
        <v>4</v>
      </c>
      <c r="H205" s="465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G201:I201"/>
    <mergeCell ref="G204:H204"/>
    <mergeCell ref="G205:H205"/>
    <mergeCell ref="G10:I10"/>
    <mergeCell ref="J10:N10"/>
    <mergeCell ref="B10:B11"/>
    <mergeCell ref="C10:C11"/>
    <mergeCell ref="D10:D11"/>
    <mergeCell ref="E10:E11"/>
    <mergeCell ref="F10:F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3" t="s">
        <v>598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v>45291</v>
      </c>
      <c r="C8" s="448"/>
      <c r="D8" s="23" t="s">
        <v>710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4" t="s">
        <v>596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462">
        <f>L25</f>
        <v>85.184619999999995</v>
      </c>
      <c r="H50" s="463"/>
      <c r="I50" s="464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462"/>
      <c r="H51" s="463"/>
      <c r="I51" s="464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475" t="s">
        <v>652</v>
      </c>
      <c r="H54" s="477"/>
      <c r="I54" s="478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475" t="s">
        <v>612</v>
      </c>
      <c r="H91" s="476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471">
        <f xml:space="preserve"> (2*1.31) + (2*1.51) + (2*4.98)</f>
        <v>15.600000000000001</v>
      </c>
      <c r="H92" s="472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471">
        <f xml:space="preserve"> (3*3.37) + (1.37) + (2*3.47)</f>
        <v>18.420000000000002</v>
      </c>
      <c r="H93" s="472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471">
        <f xml:space="preserve"> (1.87) + (2*3.62)</f>
        <v>9.11</v>
      </c>
      <c r="H94" s="472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471">
        <f xml:space="preserve"> (4*0.88) + (2*3.36) + (2*5.03)</f>
        <v>20.3</v>
      </c>
      <c r="H95" s="472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471">
        <f xml:space="preserve"> (2*3.18) + (2*3.18)</f>
        <v>12.72</v>
      </c>
      <c r="H96" s="472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471">
        <f xml:space="preserve"> (4*2.15)</f>
        <v>8.6</v>
      </c>
      <c r="H97" s="472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471">
        <f xml:space="preserve"> (4*6.99)</f>
        <v>27.96</v>
      </c>
      <c r="H98" s="472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471"/>
      <c r="H100" s="473"/>
      <c r="I100" s="474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475" t="s">
        <v>679</v>
      </c>
      <c r="H108" s="476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471" t="s">
        <v>680</v>
      </c>
      <c r="H109" s="472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471" t="s">
        <v>681</v>
      </c>
      <c r="H110" s="472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471" t="s">
        <v>682</v>
      </c>
      <c r="H111" s="472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471" t="s">
        <v>684</v>
      </c>
      <c r="H112" s="472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471" t="s">
        <v>683</v>
      </c>
      <c r="H113" s="472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471" t="s">
        <v>685</v>
      </c>
      <c r="H114" s="472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475" t="s">
        <v>686</v>
      </c>
      <c r="H115" s="476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471" t="s">
        <v>687</v>
      </c>
      <c r="H116" s="472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471" t="s">
        <v>688</v>
      </c>
      <c r="H117" s="472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475" t="s">
        <v>689</v>
      </c>
      <c r="H118" s="476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471" t="s">
        <v>690</v>
      </c>
      <c r="H119" s="472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475" t="s">
        <v>691</v>
      </c>
      <c r="H120" s="476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471" t="s">
        <v>692</v>
      </c>
      <c r="H121" s="472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471" t="s">
        <v>693</v>
      </c>
      <c r="H122" s="472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475" t="s">
        <v>694</v>
      </c>
      <c r="H123" s="476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471" t="s">
        <v>695</v>
      </c>
      <c r="H124" s="472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471" t="s">
        <v>696</v>
      </c>
      <c r="H125" s="472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471" t="s">
        <v>697</v>
      </c>
      <c r="H126" s="472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471" t="s">
        <v>698</v>
      </c>
      <c r="H127" s="472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471" t="s">
        <v>699</v>
      </c>
      <c r="H128" s="472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471" t="s">
        <v>700</v>
      </c>
      <c r="H129" s="472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471" t="s">
        <v>701</v>
      </c>
      <c r="H130" s="472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475" t="s">
        <v>702</v>
      </c>
      <c r="H131" s="476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471" t="s">
        <v>704</v>
      </c>
      <c r="H132" s="472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471" t="s">
        <v>703</v>
      </c>
      <c r="H133" s="472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471" t="s">
        <v>703</v>
      </c>
      <c r="H134" s="472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471" t="s">
        <v>705</v>
      </c>
      <c r="H135" s="472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471" t="s">
        <v>704</v>
      </c>
      <c r="H136" s="472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471" t="s">
        <v>705</v>
      </c>
      <c r="H137" s="472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471" t="s">
        <v>704</v>
      </c>
      <c r="H138" s="472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471">
        <v>9.6</v>
      </c>
      <c r="H139" s="473"/>
      <c r="I139" s="474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471"/>
      <c r="H149" s="473"/>
      <c r="I149" s="474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471">
        <v>9.6</v>
      </c>
      <c r="H150" s="473"/>
      <c r="I150" s="474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471">
        <f>K148</f>
        <v>9.6</v>
      </c>
      <c r="H152" s="473"/>
      <c r="I152" s="474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475" t="s">
        <v>647</v>
      </c>
      <c r="H154" s="476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471">
        <f xml:space="preserve"> ((0.59*(1.85/0.1)) * 2)</f>
        <v>21.83</v>
      </c>
      <c r="H155" s="472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471">
        <f>(0.69*(1.87/0.1)) + (0.79*(1.87/0.1))</f>
        <v>27.675999999999998</v>
      </c>
      <c r="H156" s="472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471">
        <f>((0.69*(1.9/0.1))*3) + ((0.59*(1.87/0.1))*2)</f>
        <v>61.395999999999987</v>
      </c>
      <c r="H157" s="472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471">
        <f>((0.69*(1.92/0.1))*1) + ((0.59*(1.92/0.1))*2)</f>
        <v>35.903999999999996</v>
      </c>
      <c r="H158" s="472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471">
        <f>((0.79*(1.94/0.1))*3)</f>
        <v>45.977999999999994</v>
      </c>
      <c r="H159" s="472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471">
        <f>((0.69*(1.96/0.1))*3) + ((0.59*(1.96/0.1))*2)</f>
        <v>63.699999999999989</v>
      </c>
      <c r="H160" s="472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471">
        <f>((0.59*(1.95/0.1))*2) + ((0.69*(1.95/0.1))*3) +((0.79*(1.95/0.1))*1)</f>
        <v>78.78</v>
      </c>
      <c r="H161" s="472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471">
        <f>((0.59*(1.97/0.1))*1)  +((0.79*(1.97/0.1))*2)</f>
        <v>42.749000000000002</v>
      </c>
      <c r="H162" s="472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471">
        <f>((0.59*(1.9/0.1))*3)</f>
        <v>33.629999999999995</v>
      </c>
      <c r="H163" s="472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471">
        <f>((0.69*(1.86/0.1))*1) + ((0.69*(1.86/0.1))*1) + ((0.89*(1.86/0.1))*1)</f>
        <v>42.222000000000001</v>
      </c>
      <c r="H164" s="472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471">
        <f>((0.69*(1.87/0.1))*3)</f>
        <v>38.708999999999996</v>
      </c>
      <c r="H165" s="472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471">
        <f>((0.69*(1.9/0.1))*1) + ((0.79*(1.9/0.1))*2) + ((0.59*(1.9/0.1))*1)</f>
        <v>54.339999999999989</v>
      </c>
      <c r="H166" s="472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471">
        <f>((0.79*(1.91/0.1))*1) +((0.59*(1.91/0.1))*1)</f>
        <v>26.357999999999997</v>
      </c>
      <c r="H167" s="472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471">
        <f>((0.79*(1.94/0.1))*1) +((0.59*(1.94/0.1))*5)</f>
        <v>72.555999999999983</v>
      </c>
      <c r="H168" s="472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471">
        <f>((0.69*(1.92/0.1))*2) + ((0.69*(1.92/0.1))*1)</f>
        <v>39.744</v>
      </c>
      <c r="H169" s="472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471">
        <f>((0.59*(1.93/0.1))*2) + ((0.79*(1.93/0.1))*1)</f>
        <v>38.020999999999994</v>
      </c>
      <c r="H170" s="472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471">
        <f>((0.59*(1.87/0.1))*2) + ((0.69*(1.87/0.1))*2)</f>
        <v>47.872</v>
      </c>
      <c r="H171" s="472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471">
        <f>((0.59*(1.88/0.1))*3) + ((0.69*(1.88/0.1))*1)</f>
        <v>46.24799999999999</v>
      </c>
      <c r="H172" s="472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471">
        <f>((0.79*(1.9/0.1))*1) + ((0.69*(1.9/0.1))*3)</f>
        <v>54.339999999999982</v>
      </c>
      <c r="H173" s="472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471">
        <f>((0.59*(1.9/0.1))*1)</f>
        <v>11.209999999999997</v>
      </c>
      <c r="H174" s="472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471">
        <f>((0.69*(1.87/0.1))*1) + ((0.59*(1.87/0.1))*1)</f>
        <v>23.936</v>
      </c>
      <c r="H175" s="472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471">
        <f>((0.69*(2/0.1))*1) + ((0.59*(2/0.1))*2)</f>
        <v>37.4</v>
      </c>
      <c r="H176" s="472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471">
        <f>((0.69*(2.01/0.1))*1) + ((0.59*(2.01/0.1))*5) + ((0.79*(2.01/0.1))*1)</f>
        <v>89.042999999999992</v>
      </c>
      <c r="H177" s="472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471">
        <f>(((1.39+0.47+0.47))*(1.86/0.15))</f>
        <v>28.892000000000003</v>
      </c>
      <c r="H178" s="472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471">
        <f>(((1.09+0.022))*(1.87/0.15))</f>
        <v>13.862933333333336</v>
      </c>
      <c r="H179" s="472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471">
        <f>(((1.09+0.022))*(1.89/0.15))</f>
        <v>14.011200000000001</v>
      </c>
      <c r="H180" s="472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471">
        <f>(((0.59))*(1.9/0.15))</f>
        <v>7.4733333333333327</v>
      </c>
      <c r="H181" s="472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471">
        <f>(((0.59))*(1.92/0.15))</f>
        <v>7.5519999999999996</v>
      </c>
      <c r="H182" s="472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471">
        <f>(((0.59))*(1.9/0.15))</f>
        <v>7.4733333333333327</v>
      </c>
      <c r="H183" s="472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471">
        <f>(((0.69))*(1.98/0.15))</f>
        <v>9.1080000000000005</v>
      </c>
      <c r="H184" s="472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475" t="s">
        <v>612</v>
      </c>
      <c r="H185" s="476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471">
        <f xml:space="preserve"> (2*2.51) + (40*0.59)</f>
        <v>28.619999999999997</v>
      </c>
      <c r="H186" s="472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471">
        <f xml:space="preserve"> (19*0.79)</f>
        <v>15.010000000000002</v>
      </c>
      <c r="H187" s="472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471">
        <f xml:space="preserve"> (21*0.79)</f>
        <v>16.59</v>
      </c>
      <c r="H188" s="472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471">
        <f xml:space="preserve"> (2*3.86) + (29*0.79)</f>
        <v>30.63</v>
      </c>
      <c r="H189" s="472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471">
        <f xml:space="preserve"> (22*0.59)</f>
        <v>12.979999999999999</v>
      </c>
      <c r="H190" s="472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471">
        <f xml:space="preserve"> (14*0.059)</f>
        <v>0.82599999999999996</v>
      </c>
      <c r="H191" s="472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471">
        <f xml:space="preserve"> (59*0.59)</f>
        <v>34.809999999999995</v>
      </c>
      <c r="H192" s="472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471">
        <v>295</v>
      </c>
      <c r="H194" s="473"/>
      <c r="I194" s="474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475" t="s">
        <v>628</v>
      </c>
      <c r="H197" s="476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471">
        <f xml:space="preserve"> (4*(0.2+0.25+1.85+0.33)) * 2</f>
        <v>21.040000000000003</v>
      </c>
      <c r="H198" s="472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471">
        <f xml:space="preserve"> ((4*(0.2+0.25+1.87+0.33)) * 2)</f>
        <v>21.200000000000003</v>
      </c>
      <c r="H199" s="472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471">
        <f xml:space="preserve"> (4*(0.2+0.25+1.9+0.33)) * 5</f>
        <v>53.6</v>
      </c>
      <c r="H200" s="472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471">
        <f xml:space="preserve"> (4*(0.2+0.25+1.92+0.33)) *3</f>
        <v>32.400000000000006</v>
      </c>
      <c r="H201" s="472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471">
        <f xml:space="preserve"> (4*(0.2+0.25+1.94+0.33)) * 3</f>
        <v>32.64</v>
      </c>
      <c r="H202" s="472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471">
        <f xml:space="preserve"> (4*(0.2+0.25+1.96+0.33)) * 5</f>
        <v>54.800000000000004</v>
      </c>
      <c r="H203" s="472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471">
        <f xml:space="preserve"> (4*(0.2+0.25+1.95+0.33)) * 6</f>
        <v>65.52</v>
      </c>
      <c r="H204" s="472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471">
        <f xml:space="preserve"> (4*(0.2+0.25+1.97+0.33)) * 3</f>
        <v>33</v>
      </c>
      <c r="H205" s="472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471">
        <f xml:space="preserve"> (4*(0.2+0.25+1.9+0.33)) * 3</f>
        <v>32.160000000000004</v>
      </c>
      <c r="H206" s="472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471">
        <f xml:space="preserve"> ((4*(0.2+0.25+1.86+0.33)) * 3)</f>
        <v>31.68</v>
      </c>
      <c r="H207" s="472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471">
        <f xml:space="preserve"> ((4*(0.2+0.25+1.87+0.33)) * 3)</f>
        <v>31.800000000000004</v>
      </c>
      <c r="H208" s="472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471">
        <f xml:space="preserve"> ((4*(0.2+0.25+1.9+0.33)) * 4)</f>
        <v>42.88</v>
      </c>
      <c r="H209" s="472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471">
        <f xml:space="preserve"> ((4*(0.2+0.25+1.91+0.33)) * 2)</f>
        <v>21.52</v>
      </c>
      <c r="H210" s="472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471">
        <f xml:space="preserve"> ((4*(0.2+0.25+1.94+0.33)) * 6)</f>
        <v>65.28</v>
      </c>
      <c r="H211" s="472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471">
        <f xml:space="preserve"> ((4*(0.2+0.25+1.92+0.33)) *3)</f>
        <v>32.400000000000006</v>
      </c>
      <c r="H212" s="472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471">
        <f xml:space="preserve"> ((4*(0.2+0.25+1.93+0.33)) *3)</f>
        <v>32.519999999999996</v>
      </c>
      <c r="H213" s="472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471">
        <f xml:space="preserve"> ((4*(0.2+0.25+1.87+0.33)) *4)</f>
        <v>42.400000000000006</v>
      </c>
      <c r="H214" s="472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471">
        <f xml:space="preserve"> ((4*(0.2+0.25+1.88+0.33)) *4)</f>
        <v>42.56</v>
      </c>
      <c r="H215" s="472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471">
        <f xml:space="preserve"> ((4*(0.2+0.25+1.9+0.33)) *4)</f>
        <v>42.88</v>
      </c>
      <c r="H216" s="472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471">
        <f>((4*(0.2+0.25+1.9+0.33))) + ((8*(0.2+0.25+1.9)))</f>
        <v>29.520000000000003</v>
      </c>
      <c r="H217" s="472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471">
        <f xml:space="preserve"> ((4*(0.2+0.25+1.97+0.33)) *2)</f>
        <v>22</v>
      </c>
      <c r="H218" s="472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471">
        <f xml:space="preserve"> ((4*(0.2+0.25+2+0.33)) *3)</f>
        <v>33.36</v>
      </c>
      <c r="H219" s="472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471">
        <f xml:space="preserve"> ((4*(0.2+0.25+2.01+0.33)) *7)</f>
        <v>78.12</v>
      </c>
      <c r="H220" s="472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475" t="s">
        <v>628</v>
      </c>
      <c r="H222" s="476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471">
        <f>((8*(0.2+0.25+1.86+0.42)))</f>
        <v>21.84</v>
      </c>
      <c r="H223" s="472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471">
        <f>((6*(0.2+0.25+1.87+0.42)))</f>
        <v>16.440000000000001</v>
      </c>
      <c r="H224" s="472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471">
        <f>((6*(0.2+0.25+1.89+0.42)))</f>
        <v>16.559999999999999</v>
      </c>
      <c r="H225" s="472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471">
        <f>((4*(0.2+0.25+1.9+0.42)))</f>
        <v>11.08</v>
      </c>
      <c r="H226" s="472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471">
        <f>((4*(0.2+0.25+1.92+0.42)))</f>
        <v>11.16</v>
      </c>
      <c r="H227" s="472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471">
        <f>((4*(0.2+0.25+1.9+0.42)))</f>
        <v>11.08</v>
      </c>
      <c r="H228" s="472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471">
        <f>((4*(0.2+0.25+1.98+0.42)))+(2*(0.2+0.25+1.98))</f>
        <v>16.260000000000002</v>
      </c>
      <c r="H229" s="472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475" t="s">
        <v>612</v>
      </c>
      <c r="H230" s="476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471"/>
      <c r="H231" s="472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471"/>
      <c r="H232" s="472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471"/>
      <c r="H233" s="472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471"/>
      <c r="H234" s="472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471"/>
      <c r="H235" s="472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471"/>
      <c r="H236" s="472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471"/>
      <c r="H237" s="472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475" t="s">
        <v>706</v>
      </c>
      <c r="H247" s="476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471">
        <f xml:space="preserve"> ((0.15+0.25)*2) *2</f>
        <v>1.6</v>
      </c>
      <c r="H248" s="472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471">
        <f xml:space="preserve"> ((0.2+0.25)*2) + ((0.2+0.3)*2)</f>
        <v>1.9</v>
      </c>
      <c r="H249" s="472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471">
        <f xml:space="preserve"> ((0.2+0.25)*2*3) + ((0.2+0.2)*2*1) + ((0.15+0.2)*2*1)</f>
        <v>4.2</v>
      </c>
      <c r="H250" s="472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471">
        <f xml:space="preserve"> ((0.2+0.25)*2*1) + ((0.15+0.25)*2*2)</f>
        <v>2.5</v>
      </c>
      <c r="H251" s="472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471">
        <f xml:space="preserve"> ((0.15+0.3)*2*3)</f>
        <v>2.6999999999999997</v>
      </c>
      <c r="H252" s="472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471">
        <f xml:space="preserve"> ((0.2+0.25)*2*3) + ((0.15+0.25)*2*2)</f>
        <v>4.3000000000000007</v>
      </c>
      <c r="H253" s="472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471">
        <f xml:space="preserve"> ((0.2+0.25)*2*3) + ((0.15+0.25)*2*2) +  ((0.2+0.3)*2*1)</f>
        <v>5.3000000000000007</v>
      </c>
      <c r="H254" s="472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471">
        <f xml:space="preserve"> ((0.2+0.25)*2*2) + ((0.15+0.25)*2*1)</f>
        <v>2.6</v>
      </c>
      <c r="H255" s="472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471">
        <f>((0.15+0.25)*2*3)</f>
        <v>2.4000000000000004</v>
      </c>
      <c r="H256" s="472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471">
        <f xml:space="preserve"> ((0.2+0.25)*2*1) + ((0.15+0.25)*2*1) +  ((0.2+0.35)*2*1)</f>
        <v>2.8000000000000003</v>
      </c>
      <c r="H257" s="472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471">
        <f xml:space="preserve"> ((0.2+0.25)*2*1) + ((0.15+0.3)*2*2)</f>
        <v>2.6999999999999997</v>
      </c>
      <c r="H258" s="472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471">
        <f xml:space="preserve"> ((0.2+0.3)*2*1) + ((0.15+0.3)*2*1) +  ((0.15+0.25)*2*1) + ((0.15+0.35)*2*1)</f>
        <v>3.7</v>
      </c>
      <c r="H259" s="472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471">
        <f xml:space="preserve"> ((0.15+0.25)*2*1) + ((0.2+0.3)*2*1)</f>
        <v>1.8</v>
      </c>
      <c r="H260" s="472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471">
        <f xml:space="preserve"> ((0.15+0.25)*2*5) + ((0.25+0.25)*2*1)</f>
        <v>5</v>
      </c>
      <c r="H261" s="472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471">
        <f xml:space="preserve"> ((0.2+0.25)*2*1) + ((0.15+0.25)*2*1) +  ((0.25+0.25)*2*1)</f>
        <v>2.7</v>
      </c>
      <c r="H262" s="472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471">
        <f xml:space="preserve"> ((0.15+0.25)*2*2) + ((0.25+0.25)*2*1)</f>
        <v>2.6</v>
      </c>
      <c r="H263" s="472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471">
        <f xml:space="preserve"> ((0.15+0.25)*2*2) + ((0.2+0.25)*2*2)</f>
        <v>3.4000000000000004</v>
      </c>
      <c r="H264" s="472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471">
        <f xml:space="preserve"> ((0.15+0.25)*2*3) + ((0.2+0.25)*2*1)</f>
        <v>3.3000000000000003</v>
      </c>
      <c r="H265" s="472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471">
        <f>((0.2+0.25)*2*3) + ((0.25+0.25)*2*1)</f>
        <v>3.7</v>
      </c>
      <c r="H266" s="472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471">
        <f>((0.2+0.2)*2*1)</f>
        <v>0.8</v>
      </c>
      <c r="H267" s="472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471">
        <f>((0.2+0.25)*2*1) + ((0.15+0.25)*2*1)</f>
        <v>1.7000000000000002</v>
      </c>
      <c r="H268" s="472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471">
        <f>((0.2+0.25)*2*1) + ((0.15+0.25)*2*2)</f>
        <v>2.5</v>
      </c>
      <c r="H269" s="472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471">
        <f xml:space="preserve"> ((0.2+0.3)*2*1) + ((0.15+0.25)*2*5) +  ((0.25+0.25)*2*1)</f>
        <v>6</v>
      </c>
      <c r="H270" s="472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471">
        <f>((0.15+0.3)*2*1)</f>
        <v>0.89999999999999991</v>
      </c>
      <c r="H271" s="472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471">
        <f>((0.15+0.5)*2*1)</f>
        <v>1.3</v>
      </c>
      <c r="H272" s="472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471">
        <f>((0.15+0.5)*2*1)</f>
        <v>1.3</v>
      </c>
      <c r="H273" s="472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471">
        <f>((0.15+0.25)*2*1)</f>
        <v>0.8</v>
      </c>
      <c r="H274" s="472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471">
        <f t="shared" ref="G275" si="17">((0.15+0.3)*2*1)</f>
        <v>0.89999999999999991</v>
      </c>
      <c r="H275" s="472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471">
        <f>((0.15+0.25)*2*1)</f>
        <v>0.8</v>
      </c>
      <c r="H276" s="472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471">
        <f>((0.15+0.3)*2*1)</f>
        <v>0.89999999999999991</v>
      </c>
      <c r="H277" s="472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462">
        <v>11.01</v>
      </c>
      <c r="H419" s="463"/>
      <c r="I419" s="464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462">
        <f>K426</f>
        <v>1.04</v>
      </c>
      <c r="H432" s="463"/>
      <c r="I432" s="464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462" t="s">
        <v>586</v>
      </c>
      <c r="H435" s="465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462">
        <v>4</v>
      </c>
      <c r="H436" s="465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567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v>45281</v>
      </c>
      <c r="C8" s="448"/>
      <c r="D8" s="23" t="s">
        <v>595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3"/>
      <c r="K8" s="453"/>
      <c r="L8" s="453"/>
      <c r="M8" s="453"/>
      <c r="N8" s="453"/>
      <c r="O8" s="453"/>
      <c r="P8" s="484"/>
      <c r="Q8" s="454" t="s">
        <v>545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597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v>45291</v>
      </c>
      <c r="C8" s="448"/>
      <c r="D8" s="23" t="s">
        <v>710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3"/>
      <c r="K8" s="453"/>
      <c r="L8" s="453"/>
      <c r="M8" s="453"/>
      <c r="N8" s="453"/>
      <c r="O8" s="453"/>
      <c r="P8" s="484"/>
      <c r="Q8" s="454" t="s">
        <v>596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3" t="s">
        <v>713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v>45352</v>
      </c>
      <c r="C8" s="448"/>
      <c r="D8" s="23" t="s">
        <v>712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4" t="s">
        <v>711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492">
        <v>1</v>
      </c>
      <c r="G70" s="499">
        <f>43.05</f>
        <v>43.05</v>
      </c>
      <c r="H70" s="500"/>
      <c r="I70" s="501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493"/>
      <c r="G71" s="502"/>
      <c r="H71" s="503"/>
      <c r="I71" s="504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6" t="s">
        <v>883</v>
      </c>
      <c r="H72" s="497"/>
      <c r="I72" s="498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94" t="s">
        <v>838</v>
      </c>
      <c r="H73" s="495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94">
        <v>9</v>
      </c>
      <c r="H74" s="495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94">
        <v>5</v>
      </c>
      <c r="H75" s="495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94">
        <f xml:space="preserve"> (13.03 * 2.7)</f>
        <v>35.180999999999997</v>
      </c>
      <c r="H76" s="495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94">
        <v>3</v>
      </c>
      <c r="H77" s="495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94">
        <v>7</v>
      </c>
      <c r="H78" s="495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94">
        <v>21</v>
      </c>
      <c r="H79" s="495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94">
        <v>27</v>
      </c>
      <c r="H80" s="495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94">
        <v>26</v>
      </c>
      <c r="H81" s="495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94">
        <v>1.6</v>
      </c>
      <c r="H82" s="495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94">
        <v>1.6</v>
      </c>
      <c r="H83" s="495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94">
        <v>45</v>
      </c>
      <c r="H84" s="495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94">
        <v>19</v>
      </c>
      <c r="H85" s="495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94">
        <v>19</v>
      </c>
      <c r="H86" s="495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94">
        <v>5</v>
      </c>
      <c r="H87" s="495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94">
        <v>14</v>
      </c>
      <c r="H88" s="495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05">
        <v>36</v>
      </c>
      <c r="H89" s="506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05">
        <v>46</v>
      </c>
      <c r="H90" s="506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94">
        <v>41</v>
      </c>
      <c r="H91" s="495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94">
        <v>27</v>
      </c>
      <c r="H92" s="495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94">
        <v>53</v>
      </c>
      <c r="H93" s="495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94">
        <f xml:space="preserve"> (2.65*1.8)</f>
        <v>4.7699999999999996</v>
      </c>
      <c r="H94" s="495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94">
        <v>30</v>
      </c>
      <c r="H95" s="495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94">
        <v>30</v>
      </c>
      <c r="H96" s="495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94">
        <v>14</v>
      </c>
      <c r="H97" s="495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94">
        <v>14</v>
      </c>
      <c r="H98" s="495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94">
        <v>20</v>
      </c>
      <c r="H99" s="495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94">
        <v>3</v>
      </c>
      <c r="H100" s="495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94">
        <v>4</v>
      </c>
      <c r="H101" s="495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94">
        <v>12</v>
      </c>
      <c r="H102" s="495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94">
        <v>20</v>
      </c>
      <c r="H103" s="495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94">
        <v>4</v>
      </c>
      <c r="H104" s="495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94">
        <v>5</v>
      </c>
      <c r="H105" s="495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94">
        <f>1184.23-SUM(G74:H105)</f>
        <v>582.07900000000006</v>
      </c>
      <c r="H106" s="495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94"/>
      <c r="H107" s="495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75" t="s">
        <v>652</v>
      </c>
      <c r="H108" s="477"/>
      <c r="I108" s="478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71" t="s">
        <v>831</v>
      </c>
      <c r="H172" s="473"/>
      <c r="I172" s="474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475">
        <v>492.78</v>
      </c>
      <c r="H173" s="477"/>
      <c r="I173" s="478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75">
        <f>(2*12)+(2*3.79)+(2*8.94)+(2*6.27)+ 1.39+0.99 +(2*1.85)+(2*1.7)+ (2*1.35)</f>
        <v>74.180000000000007</v>
      </c>
      <c r="H174" s="476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75">
        <f>(2*10.92)+(2*10.92)+ 1.3 + 1.1</f>
        <v>46.08</v>
      </c>
      <c r="H175" s="476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75">
        <f>(2*1.87)+(2*1.87)</f>
        <v>7.48</v>
      </c>
      <c r="H176" s="476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75">
        <f>(2*6.55)+(2*6.3)+1.75+1.35+1.19</f>
        <v>29.990000000000002</v>
      </c>
      <c r="H177" s="476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75">
        <f>(2*8.39)+(2*1.7)+ 1.1+ 3.13 + (2*5.24)+ (2*3.11)</f>
        <v>41.11</v>
      </c>
      <c r="H178" s="476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75"/>
      <c r="H179" s="476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75"/>
      <c r="H180" s="476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75"/>
      <c r="H181" s="476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75"/>
      <c r="H182" s="476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75"/>
      <c r="H183" s="476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75"/>
      <c r="H184" s="476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75"/>
      <c r="H185" s="476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75"/>
      <c r="H186" s="476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75"/>
      <c r="H187" s="476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75"/>
      <c r="H188" s="476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75"/>
      <c r="H189" s="476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75"/>
      <c r="H190" s="476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75"/>
      <c r="H191" s="476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75"/>
      <c r="H192" s="476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75"/>
      <c r="H193" s="476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75"/>
      <c r="H194" s="476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75"/>
      <c r="H195" s="476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75"/>
      <c r="H196" s="476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75"/>
      <c r="H197" s="476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75"/>
      <c r="H198" s="476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75"/>
      <c r="H199" s="476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71">
        <f xml:space="preserve"> (2*1.31) + (2*1.51) + (2*4.98)</f>
        <v>15.600000000000001</v>
      </c>
      <c r="H201" s="47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71">
        <f xml:space="preserve"> (3*3.37) + (1.37) + (2*3.47)</f>
        <v>18.420000000000002</v>
      </c>
      <c r="H202" s="472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71">
        <f xml:space="preserve"> (1.87) + (2*3.62)</f>
        <v>9.11</v>
      </c>
      <c r="H203" s="472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71">
        <f xml:space="preserve"> (4*0.88) + (2*3.36) + (2*5.03)</f>
        <v>20.3</v>
      </c>
      <c r="H204" s="472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71">
        <f xml:space="preserve"> (2*3.18) + (2*3.18)</f>
        <v>12.72</v>
      </c>
      <c r="H205" s="472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71">
        <f xml:space="preserve"> (4*2.15)</f>
        <v>8.6</v>
      </c>
      <c r="H206" s="472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71">
        <f xml:space="preserve"> (4*6.99)</f>
        <v>27.96</v>
      </c>
      <c r="H207" s="472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71" t="s">
        <v>831</v>
      </c>
      <c r="H208" s="473"/>
      <c r="I208" s="474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71"/>
      <c r="H209" s="473"/>
      <c r="I209" s="474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75" t="s">
        <v>679</v>
      </c>
      <c r="H217" s="476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71" t="s">
        <v>680</v>
      </c>
      <c r="H218" s="47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71" t="s">
        <v>681</v>
      </c>
      <c r="H219" s="47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71" t="s">
        <v>682</v>
      </c>
      <c r="H220" s="47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71" t="s">
        <v>684</v>
      </c>
      <c r="H221" s="47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71" t="s">
        <v>683</v>
      </c>
      <c r="H222" s="47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71" t="s">
        <v>685</v>
      </c>
      <c r="H223" s="47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75" t="s">
        <v>686</v>
      </c>
      <c r="H224" s="476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71" t="s">
        <v>687</v>
      </c>
      <c r="H225" s="47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71" t="s">
        <v>688</v>
      </c>
      <c r="H226" s="47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75" t="s">
        <v>689</v>
      </c>
      <c r="H227" s="476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71" t="s">
        <v>690</v>
      </c>
      <c r="H228" s="47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75" t="s">
        <v>691</v>
      </c>
      <c r="H229" s="476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71" t="s">
        <v>692</v>
      </c>
      <c r="H230" s="47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71" t="s">
        <v>693</v>
      </c>
      <c r="H231" s="47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75" t="s">
        <v>694</v>
      </c>
      <c r="H232" s="476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71" t="s">
        <v>695</v>
      </c>
      <c r="H233" s="47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71" t="s">
        <v>696</v>
      </c>
      <c r="H234" s="47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71" t="s">
        <v>697</v>
      </c>
      <c r="H235" s="47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71" t="s">
        <v>698</v>
      </c>
      <c r="H236" s="47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71" t="s">
        <v>699</v>
      </c>
      <c r="H237" s="47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71" t="s">
        <v>700</v>
      </c>
      <c r="H238" s="47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71" t="s">
        <v>701</v>
      </c>
      <c r="H239" s="47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75" t="s">
        <v>702</v>
      </c>
      <c r="H240" s="476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71" t="s">
        <v>704</v>
      </c>
      <c r="H241" s="47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71" t="s">
        <v>703</v>
      </c>
      <c r="H242" s="47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71" t="s">
        <v>703</v>
      </c>
      <c r="H243" s="47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71" t="s">
        <v>705</v>
      </c>
      <c r="H244" s="47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71" t="s">
        <v>704</v>
      </c>
      <c r="H245" s="472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71" t="s">
        <v>705</v>
      </c>
      <c r="H246" s="47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71" t="s">
        <v>704</v>
      </c>
      <c r="H247" s="472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71">
        <v>9.6</v>
      </c>
      <c r="H248" s="473"/>
      <c r="I248" s="474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471">
        <v>12.75</v>
      </c>
      <c r="H249" s="473"/>
      <c r="I249" s="474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8" t="s">
        <v>874</v>
      </c>
      <c r="H257" s="489"/>
      <c r="I257" s="490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471"/>
      <c r="H258" s="473"/>
      <c r="I258" s="474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471">
        <v>9.6</v>
      </c>
      <c r="H259" s="473"/>
      <c r="I259" s="474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71" t="s">
        <v>831</v>
      </c>
      <c r="H260" s="473"/>
      <c r="I260" s="474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471">
        <f>G249</f>
        <v>12.75</v>
      </c>
      <c r="H261" s="473"/>
      <c r="I261" s="474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71" t="s">
        <v>831</v>
      </c>
      <c r="H262" s="473"/>
      <c r="I262" s="474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75" t="s">
        <v>647</v>
      </c>
      <c r="H263" s="476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71">
        <f xml:space="preserve"> ((0.59*(1.85/0.1)) * 2)</f>
        <v>21.83</v>
      </c>
      <c r="H264" s="47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71">
        <f>(0.69*(1.87/0.1)) + (0.79*(1.87/0.1))</f>
        <v>27.675999999999998</v>
      </c>
      <c r="H265" s="472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71">
        <f>((0.69*(1.9/0.1))*3) + ((0.59*(1.87/0.1))*2)</f>
        <v>61.395999999999987</v>
      </c>
      <c r="H266" s="472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71">
        <f>((0.69*(1.92/0.1))*1) + ((0.59*(1.92/0.1))*2)</f>
        <v>35.903999999999996</v>
      </c>
      <c r="H267" s="472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71">
        <f>((0.79*(1.94/0.1))*3)</f>
        <v>45.977999999999994</v>
      </c>
      <c r="H268" s="472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71">
        <f>((0.69*(1.96/0.1))*3) + ((0.59*(1.96/0.1))*2)</f>
        <v>63.699999999999989</v>
      </c>
      <c r="H269" s="472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71">
        <f>((0.59*(1.95/0.1))*2) + ((0.69*(1.95/0.1))*3) +((0.79*(1.95/0.1))*1)</f>
        <v>78.78</v>
      </c>
      <c r="H270" s="472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71">
        <f>((0.59*(1.97/0.1))*1)  +((0.79*(1.97/0.1))*2)</f>
        <v>42.749000000000002</v>
      </c>
      <c r="H271" s="472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71">
        <f>((0.59*(1.9/0.1))*3)</f>
        <v>33.629999999999995</v>
      </c>
      <c r="H272" s="472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71">
        <f>((0.69*(1.86/0.1))*1) + ((0.69*(1.86/0.1))*1) + ((0.89*(1.86/0.1))*1)</f>
        <v>42.222000000000001</v>
      </c>
      <c r="H273" s="472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71">
        <f>((0.69*(1.87/0.1))*3)</f>
        <v>38.708999999999996</v>
      </c>
      <c r="H274" s="472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71">
        <f>((0.69*(1.9/0.1))*1) + ((0.79*(1.9/0.1))*2) + ((0.59*(1.9/0.1))*1)</f>
        <v>54.339999999999989</v>
      </c>
      <c r="H275" s="472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71">
        <f>((0.79*(1.91/0.1))*1) +((0.59*(1.91/0.1))*1)</f>
        <v>26.357999999999997</v>
      </c>
      <c r="H276" s="472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71">
        <f>((0.79*(1.94/0.1))*1) +((0.59*(1.94/0.1))*5)</f>
        <v>72.555999999999983</v>
      </c>
      <c r="H277" s="472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71">
        <f>((0.69*(1.92/0.1))*2) + ((0.69*(1.92/0.1))*1)</f>
        <v>39.744</v>
      </c>
      <c r="H278" s="472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71">
        <f>((0.59*(1.93/0.1))*2) + ((0.79*(1.93/0.1))*1)</f>
        <v>38.020999999999994</v>
      </c>
      <c r="H279" s="472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71">
        <f>((0.59*(1.87/0.1))*2) + ((0.69*(1.87/0.1))*2)</f>
        <v>47.872</v>
      </c>
      <c r="H280" s="472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71">
        <f>((0.59*(1.88/0.1))*3) + ((0.69*(1.88/0.1))*1)</f>
        <v>46.24799999999999</v>
      </c>
      <c r="H281" s="472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71">
        <f>((0.79*(1.9/0.1))*1) + ((0.69*(1.9/0.1))*3)</f>
        <v>54.339999999999982</v>
      </c>
      <c r="H282" s="472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71">
        <f>((0.59*(1.9/0.1))*1)</f>
        <v>11.209999999999997</v>
      </c>
      <c r="H283" s="472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71">
        <f>((0.69*(1.87/0.1))*1) + ((0.59*(1.87/0.1))*1)</f>
        <v>23.936</v>
      </c>
      <c r="H284" s="472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71">
        <f>((0.69*(2/0.1))*1) + ((0.59*(2/0.1))*2)</f>
        <v>37.4</v>
      </c>
      <c r="H285" s="472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71">
        <f>((0.69*(2.01/0.1))*1) + ((0.59*(2.01/0.1))*5) + ((0.79*(2.01/0.1))*1)</f>
        <v>89.042999999999992</v>
      </c>
      <c r="H286" s="472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71">
        <f>(((1.39+0.47+0.47))*(1.86/0.15))</f>
        <v>28.892000000000003</v>
      </c>
      <c r="H287" s="47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71">
        <f>(((1.09+0.022))*(1.87/0.15))</f>
        <v>13.862933333333336</v>
      </c>
      <c r="H288" s="47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71">
        <f>(((1.09+0.022))*(1.89/0.15))</f>
        <v>14.011200000000001</v>
      </c>
      <c r="H289" s="472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71">
        <f>(((0.59))*(1.9/0.15))</f>
        <v>7.4733333333333327</v>
      </c>
      <c r="H290" s="472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71">
        <f>(((0.59))*(1.92/0.15))</f>
        <v>7.5519999999999996</v>
      </c>
      <c r="H291" s="472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71">
        <f>(((0.59))*(1.9/0.15))</f>
        <v>7.4733333333333327</v>
      </c>
      <c r="H292" s="472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71">
        <f>(((0.69))*(1.98/0.15))</f>
        <v>9.1080000000000005</v>
      </c>
      <c r="H293" s="472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475">
        <v>210.13</v>
      </c>
      <c r="H294" s="477"/>
      <c r="I294" s="478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71">
        <f xml:space="preserve"> (2*2.51) + (40*0.59)</f>
        <v>28.619999999999997</v>
      </c>
      <c r="H295" s="47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71">
        <f xml:space="preserve"> (19*0.79)</f>
        <v>15.010000000000002</v>
      </c>
      <c r="H296" s="472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71">
        <f xml:space="preserve"> (21*0.79)</f>
        <v>16.59</v>
      </c>
      <c r="H297" s="472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71">
        <f xml:space="preserve"> (2*3.86) + (29*0.79)</f>
        <v>30.63</v>
      </c>
      <c r="H298" s="472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71">
        <f xml:space="preserve"> (22*0.59)</f>
        <v>12.979999999999999</v>
      </c>
      <c r="H299" s="472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71">
        <f xml:space="preserve"> (14*0.059)</f>
        <v>0.82599999999999996</v>
      </c>
      <c r="H300" s="472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71">
        <f xml:space="preserve"> (59*0.59)</f>
        <v>34.809999999999995</v>
      </c>
      <c r="H301" s="472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71">
        <v>295</v>
      </c>
      <c r="H303" s="473"/>
      <c r="I303" s="474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75" t="s">
        <v>628</v>
      </c>
      <c r="H306" s="476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71">
        <f xml:space="preserve"> (4*(0.2+0.25+1.85+0.33)) * 2</f>
        <v>21.040000000000003</v>
      </c>
      <c r="H307" s="47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71">
        <f xml:space="preserve"> ((4*(0.2+0.25+1.87+0.33)) * 2)</f>
        <v>21.200000000000003</v>
      </c>
      <c r="H308" s="472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71">
        <f xml:space="preserve"> (4*(0.2+0.25+1.9+0.33)) * 5</f>
        <v>53.6</v>
      </c>
      <c r="H309" s="472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71">
        <f xml:space="preserve"> (4*(0.2+0.25+1.92+0.33)) *3</f>
        <v>32.400000000000006</v>
      </c>
      <c r="H310" s="472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71">
        <f xml:space="preserve"> (4*(0.2+0.25+1.94+0.33)) * 3</f>
        <v>32.64</v>
      </c>
      <c r="H311" s="472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71">
        <f xml:space="preserve"> (4*(0.2+0.25+1.96+0.33)) * 5</f>
        <v>54.800000000000004</v>
      </c>
      <c r="H312" s="472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71">
        <f xml:space="preserve"> (4*(0.2+0.25+1.95+0.33)) * 6</f>
        <v>65.52</v>
      </c>
      <c r="H313" s="472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71">
        <f xml:space="preserve"> (4*(0.2+0.25+1.97+0.33)) * 3</f>
        <v>33</v>
      </c>
      <c r="H314" s="472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71">
        <f xml:space="preserve"> (4*(0.2+0.25+1.9+0.33)) * 3</f>
        <v>32.160000000000004</v>
      </c>
      <c r="H315" s="472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71">
        <f xml:space="preserve"> ((4*(0.2+0.25+1.86+0.33)) * 3)</f>
        <v>31.68</v>
      </c>
      <c r="H316" s="472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71">
        <f xml:space="preserve"> ((4*(0.2+0.25+1.87+0.33)) * 3)</f>
        <v>31.800000000000004</v>
      </c>
      <c r="H317" s="472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71">
        <f xml:space="preserve"> ((4*(0.2+0.25+1.9+0.33)) * 4)</f>
        <v>42.88</v>
      </c>
      <c r="H318" s="472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71">
        <f xml:space="preserve"> ((4*(0.2+0.25+1.91+0.33)) * 2)</f>
        <v>21.52</v>
      </c>
      <c r="H319" s="472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71">
        <f xml:space="preserve"> ((4*(0.2+0.25+1.94+0.33)) * 6)</f>
        <v>65.28</v>
      </c>
      <c r="H320" s="472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71">
        <f xml:space="preserve"> ((4*(0.2+0.25+1.92+0.33)) *3)</f>
        <v>32.400000000000006</v>
      </c>
      <c r="H321" s="472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71">
        <f xml:space="preserve"> ((4*(0.2+0.25+1.93+0.33)) *3)</f>
        <v>32.519999999999996</v>
      </c>
      <c r="H322" s="472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71">
        <f xml:space="preserve"> ((4*(0.2+0.25+1.87+0.33)) *4)</f>
        <v>42.400000000000006</v>
      </c>
      <c r="H323" s="472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71">
        <f xml:space="preserve"> ((4*(0.2+0.25+1.88+0.33)) *4)</f>
        <v>42.56</v>
      </c>
      <c r="H324" s="472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71">
        <f xml:space="preserve"> ((4*(0.2+0.25+1.9+0.33)) *4)</f>
        <v>42.88</v>
      </c>
      <c r="H325" s="472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71">
        <f>((4*(0.2+0.25+1.9+0.33))) + ((8*(0.2+0.25+1.9)))</f>
        <v>29.520000000000003</v>
      </c>
      <c r="H326" s="472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71">
        <f xml:space="preserve"> ((4*(0.2+0.25+1.97+0.33)) *2)</f>
        <v>22</v>
      </c>
      <c r="H327" s="472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71">
        <f xml:space="preserve"> ((4*(0.2+0.25+2+0.33)) *3)</f>
        <v>33.36</v>
      </c>
      <c r="H328" s="472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71">
        <f xml:space="preserve"> ((4*(0.2+0.25+2.01+0.33)) *7)</f>
        <v>78.12</v>
      </c>
      <c r="H329" s="472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71" t="s">
        <v>831</v>
      </c>
      <c r="H330" s="473"/>
      <c r="I330" s="474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75" t="s">
        <v>628</v>
      </c>
      <c r="H331" s="476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71">
        <f>((8*(0.2+0.25+1.86+0.42)))</f>
        <v>21.84</v>
      </c>
      <c r="H332" s="472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71">
        <f>((6*(0.2+0.25+1.87+0.42)))</f>
        <v>16.440000000000001</v>
      </c>
      <c r="H333" s="472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71">
        <f>((6*(0.2+0.25+1.89+0.42)))</f>
        <v>16.559999999999999</v>
      </c>
      <c r="H334" s="472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71">
        <f>((4*(0.2+0.25+1.9+0.42)))</f>
        <v>11.08</v>
      </c>
      <c r="H335" s="472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71">
        <f>((4*(0.2+0.25+1.92+0.42)))</f>
        <v>11.16</v>
      </c>
      <c r="H336" s="472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71">
        <f>((4*(0.2+0.25+1.9+0.42)))</f>
        <v>11.08</v>
      </c>
      <c r="H337" s="472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71">
        <f>((4*(0.2+0.25+1.98+0.42)))+(2*(0.2+0.25+1.98))</f>
        <v>16.260000000000002</v>
      </c>
      <c r="H338" s="472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475">
        <v>52.34</v>
      </c>
      <c r="H339" s="477"/>
      <c r="I339" s="478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71"/>
      <c r="H340" s="473"/>
      <c r="I340" s="474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471">
        <v>223.49</v>
      </c>
      <c r="H341" s="473"/>
      <c r="I341" s="474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75" t="s">
        <v>706</v>
      </c>
      <c r="H350" s="476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71">
        <f xml:space="preserve"> ((0.15+0.25)*2) *2</f>
        <v>1.6</v>
      </c>
      <c r="H351" s="47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71">
        <f xml:space="preserve"> ((0.2+0.25)*2) + ((0.2+0.3)*2)</f>
        <v>1.9</v>
      </c>
      <c r="H352" s="472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71">
        <f xml:space="preserve"> ((0.2+0.25)*2*3) + ((0.2+0.2)*2*1) + ((0.15+0.2)*2*1)</f>
        <v>4.2</v>
      </c>
      <c r="H353" s="472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71">
        <f xml:space="preserve"> ((0.2+0.25)*2*1) + ((0.15+0.25)*2*2)</f>
        <v>2.5</v>
      </c>
      <c r="H354" s="472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71">
        <f xml:space="preserve"> ((0.15+0.3)*2*3)</f>
        <v>2.6999999999999997</v>
      </c>
      <c r="H355" s="472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71">
        <f xml:space="preserve"> ((0.2+0.25)*2*3) + ((0.15+0.25)*2*2)</f>
        <v>4.3000000000000007</v>
      </c>
      <c r="H356" s="472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71">
        <f xml:space="preserve"> ((0.2+0.25)*2*3) + ((0.15+0.25)*2*2) +  ((0.2+0.3)*2*1)</f>
        <v>5.3000000000000007</v>
      </c>
      <c r="H357" s="472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71">
        <f xml:space="preserve"> ((0.2+0.25)*2*2) + ((0.15+0.25)*2*1)</f>
        <v>2.6</v>
      </c>
      <c r="H358" s="472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71">
        <f>((0.15+0.25)*2*3)</f>
        <v>2.4000000000000004</v>
      </c>
      <c r="H359" s="472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71">
        <f xml:space="preserve"> ((0.2+0.25)*2*1) + ((0.15+0.25)*2*1) +  ((0.2+0.35)*2*1)</f>
        <v>2.8000000000000003</v>
      </c>
      <c r="H360" s="472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71">
        <f xml:space="preserve"> ((0.2+0.25)*2*1) + ((0.15+0.3)*2*2)</f>
        <v>2.6999999999999997</v>
      </c>
      <c r="H361" s="472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71">
        <f xml:space="preserve"> ((0.2+0.3)*2*1) + ((0.15+0.3)*2*1) +  ((0.15+0.25)*2*1) + ((0.15+0.35)*2*1)</f>
        <v>3.7</v>
      </c>
      <c r="H362" s="472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71">
        <f xml:space="preserve"> ((0.15+0.25)*2*1) + ((0.2+0.3)*2*1)</f>
        <v>1.8</v>
      </c>
      <c r="H363" s="472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71">
        <f xml:space="preserve"> ((0.15+0.25)*2*5) + ((0.25+0.25)*2*1)</f>
        <v>5</v>
      </c>
      <c r="H364" s="472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71">
        <f xml:space="preserve"> ((0.2+0.25)*2*1) + ((0.15+0.25)*2*1) +  ((0.25+0.25)*2*1)</f>
        <v>2.7</v>
      </c>
      <c r="H365" s="472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71">
        <f xml:space="preserve"> ((0.15+0.25)*2*2) + ((0.25+0.25)*2*1)</f>
        <v>2.6</v>
      </c>
      <c r="H366" s="472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71">
        <f xml:space="preserve"> ((0.15+0.25)*2*2) + ((0.2+0.25)*2*2)</f>
        <v>3.4000000000000004</v>
      </c>
      <c r="H367" s="472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71">
        <f xml:space="preserve"> ((0.15+0.25)*2*3) + ((0.2+0.25)*2*1)</f>
        <v>3.3000000000000003</v>
      </c>
      <c r="H368" s="472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71">
        <f>((0.2+0.25)*2*3) + ((0.25+0.25)*2*1)</f>
        <v>3.7</v>
      </c>
      <c r="H369" s="472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71">
        <f>((0.2+0.2)*2*1)</f>
        <v>0.8</v>
      </c>
      <c r="H370" s="472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71">
        <f>((0.2+0.25)*2*1) + ((0.15+0.25)*2*1)</f>
        <v>1.7000000000000002</v>
      </c>
      <c r="H371" s="472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71">
        <f>((0.2+0.25)*2*1) + ((0.15+0.25)*2*2)</f>
        <v>2.5</v>
      </c>
      <c r="H372" s="472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71">
        <f xml:space="preserve"> ((0.2+0.3)*2*1) + ((0.15+0.25)*2*5) +  ((0.25+0.25)*2*1)</f>
        <v>6</v>
      </c>
      <c r="H373" s="472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71">
        <f>((0.15+0.3)*2*1)</f>
        <v>0.89999999999999991</v>
      </c>
      <c r="H374" s="472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71">
        <f>((0.15+0.5)*2*1)</f>
        <v>1.3</v>
      </c>
      <c r="H375" s="472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71">
        <f>((0.15+0.5)*2*1)</f>
        <v>1.3</v>
      </c>
      <c r="H376" s="472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71">
        <f>((0.15+0.25)*2*1)</f>
        <v>0.8</v>
      </c>
      <c r="H377" s="472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71">
        <f t="shared" ref="G378" si="19">((0.15+0.3)*2*1)</f>
        <v>0.89999999999999991</v>
      </c>
      <c r="H378" s="472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71">
        <f>((0.15+0.25)*2*1)</f>
        <v>0.8</v>
      </c>
      <c r="H379" s="472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71">
        <f>((0.15+0.3)*2*1)</f>
        <v>0.89999999999999991</v>
      </c>
      <c r="H380" s="472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462"/>
      <c r="H516" s="463"/>
      <c r="I516" s="464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462">
        <v>11.01</v>
      </c>
      <c r="H522" s="463"/>
      <c r="I522" s="464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462"/>
      <c r="H524" s="463"/>
      <c r="I524" s="464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462">
        <v>67.27</v>
      </c>
      <c r="H525" s="463"/>
      <c r="I525" s="464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462">
        <f>K530</f>
        <v>1.5192000000000005</v>
      </c>
      <c r="H544" s="463"/>
      <c r="I544" s="464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462" t="s">
        <v>586</v>
      </c>
      <c r="H556" s="465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462">
        <v>4</v>
      </c>
      <c r="H557" s="465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462">
        <v>4</v>
      </c>
      <c r="H558" s="465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462">
        <v>4</v>
      </c>
      <c r="H559" s="465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462">
        <v>4</v>
      </c>
      <c r="H560" s="465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462">
        <v>4</v>
      </c>
      <c r="H561" s="465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462">
        <v>4</v>
      </c>
      <c r="H562" s="465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462">
        <v>4</v>
      </c>
      <c r="H563" s="465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462">
        <v>4</v>
      </c>
      <c r="H564" s="465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462">
        <v>4</v>
      </c>
      <c r="H565" s="465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462">
        <v>4</v>
      </c>
      <c r="H566" s="465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462"/>
      <c r="H567" s="463"/>
      <c r="I567" s="464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485"/>
      <c r="H579" s="486"/>
      <c r="I579" s="487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462"/>
      <c r="H581" s="463"/>
      <c r="I581" s="464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491" t="s">
        <v>836</v>
      </c>
      <c r="H595" s="491"/>
      <c r="I595" s="491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714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v>45352</v>
      </c>
      <c r="C8" s="448"/>
      <c r="D8" s="23" t="s">
        <v>712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3"/>
      <c r="K8" s="453"/>
      <c r="L8" s="453"/>
      <c r="M8" s="453"/>
      <c r="N8" s="453"/>
      <c r="O8" s="453"/>
      <c r="P8" s="484"/>
      <c r="Q8" s="454" t="s">
        <v>711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81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3" t="s">
        <v>884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v>45386</v>
      </c>
      <c r="C8" s="448"/>
      <c r="D8" s="23" t="s">
        <v>886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4" t="s">
        <v>887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2">
        <v>1</v>
      </c>
      <c r="G70" s="499">
        <f>43.05</f>
        <v>43.05</v>
      </c>
      <c r="H70" s="500"/>
      <c r="I70" s="501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3"/>
      <c r="G71" s="502"/>
      <c r="H71" s="503"/>
      <c r="I71" s="504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6" t="s">
        <v>883</v>
      </c>
      <c r="H72" s="497"/>
      <c r="I72" s="498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94" t="s">
        <v>838</v>
      </c>
      <c r="H73" s="495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94">
        <v>9</v>
      </c>
      <c r="H74" s="495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94">
        <v>5</v>
      </c>
      <c r="H75" s="495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94">
        <f xml:space="preserve"> (13.03 * 2.7)</f>
        <v>35.180999999999997</v>
      </c>
      <c r="H76" s="495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94">
        <v>3</v>
      </c>
      <c r="H77" s="495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94">
        <v>7</v>
      </c>
      <c r="H78" s="495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94">
        <v>21</v>
      </c>
      <c r="H79" s="495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94">
        <v>27</v>
      </c>
      <c r="H80" s="495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94">
        <v>26</v>
      </c>
      <c r="H81" s="495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94">
        <v>1.6</v>
      </c>
      <c r="H82" s="495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94">
        <v>1.6</v>
      </c>
      <c r="H83" s="495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94">
        <v>45</v>
      </c>
      <c r="H84" s="495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94">
        <v>19</v>
      </c>
      <c r="H85" s="495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94">
        <v>19</v>
      </c>
      <c r="H86" s="495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94">
        <v>5</v>
      </c>
      <c r="H87" s="495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94">
        <v>14</v>
      </c>
      <c r="H88" s="495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05">
        <v>36</v>
      </c>
      <c r="H89" s="506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05">
        <v>46</v>
      </c>
      <c r="H90" s="506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94">
        <v>41</v>
      </c>
      <c r="H91" s="495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94">
        <v>27</v>
      </c>
      <c r="H92" s="495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94">
        <v>53</v>
      </c>
      <c r="H93" s="495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94">
        <f xml:space="preserve"> (2.65*1.8)</f>
        <v>4.7699999999999996</v>
      </c>
      <c r="H94" s="495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94">
        <v>30</v>
      </c>
      <c r="H95" s="495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94">
        <v>30</v>
      </c>
      <c r="H96" s="495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94">
        <v>14</v>
      </c>
      <c r="H97" s="495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94">
        <v>14</v>
      </c>
      <c r="H98" s="495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94">
        <v>20</v>
      </c>
      <c r="H99" s="495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94">
        <v>3</v>
      </c>
      <c r="H100" s="495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94">
        <v>4</v>
      </c>
      <c r="H101" s="495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94">
        <v>12</v>
      </c>
      <c r="H102" s="495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94">
        <v>20</v>
      </c>
      <c r="H103" s="495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94">
        <v>4</v>
      </c>
      <c r="H104" s="495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94">
        <v>5</v>
      </c>
      <c r="H105" s="495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94">
        <f>1184.23-SUM(G74:H105)</f>
        <v>582.07900000000006</v>
      </c>
      <c r="H106" s="495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94"/>
      <c r="H107" s="495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75" t="s">
        <v>652</v>
      </c>
      <c r="H108" s="477"/>
      <c r="I108" s="478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71" t="s">
        <v>831</v>
      </c>
      <c r="H172" s="473"/>
      <c r="I172" s="474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75">
        <v>492.78</v>
      </c>
      <c r="H173" s="477"/>
      <c r="I173" s="478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75">
        <f>(2*12)+(2*3.79)+(2*8.94)+(2*6.27)+ 1.39+0.99 +(2*1.85)+(2*1.7)+ (2*1.35)</f>
        <v>74.180000000000007</v>
      </c>
      <c r="H174" s="476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75">
        <f>(2*10.92)+(2*10.92)+ 1.3 + 1.1</f>
        <v>46.08</v>
      </c>
      <c r="H175" s="476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75">
        <f>(2*1.87)+(2*1.87)</f>
        <v>7.48</v>
      </c>
      <c r="H176" s="476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75">
        <f>(2*6.55)+(2*6.3)+1.75+1.35+1.19</f>
        <v>29.990000000000002</v>
      </c>
      <c r="H177" s="476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75">
        <f>(2*8.39)+(2*1.7)+ 1.1+ 3.13 + (2*5.24)+ (2*3.11)</f>
        <v>41.11</v>
      </c>
      <c r="H178" s="476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75"/>
      <c r="H179" s="476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75"/>
      <c r="H180" s="476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75"/>
      <c r="H181" s="476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75"/>
      <c r="H182" s="476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75"/>
      <c r="H183" s="476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75"/>
      <c r="H184" s="476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75"/>
      <c r="H185" s="476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75"/>
      <c r="H186" s="476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75"/>
      <c r="H187" s="476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75"/>
      <c r="H188" s="476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75"/>
      <c r="H189" s="476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75"/>
      <c r="H190" s="476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75"/>
      <c r="H191" s="476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75"/>
      <c r="H192" s="476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75"/>
      <c r="H193" s="476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75"/>
      <c r="H194" s="476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75"/>
      <c r="H195" s="476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75"/>
      <c r="H196" s="476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75"/>
      <c r="H197" s="476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75"/>
      <c r="H198" s="476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75"/>
      <c r="H199" s="476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71">
        <f xml:space="preserve"> (2*1.31) + (2*1.51) + (2*4.98)</f>
        <v>15.600000000000001</v>
      </c>
      <c r="H201" s="47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71">
        <f xml:space="preserve"> (3*3.37) + (1.37) + (2*3.47)</f>
        <v>18.420000000000002</v>
      </c>
      <c r="H202" s="47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71">
        <f xml:space="preserve"> (1.87) + (2*3.62)</f>
        <v>9.11</v>
      </c>
      <c r="H203" s="47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71">
        <f xml:space="preserve"> (4*0.88) + (2*3.36) + (2*5.03)</f>
        <v>20.3</v>
      </c>
      <c r="H204" s="47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71">
        <f xml:space="preserve"> (2*3.18) + (2*3.18)</f>
        <v>12.72</v>
      </c>
      <c r="H205" s="47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71">
        <f xml:space="preserve"> (4*2.15)</f>
        <v>8.6</v>
      </c>
      <c r="H206" s="47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71">
        <f xml:space="preserve"> (4*6.99)</f>
        <v>27.96</v>
      </c>
      <c r="H207" s="47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71" t="s">
        <v>831</v>
      </c>
      <c r="H208" s="473"/>
      <c r="I208" s="474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71"/>
      <c r="H209" s="473"/>
      <c r="I209" s="474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75" t="s">
        <v>679</v>
      </c>
      <c r="H217" s="476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71" t="s">
        <v>680</v>
      </c>
      <c r="H218" s="47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71" t="s">
        <v>681</v>
      </c>
      <c r="H219" s="47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71" t="s">
        <v>682</v>
      </c>
      <c r="H220" s="47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71" t="s">
        <v>684</v>
      </c>
      <c r="H221" s="47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71" t="s">
        <v>683</v>
      </c>
      <c r="H222" s="47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71" t="s">
        <v>685</v>
      </c>
      <c r="H223" s="47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75" t="s">
        <v>686</v>
      </c>
      <c r="H224" s="476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71" t="s">
        <v>687</v>
      </c>
      <c r="H225" s="47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71" t="s">
        <v>688</v>
      </c>
      <c r="H226" s="47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75" t="s">
        <v>689</v>
      </c>
      <c r="H227" s="476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71" t="s">
        <v>690</v>
      </c>
      <c r="H228" s="47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75" t="s">
        <v>691</v>
      </c>
      <c r="H229" s="476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71" t="s">
        <v>692</v>
      </c>
      <c r="H230" s="47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71" t="s">
        <v>693</v>
      </c>
      <c r="H231" s="47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75" t="s">
        <v>694</v>
      </c>
      <c r="H232" s="476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71" t="s">
        <v>695</v>
      </c>
      <c r="H233" s="47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71" t="s">
        <v>696</v>
      </c>
      <c r="H234" s="47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71" t="s">
        <v>697</v>
      </c>
      <c r="H235" s="47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71" t="s">
        <v>698</v>
      </c>
      <c r="H236" s="47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71" t="s">
        <v>699</v>
      </c>
      <c r="H237" s="47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71" t="s">
        <v>700</v>
      </c>
      <c r="H238" s="47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71" t="s">
        <v>701</v>
      </c>
      <c r="H239" s="47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75" t="s">
        <v>702</v>
      </c>
      <c r="H240" s="476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71" t="s">
        <v>704</v>
      </c>
      <c r="H241" s="47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71" t="s">
        <v>703</v>
      </c>
      <c r="H242" s="47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71" t="s">
        <v>703</v>
      </c>
      <c r="H243" s="47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71" t="s">
        <v>705</v>
      </c>
      <c r="H244" s="47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71" t="s">
        <v>704</v>
      </c>
      <c r="H245" s="47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71" t="s">
        <v>705</v>
      </c>
      <c r="H246" s="47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71" t="s">
        <v>704</v>
      </c>
      <c r="H247" s="47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71">
        <v>9.6</v>
      </c>
      <c r="H248" s="473"/>
      <c r="I248" s="474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71">
        <v>12.75</v>
      </c>
      <c r="H249" s="473"/>
      <c r="I249" s="474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8" t="s">
        <v>874</v>
      </c>
      <c r="H257" s="489"/>
      <c r="I257" s="490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71"/>
      <c r="H258" s="473"/>
      <c r="I258" s="474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71">
        <v>9.6</v>
      </c>
      <c r="H259" s="473"/>
      <c r="I259" s="474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71" t="s">
        <v>831</v>
      </c>
      <c r="H260" s="473"/>
      <c r="I260" s="474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71">
        <f>G249</f>
        <v>12.75</v>
      </c>
      <c r="H261" s="473"/>
      <c r="I261" s="474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71" t="s">
        <v>831</v>
      </c>
      <c r="H262" s="473"/>
      <c r="I262" s="474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75" t="s">
        <v>647</v>
      </c>
      <c r="H263" s="476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71">
        <f xml:space="preserve"> ((0.59*(1.85/0.1)) * 2)</f>
        <v>21.83</v>
      </c>
      <c r="H264" s="47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71">
        <f>(0.69*(1.87/0.1)) + (0.79*(1.87/0.1))</f>
        <v>27.675999999999998</v>
      </c>
      <c r="H265" s="47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71">
        <f>((0.69*(1.9/0.1))*3) + ((0.59*(1.87/0.1))*2)</f>
        <v>61.395999999999987</v>
      </c>
      <c r="H266" s="47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71">
        <f>((0.69*(1.92/0.1))*1) + ((0.59*(1.92/0.1))*2)</f>
        <v>35.903999999999996</v>
      </c>
      <c r="H267" s="47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71">
        <f>((0.79*(1.94/0.1))*3)</f>
        <v>45.977999999999994</v>
      </c>
      <c r="H268" s="47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71">
        <f>((0.69*(1.96/0.1))*3) + ((0.59*(1.96/0.1))*2)</f>
        <v>63.699999999999989</v>
      </c>
      <c r="H269" s="47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71">
        <f>((0.59*(1.95/0.1))*2) + ((0.69*(1.95/0.1))*3) +((0.79*(1.95/0.1))*1)</f>
        <v>78.78</v>
      </c>
      <c r="H270" s="47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71">
        <f>((0.59*(1.97/0.1))*1)  +((0.79*(1.97/0.1))*2)</f>
        <v>42.749000000000002</v>
      </c>
      <c r="H271" s="47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71">
        <f>((0.59*(1.9/0.1))*3)</f>
        <v>33.629999999999995</v>
      </c>
      <c r="H272" s="47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71">
        <f>((0.69*(1.86/0.1))*1) + ((0.69*(1.86/0.1))*1) + ((0.89*(1.86/0.1))*1)</f>
        <v>42.222000000000001</v>
      </c>
      <c r="H273" s="47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71">
        <f>((0.69*(1.87/0.1))*3)</f>
        <v>38.708999999999996</v>
      </c>
      <c r="H274" s="47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71">
        <f>((0.69*(1.9/0.1))*1) + ((0.79*(1.9/0.1))*2) + ((0.59*(1.9/0.1))*1)</f>
        <v>54.339999999999989</v>
      </c>
      <c r="H275" s="47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71">
        <f>((0.79*(1.91/0.1))*1) +((0.59*(1.91/0.1))*1)</f>
        <v>26.357999999999997</v>
      </c>
      <c r="H276" s="47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71">
        <f>((0.79*(1.94/0.1))*1) +((0.59*(1.94/0.1))*5)</f>
        <v>72.555999999999983</v>
      </c>
      <c r="H277" s="47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71">
        <f>((0.69*(1.92/0.1))*2) + ((0.69*(1.92/0.1))*1)</f>
        <v>39.744</v>
      </c>
      <c r="H278" s="47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71">
        <f>((0.59*(1.93/0.1))*2) + ((0.79*(1.93/0.1))*1)</f>
        <v>38.020999999999994</v>
      </c>
      <c r="H279" s="47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71">
        <f>((0.59*(1.87/0.1))*2) + ((0.69*(1.87/0.1))*2)</f>
        <v>47.872</v>
      </c>
      <c r="H280" s="47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71">
        <f>((0.59*(1.88/0.1))*3) + ((0.69*(1.88/0.1))*1)</f>
        <v>46.24799999999999</v>
      </c>
      <c r="H281" s="47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71">
        <f>((0.79*(1.9/0.1))*1) + ((0.69*(1.9/0.1))*3)</f>
        <v>54.339999999999982</v>
      </c>
      <c r="H282" s="47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71">
        <f>((0.59*(1.9/0.1))*1)</f>
        <v>11.209999999999997</v>
      </c>
      <c r="H283" s="47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71">
        <f>((0.69*(1.87/0.1))*1) + ((0.59*(1.87/0.1))*1)</f>
        <v>23.936</v>
      </c>
      <c r="H284" s="47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71">
        <f>((0.69*(2/0.1))*1) + ((0.59*(2/0.1))*2)</f>
        <v>37.4</v>
      </c>
      <c r="H285" s="47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71">
        <f>((0.69*(2.01/0.1))*1) + ((0.59*(2.01/0.1))*5) + ((0.79*(2.01/0.1))*1)</f>
        <v>89.042999999999992</v>
      </c>
      <c r="H286" s="47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71">
        <f>(((1.39+0.47+0.47))*(1.86/0.15))</f>
        <v>28.892000000000003</v>
      </c>
      <c r="H287" s="47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71">
        <f>(((1.09+0.022))*(1.87/0.15))</f>
        <v>13.862933333333336</v>
      </c>
      <c r="H288" s="47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71">
        <f>(((1.09+0.022))*(1.89/0.15))</f>
        <v>14.011200000000001</v>
      </c>
      <c r="H289" s="47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71">
        <f>(((0.59))*(1.9/0.15))</f>
        <v>7.4733333333333327</v>
      </c>
      <c r="H290" s="47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71">
        <f>(((0.59))*(1.92/0.15))</f>
        <v>7.5519999999999996</v>
      </c>
      <c r="H291" s="47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71">
        <f>(((0.59))*(1.9/0.15))</f>
        <v>7.4733333333333327</v>
      </c>
      <c r="H292" s="47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71">
        <f>(((0.69))*(1.98/0.15))</f>
        <v>9.1080000000000005</v>
      </c>
      <c r="H293" s="47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75">
        <v>210.13</v>
      </c>
      <c r="H294" s="477"/>
      <c r="I294" s="478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71">
        <f xml:space="preserve"> (2*2.51) + (40*0.59)</f>
        <v>28.619999999999997</v>
      </c>
      <c r="H295" s="47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71">
        <f xml:space="preserve"> (19*0.79)</f>
        <v>15.010000000000002</v>
      </c>
      <c r="H296" s="47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71">
        <f xml:space="preserve"> (21*0.79)</f>
        <v>16.59</v>
      </c>
      <c r="H297" s="47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71">
        <f xml:space="preserve"> (2*3.86) + (29*0.79)</f>
        <v>30.63</v>
      </c>
      <c r="H298" s="47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71">
        <f xml:space="preserve"> (22*0.59)</f>
        <v>12.979999999999999</v>
      </c>
      <c r="H299" s="47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71">
        <f xml:space="preserve"> (14*0.059)</f>
        <v>0.82599999999999996</v>
      </c>
      <c r="H300" s="47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71">
        <f xml:space="preserve"> (59*0.59)</f>
        <v>34.809999999999995</v>
      </c>
      <c r="H301" s="47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71">
        <v>295</v>
      </c>
      <c r="H303" s="473"/>
      <c r="I303" s="474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75" t="s">
        <v>628</v>
      </c>
      <c r="H306" s="476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71">
        <f xml:space="preserve"> (4*(0.2+0.25+1.85+0.33)) * 2</f>
        <v>21.040000000000003</v>
      </c>
      <c r="H307" s="47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71">
        <f xml:space="preserve"> ((4*(0.2+0.25+1.87+0.33)) * 2)</f>
        <v>21.200000000000003</v>
      </c>
      <c r="H308" s="47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71">
        <f xml:space="preserve"> (4*(0.2+0.25+1.9+0.33)) * 5</f>
        <v>53.6</v>
      </c>
      <c r="H309" s="47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71">
        <f xml:space="preserve"> (4*(0.2+0.25+1.92+0.33)) *3</f>
        <v>32.400000000000006</v>
      </c>
      <c r="H310" s="47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71">
        <f xml:space="preserve"> (4*(0.2+0.25+1.94+0.33)) * 3</f>
        <v>32.64</v>
      </c>
      <c r="H311" s="47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71">
        <f xml:space="preserve"> (4*(0.2+0.25+1.96+0.33)) * 5</f>
        <v>54.800000000000004</v>
      </c>
      <c r="H312" s="47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71">
        <f xml:space="preserve"> (4*(0.2+0.25+1.95+0.33)) * 6</f>
        <v>65.52</v>
      </c>
      <c r="H313" s="47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71">
        <f xml:space="preserve"> (4*(0.2+0.25+1.97+0.33)) * 3</f>
        <v>33</v>
      </c>
      <c r="H314" s="47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71">
        <f xml:space="preserve"> (4*(0.2+0.25+1.9+0.33)) * 3</f>
        <v>32.160000000000004</v>
      </c>
      <c r="H315" s="47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71">
        <f xml:space="preserve"> ((4*(0.2+0.25+1.86+0.33)) * 3)</f>
        <v>31.68</v>
      </c>
      <c r="H316" s="47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71">
        <f xml:space="preserve"> ((4*(0.2+0.25+1.87+0.33)) * 3)</f>
        <v>31.800000000000004</v>
      </c>
      <c r="H317" s="47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71">
        <f xml:space="preserve"> ((4*(0.2+0.25+1.9+0.33)) * 4)</f>
        <v>42.88</v>
      </c>
      <c r="H318" s="47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71">
        <f xml:space="preserve"> ((4*(0.2+0.25+1.91+0.33)) * 2)</f>
        <v>21.52</v>
      </c>
      <c r="H319" s="47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71">
        <f xml:space="preserve"> ((4*(0.2+0.25+1.94+0.33)) * 6)</f>
        <v>65.28</v>
      </c>
      <c r="H320" s="47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71">
        <f xml:space="preserve"> ((4*(0.2+0.25+1.92+0.33)) *3)</f>
        <v>32.400000000000006</v>
      </c>
      <c r="H321" s="47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71">
        <f xml:space="preserve"> ((4*(0.2+0.25+1.93+0.33)) *3)</f>
        <v>32.519999999999996</v>
      </c>
      <c r="H322" s="47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71">
        <f xml:space="preserve"> ((4*(0.2+0.25+1.87+0.33)) *4)</f>
        <v>42.400000000000006</v>
      </c>
      <c r="H323" s="47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71">
        <f xml:space="preserve"> ((4*(0.2+0.25+1.88+0.33)) *4)</f>
        <v>42.56</v>
      </c>
      <c r="H324" s="47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71">
        <f xml:space="preserve"> ((4*(0.2+0.25+1.9+0.33)) *4)</f>
        <v>42.88</v>
      </c>
      <c r="H325" s="47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71">
        <f>((4*(0.2+0.25+1.9+0.33))) + ((8*(0.2+0.25+1.9)))</f>
        <v>29.520000000000003</v>
      </c>
      <c r="H326" s="47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71">
        <f xml:space="preserve"> ((4*(0.2+0.25+1.97+0.33)) *2)</f>
        <v>22</v>
      </c>
      <c r="H327" s="47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71">
        <f xml:space="preserve"> ((4*(0.2+0.25+2+0.33)) *3)</f>
        <v>33.36</v>
      </c>
      <c r="H328" s="47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71">
        <f xml:space="preserve"> ((4*(0.2+0.25+2.01+0.33)) *7)</f>
        <v>78.12</v>
      </c>
      <c r="H329" s="47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71" t="s">
        <v>831</v>
      </c>
      <c r="H330" s="473"/>
      <c r="I330" s="474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75" t="s">
        <v>628</v>
      </c>
      <c r="H331" s="476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71">
        <f>((8*(0.2+0.25+1.86+0.42)))</f>
        <v>21.84</v>
      </c>
      <c r="H332" s="47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71">
        <f>((6*(0.2+0.25+1.87+0.42)))</f>
        <v>16.440000000000001</v>
      </c>
      <c r="H333" s="47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71">
        <f>((6*(0.2+0.25+1.89+0.42)))</f>
        <v>16.559999999999999</v>
      </c>
      <c r="H334" s="47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71">
        <f>((4*(0.2+0.25+1.9+0.42)))</f>
        <v>11.08</v>
      </c>
      <c r="H335" s="47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71">
        <f>((4*(0.2+0.25+1.92+0.42)))</f>
        <v>11.16</v>
      </c>
      <c r="H336" s="47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71">
        <f>((4*(0.2+0.25+1.9+0.42)))</f>
        <v>11.08</v>
      </c>
      <c r="H337" s="47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71">
        <f>((4*(0.2+0.25+1.98+0.42)))+(2*(0.2+0.25+1.98))</f>
        <v>16.260000000000002</v>
      </c>
      <c r="H338" s="47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75">
        <v>52.34</v>
      </c>
      <c r="H339" s="477"/>
      <c r="I339" s="478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71"/>
      <c r="H340" s="473"/>
      <c r="I340" s="474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71">
        <v>223.49</v>
      </c>
      <c r="H341" s="473"/>
      <c r="I341" s="474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75" t="s">
        <v>706</v>
      </c>
      <c r="H350" s="476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71">
        <f xml:space="preserve"> ((0.15+0.25)*2) *2</f>
        <v>1.6</v>
      </c>
      <c r="H351" s="47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71">
        <f xml:space="preserve"> ((0.2+0.25)*2) + ((0.2+0.3)*2)</f>
        <v>1.9</v>
      </c>
      <c r="H352" s="472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71">
        <f xml:space="preserve"> ((0.2+0.25)*2*3) + ((0.2+0.2)*2*1) + ((0.15+0.2)*2*1)</f>
        <v>4.2</v>
      </c>
      <c r="H353" s="47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71">
        <f xml:space="preserve"> ((0.2+0.25)*2*1) + ((0.15+0.25)*2*2)</f>
        <v>2.5</v>
      </c>
      <c r="H354" s="47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71">
        <f xml:space="preserve"> ((0.15+0.3)*2*3)</f>
        <v>2.6999999999999997</v>
      </c>
      <c r="H355" s="47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71">
        <f xml:space="preserve"> ((0.2+0.25)*2*3) + ((0.15+0.25)*2*2)</f>
        <v>4.3000000000000007</v>
      </c>
      <c r="H356" s="47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71">
        <f xml:space="preserve"> ((0.2+0.25)*2*3) + ((0.15+0.25)*2*2) +  ((0.2+0.3)*2*1)</f>
        <v>5.3000000000000007</v>
      </c>
      <c r="H357" s="47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71">
        <f xml:space="preserve"> ((0.2+0.25)*2*2) + ((0.15+0.25)*2*1)</f>
        <v>2.6</v>
      </c>
      <c r="H358" s="47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71">
        <f>((0.15+0.25)*2*3)</f>
        <v>2.4000000000000004</v>
      </c>
      <c r="H359" s="47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71">
        <f xml:space="preserve"> ((0.2+0.25)*2*1) + ((0.15+0.25)*2*1) +  ((0.2+0.35)*2*1)</f>
        <v>2.8000000000000003</v>
      </c>
      <c r="H360" s="47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71">
        <f xml:space="preserve"> ((0.2+0.25)*2*1) + ((0.15+0.3)*2*2)</f>
        <v>2.6999999999999997</v>
      </c>
      <c r="H361" s="47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71">
        <f xml:space="preserve"> ((0.2+0.3)*2*1) + ((0.15+0.3)*2*1) +  ((0.15+0.25)*2*1) + ((0.15+0.35)*2*1)</f>
        <v>3.7</v>
      </c>
      <c r="H362" s="47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71">
        <f xml:space="preserve"> ((0.15+0.25)*2*1) + ((0.2+0.3)*2*1)</f>
        <v>1.8</v>
      </c>
      <c r="H363" s="47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71">
        <f xml:space="preserve"> ((0.15+0.25)*2*5) + ((0.25+0.25)*2*1)</f>
        <v>5</v>
      </c>
      <c r="H364" s="47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71">
        <f xml:space="preserve"> ((0.2+0.25)*2*1) + ((0.15+0.25)*2*1) +  ((0.25+0.25)*2*1)</f>
        <v>2.7</v>
      </c>
      <c r="H365" s="47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71">
        <f xml:space="preserve"> ((0.15+0.25)*2*2) + ((0.25+0.25)*2*1)</f>
        <v>2.6</v>
      </c>
      <c r="H366" s="47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71">
        <f xml:space="preserve"> ((0.15+0.25)*2*2) + ((0.2+0.25)*2*2)</f>
        <v>3.4000000000000004</v>
      </c>
      <c r="H367" s="47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71">
        <f xml:space="preserve"> ((0.15+0.25)*2*3) + ((0.2+0.25)*2*1)</f>
        <v>3.3000000000000003</v>
      </c>
      <c r="H368" s="47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71">
        <f>((0.2+0.25)*2*3) + ((0.25+0.25)*2*1)</f>
        <v>3.7</v>
      </c>
      <c r="H369" s="47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71">
        <f>((0.2+0.2)*2*1)</f>
        <v>0.8</v>
      </c>
      <c r="H370" s="47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71">
        <f>((0.2+0.25)*2*1) + ((0.15+0.25)*2*1)</f>
        <v>1.7000000000000002</v>
      </c>
      <c r="H371" s="47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71">
        <f>((0.2+0.25)*2*1) + ((0.15+0.25)*2*2)</f>
        <v>2.5</v>
      </c>
      <c r="H372" s="47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71">
        <f xml:space="preserve"> ((0.2+0.3)*2*1) + ((0.15+0.25)*2*5) +  ((0.25+0.25)*2*1)</f>
        <v>6</v>
      </c>
      <c r="H373" s="47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71">
        <f>((0.15+0.3)*2*1)</f>
        <v>0.89999999999999991</v>
      </c>
      <c r="H374" s="47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71">
        <f>((0.15+0.5)*2*1)</f>
        <v>1.3</v>
      </c>
      <c r="H375" s="47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71">
        <f>((0.15+0.5)*2*1)</f>
        <v>1.3</v>
      </c>
      <c r="H376" s="47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71">
        <f>((0.15+0.25)*2*1)</f>
        <v>0.8</v>
      </c>
      <c r="H377" s="47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71">
        <f t="shared" ref="G378" si="18">((0.15+0.3)*2*1)</f>
        <v>0.89999999999999991</v>
      </c>
      <c r="H378" s="47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71">
        <f>((0.15+0.25)*2*1)</f>
        <v>0.8</v>
      </c>
      <c r="H379" s="47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71">
        <f>((0.15+0.3)*2*1)</f>
        <v>0.89999999999999991</v>
      </c>
      <c r="H380" s="47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463"/>
      <c r="H609" s="463"/>
      <c r="I609" s="464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462">
        <v>11.01</v>
      </c>
      <c r="H615" s="463"/>
      <c r="I615" s="464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462"/>
      <c r="H617" s="463"/>
      <c r="I617" s="464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462">
        <v>67.27</v>
      </c>
      <c r="H618" s="463"/>
      <c r="I618" s="464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462">
        <v>42.8</v>
      </c>
      <c r="H619" s="463"/>
      <c r="I619" s="464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462">
        <f>K624</f>
        <v>2.3652000000000002</v>
      </c>
      <c r="H645" s="463"/>
      <c r="I645" s="464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462" t="s">
        <v>586</v>
      </c>
      <c r="H664" s="465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462">
        <v>4</v>
      </c>
      <c r="H665" s="465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462">
        <v>4</v>
      </c>
      <c r="H666" s="465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462">
        <v>4</v>
      </c>
      <c r="H667" s="465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462">
        <v>4</v>
      </c>
      <c r="H668" s="465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462">
        <v>4</v>
      </c>
      <c r="H669" s="465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462">
        <v>4</v>
      </c>
      <c r="H670" s="465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462">
        <v>4</v>
      </c>
      <c r="H671" s="465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462">
        <v>4</v>
      </c>
      <c r="H672" s="465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462">
        <v>4</v>
      </c>
      <c r="H673" s="465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462">
        <v>4</v>
      </c>
      <c r="H674" s="465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462">
        <v>4</v>
      </c>
      <c r="H675" s="465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462">
        <v>4</v>
      </c>
      <c r="H676" s="465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462">
        <v>4</v>
      </c>
      <c r="H677" s="465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462">
        <v>4</v>
      </c>
      <c r="H678" s="465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462">
        <v>4</v>
      </c>
      <c r="H679" s="465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462">
        <v>4</v>
      </c>
      <c r="H680" s="465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462">
        <v>4</v>
      </c>
      <c r="H681" s="465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462"/>
      <c r="H682" s="463"/>
      <c r="I682" s="464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485"/>
      <c r="H701" s="486"/>
      <c r="I701" s="487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462"/>
      <c r="H703" s="463"/>
      <c r="I703" s="464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491" t="s">
        <v>836</v>
      </c>
      <c r="H717" s="491"/>
      <c r="I717" s="491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934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v>45422</v>
      </c>
      <c r="C8" s="448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453">
        <f>Y196-E8</f>
        <v>274592.67562904983</v>
      </c>
      <c r="K8" s="453"/>
      <c r="L8" s="453"/>
      <c r="M8" s="453"/>
      <c r="N8" s="453"/>
      <c r="O8" s="453"/>
      <c r="P8" s="484"/>
      <c r="Q8" s="454" t="s">
        <v>933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543</v>
      </c>
      <c r="G10" s="509" t="s">
        <v>530</v>
      </c>
      <c r="H10" s="467"/>
      <c r="I10" s="467"/>
      <c r="J10" s="467"/>
      <c r="K10" s="467"/>
      <c r="L10" s="467"/>
      <c r="M10" s="467"/>
      <c r="N10" s="467"/>
      <c r="O10" s="467"/>
      <c r="P10" s="467"/>
      <c r="Q10" s="468" t="s">
        <v>531</v>
      </c>
      <c r="R10" s="469"/>
      <c r="S10" s="469"/>
      <c r="T10" s="469"/>
      <c r="U10" s="469"/>
      <c r="V10" s="469"/>
      <c r="W10" s="469"/>
      <c r="X10" s="469"/>
      <c r="Y10" s="510"/>
      <c r="Z10" s="470"/>
    </row>
    <row r="11" spans="2:26" ht="36" x14ac:dyDescent="0.25">
      <c r="B11" s="457"/>
      <c r="C11" s="457"/>
      <c r="D11" s="459"/>
      <c r="E11" s="457"/>
      <c r="F11" s="461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33.7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33.7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33.7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56.2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56.2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33.7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33.7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4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56.2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4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4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4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33.7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46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33.7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46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56.2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507" t="s">
        <v>546</v>
      </c>
      <c r="R197" s="507" t="s">
        <v>547</v>
      </c>
      <c r="S197" s="507" t="s">
        <v>549</v>
      </c>
      <c r="T197" s="507" t="s">
        <v>550</v>
      </c>
      <c r="U197" s="507" t="s">
        <v>551</v>
      </c>
      <c r="V197" s="507" t="s">
        <v>552</v>
      </c>
      <c r="W197" s="507" t="s">
        <v>553</v>
      </c>
      <c r="X197" s="507" t="s">
        <v>554</v>
      </c>
      <c r="Y197" s="508" t="s">
        <v>548</v>
      </c>
      <c r="Z197" s="507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507"/>
      <c r="R198" s="507"/>
      <c r="S198" s="507"/>
      <c r="T198" s="507"/>
      <c r="U198" s="507"/>
      <c r="V198" s="507"/>
      <c r="W198" s="507"/>
      <c r="X198" s="507"/>
      <c r="Y198" s="508"/>
      <c r="Z198" s="507"/>
    </row>
  </sheetData>
  <mergeCells count="27">
    <mergeCell ref="B10:B11"/>
    <mergeCell ref="Z197:Z198"/>
    <mergeCell ref="U197:U198"/>
    <mergeCell ref="Q10:Z10"/>
    <mergeCell ref="C10:C11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392" zoomScale="84" zoomScaleNormal="205" workbookViewId="0">
      <selection activeCell="D406" sqref="D40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3" t="s">
        <v>936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v>45422</v>
      </c>
      <c r="C8" s="448"/>
      <c r="D8" s="23" t="s">
        <v>954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4" t="s">
        <v>933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2">
        <v>1</v>
      </c>
      <c r="G70" s="499">
        <f>43.05</f>
        <v>43.05</v>
      </c>
      <c r="H70" s="500"/>
      <c r="I70" s="501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3"/>
      <c r="G71" s="502"/>
      <c r="H71" s="503"/>
      <c r="I71" s="504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6" t="s">
        <v>883</v>
      </c>
      <c r="H72" s="497"/>
      <c r="I72" s="498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4" t="s">
        <v>838</v>
      </c>
      <c r="H73" s="495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4">
        <v>9</v>
      </c>
      <c r="H74" s="495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4">
        <v>5</v>
      </c>
      <c r="H75" s="495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4">
        <f xml:space="preserve"> (13.03 * 2.7)</f>
        <v>35.180999999999997</v>
      </c>
      <c r="H76" s="495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4">
        <v>3</v>
      </c>
      <c r="H77" s="495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4">
        <v>7</v>
      </c>
      <c r="H78" s="495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4">
        <v>21</v>
      </c>
      <c r="H79" s="495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4">
        <v>27</v>
      </c>
      <c r="H80" s="495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4">
        <v>26</v>
      </c>
      <c r="H81" s="495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4">
        <v>1.6</v>
      </c>
      <c r="H82" s="495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4">
        <v>1.6</v>
      </c>
      <c r="H83" s="495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4">
        <v>45</v>
      </c>
      <c r="H84" s="495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4">
        <v>19</v>
      </c>
      <c r="H85" s="495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4">
        <v>19</v>
      </c>
      <c r="H86" s="495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4">
        <v>5</v>
      </c>
      <c r="H87" s="495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4">
        <v>14</v>
      </c>
      <c r="H88" s="495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5">
        <v>36</v>
      </c>
      <c r="H89" s="506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5">
        <v>46</v>
      </c>
      <c r="H90" s="506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4">
        <v>41</v>
      </c>
      <c r="H91" s="495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4">
        <v>27</v>
      </c>
      <c r="H92" s="495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4">
        <v>53</v>
      </c>
      <c r="H93" s="495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4">
        <f xml:space="preserve"> (2.65*1.8)</f>
        <v>4.7699999999999996</v>
      </c>
      <c r="H94" s="495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4">
        <v>30</v>
      </c>
      <c r="H95" s="495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4">
        <v>30</v>
      </c>
      <c r="H96" s="495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4">
        <v>14</v>
      </c>
      <c r="H97" s="495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4">
        <v>14</v>
      </c>
      <c r="H98" s="495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4">
        <v>20</v>
      </c>
      <c r="H99" s="495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4">
        <v>3</v>
      </c>
      <c r="H100" s="495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4">
        <v>4</v>
      </c>
      <c r="H101" s="495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4">
        <v>12</v>
      </c>
      <c r="H102" s="495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4">
        <v>20</v>
      </c>
      <c r="H103" s="495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4">
        <v>4</v>
      </c>
      <c r="H104" s="495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4">
        <v>5</v>
      </c>
      <c r="H105" s="495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4">
        <f>1184.23-SUM(G74:H105)</f>
        <v>582.07900000000006</v>
      </c>
      <c r="H106" s="495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4"/>
      <c r="H107" s="495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75" t="s">
        <v>652</v>
      </c>
      <c r="H108" s="477"/>
      <c r="I108" s="478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71" t="s">
        <v>831</v>
      </c>
      <c r="H172" s="473"/>
      <c r="I172" s="474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75">
        <v>492.78</v>
      </c>
      <c r="H173" s="477"/>
      <c r="I173" s="478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75">
        <f>(2*12)+(2*3.79)+(2*8.94)+(2*6.27)+ 1.39+0.99 +(2*1.85)+(2*1.7)+ (2*1.35)</f>
        <v>74.180000000000007</v>
      </c>
      <c r="H174" s="476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75">
        <f>(2*10.92)+(2*10.92)+ 1.3 + 1.1</f>
        <v>46.08</v>
      </c>
      <c r="H175" s="476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75">
        <f>(2*1.87)+(2*1.87)</f>
        <v>7.48</v>
      </c>
      <c r="H176" s="476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75">
        <f>(2*6.55)+(2*6.3)+1.75+1.35+1.19</f>
        <v>29.990000000000002</v>
      </c>
      <c r="H177" s="476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75">
        <f>(2*8.39)+(2*1.7)+ 1.1+ 3.13 + (2*5.24)+ (2*3.11)</f>
        <v>41.11</v>
      </c>
      <c r="H178" s="476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75"/>
      <c r="H179" s="476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75"/>
      <c r="H180" s="476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75"/>
      <c r="H181" s="476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75"/>
      <c r="H182" s="476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75"/>
      <c r="H183" s="476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75"/>
      <c r="H184" s="476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75"/>
      <c r="H185" s="476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75"/>
      <c r="H186" s="476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75"/>
      <c r="H187" s="476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75"/>
      <c r="H188" s="476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75"/>
      <c r="H189" s="476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75"/>
      <c r="H190" s="476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75"/>
      <c r="H191" s="476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75"/>
      <c r="H192" s="476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75"/>
      <c r="H193" s="476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75"/>
      <c r="H194" s="476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75"/>
      <c r="H195" s="476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75"/>
      <c r="H196" s="476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75"/>
      <c r="H197" s="476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75"/>
      <c r="H198" s="476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75"/>
      <c r="H199" s="476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71">
        <f xml:space="preserve"> (2*1.31) + (2*1.51) + (2*4.98)</f>
        <v>15.600000000000001</v>
      </c>
      <c r="H201" s="47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71">
        <f xml:space="preserve"> (3*3.37) + (1.37) + (2*3.47)</f>
        <v>18.420000000000002</v>
      </c>
      <c r="H202" s="47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71">
        <f xml:space="preserve"> (1.87) + (2*3.62)</f>
        <v>9.11</v>
      </c>
      <c r="H203" s="47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71">
        <f xml:space="preserve"> (4*0.88) + (2*3.36) + (2*5.03)</f>
        <v>20.3</v>
      </c>
      <c r="H204" s="47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71">
        <f xml:space="preserve"> (2*3.18) + (2*3.18)</f>
        <v>12.72</v>
      </c>
      <c r="H205" s="47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71">
        <f xml:space="preserve"> (4*2.15)</f>
        <v>8.6</v>
      </c>
      <c r="H206" s="47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71">
        <f xml:space="preserve"> (4*6.99)</f>
        <v>27.96</v>
      </c>
      <c r="H207" s="47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71" t="s">
        <v>831</v>
      </c>
      <c r="H208" s="473"/>
      <c r="I208" s="474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71"/>
      <c r="H209" s="473"/>
      <c r="I209" s="474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75" t="s">
        <v>679</v>
      </c>
      <c r="H217" s="476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71" t="s">
        <v>680</v>
      </c>
      <c r="H218" s="47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71" t="s">
        <v>681</v>
      </c>
      <c r="H219" s="47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71" t="s">
        <v>682</v>
      </c>
      <c r="H220" s="47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71" t="s">
        <v>684</v>
      </c>
      <c r="H221" s="47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71" t="s">
        <v>683</v>
      </c>
      <c r="H222" s="47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71" t="s">
        <v>685</v>
      </c>
      <c r="H223" s="47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75" t="s">
        <v>686</v>
      </c>
      <c r="H224" s="476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71" t="s">
        <v>687</v>
      </c>
      <c r="H225" s="47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71" t="s">
        <v>688</v>
      </c>
      <c r="H226" s="47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75" t="s">
        <v>689</v>
      </c>
      <c r="H227" s="476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71" t="s">
        <v>690</v>
      </c>
      <c r="H228" s="47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75" t="s">
        <v>691</v>
      </c>
      <c r="H229" s="476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71" t="s">
        <v>692</v>
      </c>
      <c r="H230" s="47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71" t="s">
        <v>693</v>
      </c>
      <c r="H231" s="47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75" t="s">
        <v>694</v>
      </c>
      <c r="H232" s="476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71" t="s">
        <v>695</v>
      </c>
      <c r="H233" s="47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71" t="s">
        <v>696</v>
      </c>
      <c r="H234" s="47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71" t="s">
        <v>697</v>
      </c>
      <c r="H235" s="47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71" t="s">
        <v>698</v>
      </c>
      <c r="H236" s="47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71" t="s">
        <v>699</v>
      </c>
      <c r="H237" s="47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71" t="s">
        <v>700</v>
      </c>
      <c r="H238" s="47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71" t="s">
        <v>701</v>
      </c>
      <c r="H239" s="47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75" t="s">
        <v>702</v>
      </c>
      <c r="H240" s="476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71" t="s">
        <v>704</v>
      </c>
      <c r="H241" s="47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71" t="s">
        <v>703</v>
      </c>
      <c r="H242" s="47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71" t="s">
        <v>703</v>
      </c>
      <c r="H243" s="47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71" t="s">
        <v>705</v>
      </c>
      <c r="H244" s="47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71" t="s">
        <v>704</v>
      </c>
      <c r="H245" s="47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71" t="s">
        <v>705</v>
      </c>
      <c r="H246" s="47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71" t="s">
        <v>704</v>
      </c>
      <c r="H247" s="47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71">
        <v>9.6</v>
      </c>
      <c r="H248" s="473"/>
      <c r="I248" s="474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71">
        <v>12.75</v>
      </c>
      <c r="H249" s="473"/>
      <c r="I249" s="474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8" t="s">
        <v>874</v>
      </c>
      <c r="H257" s="489"/>
      <c r="I257" s="490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71"/>
      <c r="H258" s="473"/>
      <c r="I258" s="474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71">
        <v>9.6</v>
      </c>
      <c r="H259" s="473"/>
      <c r="I259" s="474"/>
      <c r="J259" s="99"/>
      <c r="K259" s="82"/>
      <c r="L259" s="82"/>
      <c r="M259" s="82"/>
      <c r="N259" s="86"/>
      <c r="S259" s="161"/>
      <c r="T259" s="161"/>
      <c r="U259" s="162"/>
    </row>
    <row r="260" spans="2:21" ht="33.7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71" t="s">
        <v>831</v>
      </c>
      <c r="H260" s="473"/>
      <c r="I260" s="474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71">
        <f>G249</f>
        <v>12.75</v>
      </c>
      <c r="H261" s="473"/>
      <c r="I261" s="474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71" t="s">
        <v>831</v>
      </c>
      <c r="H262" s="473"/>
      <c r="I262" s="474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75" t="s">
        <v>647</v>
      </c>
      <c r="H263" s="476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71">
        <f xml:space="preserve"> ((0.59*(1.85/0.1)) * 2)</f>
        <v>21.83</v>
      </c>
      <c r="H264" s="47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71">
        <f>(0.69*(1.87/0.1)) + (0.79*(1.87/0.1))</f>
        <v>27.675999999999998</v>
      </c>
      <c r="H265" s="47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71">
        <f>((0.69*(1.9/0.1))*3) + ((0.59*(1.87/0.1))*2)</f>
        <v>61.395999999999987</v>
      </c>
      <c r="H266" s="47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71">
        <f>((0.69*(1.92/0.1))*1) + ((0.59*(1.92/0.1))*2)</f>
        <v>35.903999999999996</v>
      </c>
      <c r="H267" s="47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71">
        <f>((0.79*(1.94/0.1))*3)</f>
        <v>45.977999999999994</v>
      </c>
      <c r="H268" s="47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71">
        <f>((0.69*(1.96/0.1))*3) + ((0.59*(1.96/0.1))*2)</f>
        <v>63.699999999999989</v>
      </c>
      <c r="H269" s="47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71">
        <f>((0.59*(1.95/0.1))*2) + ((0.69*(1.95/0.1))*3) +((0.79*(1.95/0.1))*1)</f>
        <v>78.78</v>
      </c>
      <c r="H270" s="47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71">
        <f>((0.59*(1.97/0.1))*1)  +((0.79*(1.97/0.1))*2)</f>
        <v>42.749000000000002</v>
      </c>
      <c r="H271" s="47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71">
        <f>((0.59*(1.9/0.1))*3)</f>
        <v>33.629999999999995</v>
      </c>
      <c r="H272" s="47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71">
        <f>((0.69*(1.86/0.1))*1) + ((0.69*(1.86/0.1))*1) + ((0.89*(1.86/0.1))*1)</f>
        <v>42.222000000000001</v>
      </c>
      <c r="H273" s="47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71">
        <f>((0.69*(1.87/0.1))*3)</f>
        <v>38.708999999999996</v>
      </c>
      <c r="H274" s="47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71">
        <f>((0.69*(1.9/0.1))*1) + ((0.79*(1.9/0.1))*2) + ((0.59*(1.9/0.1))*1)</f>
        <v>54.339999999999989</v>
      </c>
      <c r="H275" s="47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71">
        <f>((0.79*(1.91/0.1))*1) +((0.59*(1.91/0.1))*1)</f>
        <v>26.357999999999997</v>
      </c>
      <c r="H276" s="47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71">
        <f>((0.79*(1.94/0.1))*1) +((0.59*(1.94/0.1))*5)</f>
        <v>72.555999999999983</v>
      </c>
      <c r="H277" s="47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71">
        <f>((0.69*(1.92/0.1))*2) + ((0.69*(1.92/0.1))*1)</f>
        <v>39.744</v>
      </c>
      <c r="H278" s="47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71">
        <f>((0.59*(1.93/0.1))*2) + ((0.79*(1.93/0.1))*1)</f>
        <v>38.020999999999994</v>
      </c>
      <c r="H279" s="47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71">
        <f>((0.59*(1.87/0.1))*2) + ((0.69*(1.87/0.1))*2)</f>
        <v>47.872</v>
      </c>
      <c r="H280" s="47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71">
        <f>((0.59*(1.88/0.1))*3) + ((0.69*(1.88/0.1))*1)</f>
        <v>46.24799999999999</v>
      </c>
      <c r="H281" s="47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71">
        <f>((0.79*(1.9/0.1))*1) + ((0.69*(1.9/0.1))*3)</f>
        <v>54.339999999999982</v>
      </c>
      <c r="H282" s="47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71">
        <f>((0.59*(1.9/0.1))*1)</f>
        <v>11.209999999999997</v>
      </c>
      <c r="H283" s="47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71">
        <f>((0.69*(1.87/0.1))*1) + ((0.59*(1.87/0.1))*1)</f>
        <v>23.936</v>
      </c>
      <c r="H284" s="47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71">
        <f>((0.69*(2/0.1))*1) + ((0.59*(2/0.1))*2)</f>
        <v>37.4</v>
      </c>
      <c r="H285" s="47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71">
        <f>((0.69*(2.01/0.1))*1) + ((0.59*(2.01/0.1))*5) + ((0.79*(2.01/0.1))*1)</f>
        <v>89.042999999999992</v>
      </c>
      <c r="H286" s="47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71">
        <f>(((1.39+0.47+0.47))*(1.86/0.15))</f>
        <v>28.892000000000003</v>
      </c>
      <c r="H287" s="47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71">
        <f>(((1.09+0.022))*(1.87/0.15))</f>
        <v>13.862933333333336</v>
      </c>
      <c r="H288" s="47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71">
        <f>(((1.09+0.022))*(1.89/0.15))</f>
        <v>14.011200000000001</v>
      </c>
      <c r="H289" s="47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71">
        <f>(((0.59))*(1.9/0.15))</f>
        <v>7.4733333333333327</v>
      </c>
      <c r="H290" s="47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71">
        <f>(((0.59))*(1.92/0.15))</f>
        <v>7.5519999999999996</v>
      </c>
      <c r="H291" s="47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71">
        <f>(((0.59))*(1.9/0.15))</f>
        <v>7.4733333333333327</v>
      </c>
      <c r="H292" s="47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71">
        <f>(((0.69))*(1.98/0.15))</f>
        <v>9.1080000000000005</v>
      </c>
      <c r="H293" s="47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75">
        <v>210.13</v>
      </c>
      <c r="H294" s="477"/>
      <c r="I294" s="478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71">
        <f xml:space="preserve"> (2*2.51) + (40*0.59)</f>
        <v>28.619999999999997</v>
      </c>
      <c r="H295" s="47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71">
        <f xml:space="preserve"> (19*0.79)</f>
        <v>15.010000000000002</v>
      </c>
      <c r="H296" s="47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71">
        <f xml:space="preserve"> (21*0.79)</f>
        <v>16.59</v>
      </c>
      <c r="H297" s="47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71">
        <f xml:space="preserve"> (2*3.86) + (29*0.79)</f>
        <v>30.63</v>
      </c>
      <c r="H298" s="47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71">
        <f xml:space="preserve"> (22*0.59)</f>
        <v>12.979999999999999</v>
      </c>
      <c r="H299" s="47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71">
        <f xml:space="preserve"> (14*0.059)</f>
        <v>0.82599999999999996</v>
      </c>
      <c r="H300" s="47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71">
        <f xml:space="preserve"> (59*0.59)</f>
        <v>34.809999999999995</v>
      </c>
      <c r="H301" s="47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71">
        <v>295</v>
      </c>
      <c r="H303" s="473"/>
      <c r="I303" s="474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75" t="s">
        <v>628</v>
      </c>
      <c r="H306" s="476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71">
        <f xml:space="preserve"> (4*(0.2+0.25+1.85+0.33)) * 2</f>
        <v>21.040000000000003</v>
      </c>
      <c r="H307" s="47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71">
        <f xml:space="preserve"> ((4*(0.2+0.25+1.87+0.33)) * 2)</f>
        <v>21.200000000000003</v>
      </c>
      <c r="H308" s="47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71">
        <f xml:space="preserve"> (4*(0.2+0.25+1.9+0.33)) * 5</f>
        <v>53.6</v>
      </c>
      <c r="H309" s="47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71">
        <f xml:space="preserve"> (4*(0.2+0.25+1.92+0.33)) *3</f>
        <v>32.400000000000006</v>
      </c>
      <c r="H310" s="47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71">
        <f xml:space="preserve"> (4*(0.2+0.25+1.94+0.33)) * 3</f>
        <v>32.64</v>
      </c>
      <c r="H311" s="47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71">
        <f xml:space="preserve"> (4*(0.2+0.25+1.96+0.33)) * 5</f>
        <v>54.800000000000004</v>
      </c>
      <c r="H312" s="47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71">
        <f xml:space="preserve"> (4*(0.2+0.25+1.95+0.33)) * 6</f>
        <v>65.52</v>
      </c>
      <c r="H313" s="47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71">
        <f xml:space="preserve"> (4*(0.2+0.25+1.97+0.33)) * 3</f>
        <v>33</v>
      </c>
      <c r="H314" s="47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71">
        <f xml:space="preserve"> (4*(0.2+0.25+1.9+0.33)) * 3</f>
        <v>32.160000000000004</v>
      </c>
      <c r="H315" s="47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71">
        <f xml:space="preserve"> ((4*(0.2+0.25+1.86+0.33)) * 3)</f>
        <v>31.68</v>
      </c>
      <c r="H316" s="47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71">
        <f xml:space="preserve"> ((4*(0.2+0.25+1.87+0.33)) * 3)</f>
        <v>31.800000000000004</v>
      </c>
      <c r="H317" s="47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71">
        <f xml:space="preserve"> ((4*(0.2+0.25+1.9+0.33)) * 4)</f>
        <v>42.88</v>
      </c>
      <c r="H318" s="47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71">
        <f xml:space="preserve"> ((4*(0.2+0.25+1.91+0.33)) * 2)</f>
        <v>21.52</v>
      </c>
      <c r="H319" s="47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71">
        <f xml:space="preserve"> ((4*(0.2+0.25+1.94+0.33)) * 6)</f>
        <v>65.28</v>
      </c>
      <c r="H320" s="47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71">
        <f xml:space="preserve"> ((4*(0.2+0.25+1.92+0.33)) *3)</f>
        <v>32.400000000000006</v>
      </c>
      <c r="H321" s="47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71">
        <f xml:space="preserve"> ((4*(0.2+0.25+1.93+0.33)) *3)</f>
        <v>32.519999999999996</v>
      </c>
      <c r="H322" s="47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71">
        <f xml:space="preserve"> ((4*(0.2+0.25+1.87+0.33)) *4)</f>
        <v>42.400000000000006</v>
      </c>
      <c r="H323" s="47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71">
        <f xml:space="preserve"> ((4*(0.2+0.25+1.88+0.33)) *4)</f>
        <v>42.56</v>
      </c>
      <c r="H324" s="47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71">
        <f xml:space="preserve"> ((4*(0.2+0.25+1.9+0.33)) *4)</f>
        <v>42.88</v>
      </c>
      <c r="H325" s="47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71">
        <f>((4*(0.2+0.25+1.9+0.33))) + ((8*(0.2+0.25+1.9)))</f>
        <v>29.520000000000003</v>
      </c>
      <c r="H326" s="47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71">
        <f xml:space="preserve"> ((4*(0.2+0.25+1.97+0.33)) *2)</f>
        <v>22</v>
      </c>
      <c r="H327" s="47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71">
        <f xml:space="preserve"> ((4*(0.2+0.25+2+0.33)) *3)</f>
        <v>33.36</v>
      </c>
      <c r="H328" s="47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71">
        <f xml:space="preserve"> ((4*(0.2+0.25+2.01+0.33)) *7)</f>
        <v>78.12</v>
      </c>
      <c r="H329" s="47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71" t="s">
        <v>831</v>
      </c>
      <c r="H330" s="473"/>
      <c r="I330" s="474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75" t="s">
        <v>628</v>
      </c>
      <c r="H331" s="476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71">
        <f>((8*(0.2+0.25+1.86+0.42)))</f>
        <v>21.84</v>
      </c>
      <c r="H332" s="47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71">
        <f>((6*(0.2+0.25+1.87+0.42)))</f>
        <v>16.440000000000001</v>
      </c>
      <c r="H333" s="47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71">
        <f>((6*(0.2+0.25+1.89+0.42)))</f>
        <v>16.559999999999999</v>
      </c>
      <c r="H334" s="47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71">
        <f>((4*(0.2+0.25+1.9+0.42)))</f>
        <v>11.08</v>
      </c>
      <c r="H335" s="47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71">
        <f>((4*(0.2+0.25+1.92+0.42)))</f>
        <v>11.16</v>
      </c>
      <c r="H336" s="47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71">
        <f>((4*(0.2+0.25+1.9+0.42)))</f>
        <v>11.08</v>
      </c>
      <c r="H337" s="47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71">
        <f>((4*(0.2+0.25+1.98+0.42)))+(2*(0.2+0.25+1.98))</f>
        <v>16.260000000000002</v>
      </c>
      <c r="H338" s="47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75">
        <v>52.34</v>
      </c>
      <c r="H339" s="477"/>
      <c r="I339" s="478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71"/>
      <c r="H340" s="473"/>
      <c r="I340" s="474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71">
        <v>223.49</v>
      </c>
      <c r="H341" s="473"/>
      <c r="I341" s="474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75" t="s">
        <v>706</v>
      </c>
      <c r="H350" s="476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71">
        <f xml:space="preserve"> ((0.15+0.25)*2) *2</f>
        <v>1.6</v>
      </c>
      <c r="H351" s="47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71">
        <f xml:space="preserve"> ((0.2+0.25)*2) + ((0.2+0.3)*2)</f>
        <v>1.9</v>
      </c>
      <c r="H352" s="472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71">
        <f xml:space="preserve"> ((0.2+0.25)*2*3) + ((0.2+0.2)*2*1) + ((0.15+0.2)*2*1)</f>
        <v>4.2</v>
      </c>
      <c r="H353" s="47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71">
        <f xml:space="preserve"> ((0.2+0.25)*2*1) + ((0.15+0.25)*2*2)</f>
        <v>2.5</v>
      </c>
      <c r="H354" s="47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71">
        <f xml:space="preserve"> ((0.15+0.3)*2*3)</f>
        <v>2.6999999999999997</v>
      </c>
      <c r="H355" s="47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71">
        <f xml:space="preserve"> ((0.2+0.25)*2*3) + ((0.15+0.25)*2*2)</f>
        <v>4.3000000000000007</v>
      </c>
      <c r="H356" s="47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71">
        <f xml:space="preserve"> ((0.2+0.25)*2*3) + ((0.15+0.25)*2*2) +  ((0.2+0.3)*2*1)</f>
        <v>5.3000000000000007</v>
      </c>
      <c r="H357" s="47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71">
        <f xml:space="preserve"> ((0.2+0.25)*2*2) + ((0.15+0.25)*2*1)</f>
        <v>2.6</v>
      </c>
      <c r="H358" s="47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71">
        <f>((0.15+0.25)*2*3)</f>
        <v>2.4000000000000004</v>
      </c>
      <c r="H359" s="47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71">
        <f xml:space="preserve"> ((0.2+0.25)*2*1) + ((0.15+0.25)*2*1) +  ((0.2+0.35)*2*1)</f>
        <v>2.8000000000000003</v>
      </c>
      <c r="H360" s="47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71">
        <f xml:space="preserve"> ((0.2+0.25)*2*1) + ((0.15+0.3)*2*2)</f>
        <v>2.6999999999999997</v>
      </c>
      <c r="H361" s="47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71">
        <f xml:space="preserve"> ((0.2+0.3)*2*1) + ((0.15+0.3)*2*1) +  ((0.15+0.25)*2*1) + ((0.15+0.35)*2*1)</f>
        <v>3.7</v>
      </c>
      <c r="H362" s="47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71">
        <f xml:space="preserve"> ((0.15+0.25)*2*1) + ((0.2+0.3)*2*1)</f>
        <v>1.8</v>
      </c>
      <c r="H363" s="47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71">
        <f xml:space="preserve"> ((0.15+0.25)*2*5) + ((0.25+0.25)*2*1)</f>
        <v>5</v>
      </c>
      <c r="H364" s="47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71">
        <f xml:space="preserve"> ((0.2+0.25)*2*1) + ((0.15+0.25)*2*1) +  ((0.25+0.25)*2*1)</f>
        <v>2.7</v>
      </c>
      <c r="H365" s="47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71">
        <f xml:space="preserve"> ((0.15+0.25)*2*2) + ((0.25+0.25)*2*1)</f>
        <v>2.6</v>
      </c>
      <c r="H366" s="47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71">
        <f xml:space="preserve"> ((0.15+0.25)*2*2) + ((0.2+0.25)*2*2)</f>
        <v>3.4000000000000004</v>
      </c>
      <c r="H367" s="47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71">
        <f xml:space="preserve"> ((0.15+0.25)*2*3) + ((0.2+0.25)*2*1)</f>
        <v>3.3000000000000003</v>
      </c>
      <c r="H368" s="47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71">
        <f>((0.2+0.25)*2*3) + ((0.25+0.25)*2*1)</f>
        <v>3.7</v>
      </c>
      <c r="H369" s="47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71">
        <f>((0.2+0.2)*2*1)</f>
        <v>0.8</v>
      </c>
      <c r="H370" s="47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71">
        <f>((0.2+0.25)*2*1) + ((0.15+0.25)*2*1)</f>
        <v>1.7000000000000002</v>
      </c>
      <c r="H371" s="47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71">
        <f>((0.2+0.25)*2*1) + ((0.15+0.25)*2*2)</f>
        <v>2.5</v>
      </c>
      <c r="H372" s="47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71">
        <f xml:space="preserve"> ((0.2+0.3)*2*1) + ((0.15+0.25)*2*5) +  ((0.25+0.25)*2*1)</f>
        <v>6</v>
      </c>
      <c r="H373" s="47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71">
        <f>((0.15+0.3)*2*1)</f>
        <v>0.89999999999999991</v>
      </c>
      <c r="H374" s="47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71">
        <f>((0.15+0.5)*2*1)</f>
        <v>1.3</v>
      </c>
      <c r="H375" s="47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71">
        <f>((0.15+0.5)*2*1)</f>
        <v>1.3</v>
      </c>
      <c r="H376" s="47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71">
        <f>((0.15+0.25)*2*1)</f>
        <v>0.8</v>
      </c>
      <c r="H377" s="47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71">
        <f t="shared" ref="G378" si="18">((0.15+0.3)*2*1)</f>
        <v>0.89999999999999991</v>
      </c>
      <c r="H378" s="47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71">
        <f>((0.15+0.25)*2*1)</f>
        <v>0.8</v>
      </c>
      <c r="H379" s="47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71">
        <f>((0.15+0.3)*2*1)</f>
        <v>0.89999999999999991</v>
      </c>
      <c r="H380" s="47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471">
        <f>243.89*0.7</f>
        <v>170.72299999999998</v>
      </c>
      <c r="H385" s="473"/>
      <c r="I385" s="474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471">
        <v>38.520000000000003</v>
      </c>
      <c r="H386" s="473"/>
      <c r="I386" s="474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471">
        <f>288*0.7</f>
        <v>201.6</v>
      </c>
      <c r="H390" s="473"/>
      <c r="I390" s="474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471">
        <v>44.5</v>
      </c>
      <c r="H391" s="473"/>
      <c r="I391" s="474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471">
        <f>0.6*357.5</f>
        <v>214.5</v>
      </c>
      <c r="H392" s="473"/>
      <c r="I392" s="474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s="371" customFormat="1" ht="22.9" customHeight="1" x14ac:dyDescent="0.25">
      <c r="B394" s="363"/>
      <c r="C394" s="364"/>
      <c r="D394" s="365" t="s">
        <v>953</v>
      </c>
      <c r="E394" s="366"/>
      <c r="F394" s="367">
        <v>1</v>
      </c>
      <c r="G394" s="524">
        <f>0.6* 39.1</f>
        <v>23.46</v>
      </c>
      <c r="H394" s="525"/>
      <c r="I394" s="526"/>
      <c r="J394" s="368"/>
      <c r="K394" s="369">
        <f>F394*G394</f>
        <v>23.46</v>
      </c>
      <c r="L394" s="369"/>
      <c r="M394" s="369"/>
      <c r="N394" s="370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s="371" customFormat="1" ht="30.6" customHeight="1" x14ac:dyDescent="0.25">
      <c r="B396" s="363"/>
      <c r="C396" s="364"/>
      <c r="D396" s="365" t="s">
        <v>953</v>
      </c>
      <c r="E396" s="366"/>
      <c r="F396" s="367">
        <v>1</v>
      </c>
      <c r="G396" s="524">
        <f>0.6* 692.8</f>
        <v>415.67999999999995</v>
      </c>
      <c r="H396" s="525"/>
      <c r="I396" s="526"/>
      <c r="J396" s="368"/>
      <c r="K396" s="369">
        <f>F396*G396</f>
        <v>415.67999999999995</v>
      </c>
      <c r="L396" s="369"/>
      <c r="M396" s="369"/>
      <c r="N396" s="370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414" t="s">
        <v>937</v>
      </c>
      <c r="E398" s="64"/>
      <c r="F398" s="105">
        <v>1</v>
      </c>
      <c r="G398" s="471">
        <f>671.1*0.7</f>
        <v>469.77</v>
      </c>
      <c r="H398" s="473"/>
      <c r="I398" s="474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414" t="s">
        <v>938</v>
      </c>
      <c r="E399" s="64"/>
      <c r="F399" s="105">
        <v>1</v>
      </c>
      <c r="G399" s="471">
        <v>108.8</v>
      </c>
      <c r="H399" s="473"/>
      <c r="I399" s="474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414" t="s">
        <v>953</v>
      </c>
      <c r="E400" s="64"/>
      <c r="F400" s="105">
        <v>1</v>
      </c>
      <c r="G400" s="471">
        <f>0.6* 95</f>
        <v>57</v>
      </c>
      <c r="H400" s="473"/>
      <c r="I400" s="474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513">
        <f>87.4*0.7</f>
        <v>61.18</v>
      </c>
      <c r="H402" s="514"/>
      <c r="I402" s="515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514">
        <f>13.12*0.7</f>
        <v>9.1839999999999993</v>
      </c>
      <c r="H407" s="514"/>
      <c r="I407" s="515"/>
      <c r="J407" s="99"/>
      <c r="K407" s="82">
        <f>F407*G407</f>
        <v>9.1839999999999993</v>
      </c>
      <c r="L407" s="82"/>
      <c r="M407" s="82"/>
      <c r="N407" s="86"/>
    </row>
    <row r="408" spans="2:14" ht="33.7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471">
        <f>K406</f>
        <v>9.1839999999999993</v>
      </c>
      <c r="H409" s="473"/>
      <c r="I409" s="474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471">
        <v>1.5</v>
      </c>
      <c r="H480" s="473"/>
      <c r="I480" s="474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471">
        <v>2.1</v>
      </c>
      <c r="H481" s="473"/>
      <c r="I481" s="474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471">
        <v>1.4</v>
      </c>
      <c r="H482" s="473"/>
      <c r="I482" s="474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471">
        <v>1.4</v>
      </c>
      <c r="H483" s="473"/>
      <c r="I483" s="474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471">
        <v>3.6</v>
      </c>
      <c r="H484" s="473"/>
      <c r="I484" s="474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471">
        <v>3.2</v>
      </c>
      <c r="H485" s="473"/>
      <c r="I485" s="474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513">
        <v>1.6</v>
      </c>
      <c r="H487" s="514"/>
      <c r="I487" s="515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513">
        <v>1.8</v>
      </c>
      <c r="H488" s="514"/>
      <c r="I488" s="515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513">
        <v>3.1</v>
      </c>
      <c r="H489" s="514"/>
      <c r="I489" s="515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513">
        <v>1.8</v>
      </c>
      <c r="H490" s="514"/>
      <c r="I490" s="515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513">
        <v>2.2999999999999998</v>
      </c>
      <c r="H491" s="514"/>
      <c r="I491" s="515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513">
        <v>2.8</v>
      </c>
      <c r="H492" s="514"/>
      <c r="I492" s="515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513">
        <v>1.6</v>
      </c>
      <c r="H494" s="514"/>
      <c r="I494" s="515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513">
        <v>1.8</v>
      </c>
      <c r="H495" s="514"/>
      <c r="I495" s="515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513">
        <v>3.1</v>
      </c>
      <c r="H496" s="514"/>
      <c r="I496" s="515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513">
        <v>1.8</v>
      </c>
      <c r="H497" s="514"/>
      <c r="I497" s="515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513">
        <v>2.2999999999999998</v>
      </c>
      <c r="H498" s="514"/>
      <c r="I498" s="515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513">
        <v>2.8</v>
      </c>
      <c r="H499" s="514"/>
      <c r="I499" s="515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471">
        <f>K413+J413</f>
        <v>846.84500000000003</v>
      </c>
      <c r="H501" s="473"/>
      <c r="I501" s="474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4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67.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463"/>
      <c r="H614" s="463"/>
      <c r="I614" s="464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t="22.5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462">
        <v>11.01</v>
      </c>
      <c r="H620" s="463"/>
      <c r="I620" s="464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462"/>
      <c r="H622" s="463"/>
      <c r="I622" s="464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462">
        <v>67.27</v>
      </c>
      <c r="H623" s="463"/>
      <c r="I623" s="464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462">
        <v>134.43</v>
      </c>
      <c r="H624" s="463"/>
      <c r="I624" s="464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52"/>
      <c r="H629" s="353"/>
      <c r="I629" s="246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505">
        <v>0.41560999999999998</v>
      </c>
      <c r="H630" s="516"/>
      <c r="I630" s="517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52">
        <v>120.88</v>
      </c>
      <c r="H631" s="289">
        <v>0.3</v>
      </c>
      <c r="I631" s="246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33.7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52"/>
      <c r="H632" s="289"/>
      <c r="I632" s="246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505">
        <v>0.41563</v>
      </c>
      <c r="H633" s="516"/>
      <c r="I633" s="517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52"/>
      <c r="H634" s="289"/>
      <c r="I634" s="246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511">
        <v>8.4384999999999994</v>
      </c>
      <c r="H635" s="511"/>
      <c r="I635" s="512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55"/>
      <c r="H636" s="356"/>
      <c r="I636" s="354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57"/>
      <c r="H637" s="358">
        <v>15.84</v>
      </c>
      <c r="I637" s="359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505"/>
      <c r="H638" s="516"/>
      <c r="I638" s="517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505">
        <v>6.55</v>
      </c>
      <c r="H639" s="516"/>
      <c r="I639" s="517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518"/>
      <c r="H640" s="519"/>
      <c r="I640" s="520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60">
        <v>63.6</v>
      </c>
      <c r="H641" s="361">
        <v>0.5</v>
      </c>
      <c r="I641" s="362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505"/>
      <c r="H642" s="516"/>
      <c r="I642" s="517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505">
        <v>6.3616900000000003</v>
      </c>
      <c r="H643" s="506"/>
      <c r="I643" s="246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50"/>
      <c r="H644" s="289"/>
      <c r="I644" s="246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462">
        <v>110.765</v>
      </c>
      <c r="H645" s="465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462">
        <f>65.43</f>
        <v>65.430000000000007</v>
      </c>
      <c r="H647" s="465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521" t="s">
        <v>836</v>
      </c>
      <c r="H656" s="522"/>
      <c r="I656" s="523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885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v>45386</v>
      </c>
      <c r="C8" s="448"/>
      <c r="D8" s="23" t="s">
        <v>886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3"/>
      <c r="K8" s="453"/>
      <c r="L8" s="453"/>
      <c r="M8" s="453"/>
      <c r="N8" s="453"/>
      <c r="O8" s="453"/>
      <c r="P8" s="484"/>
      <c r="Q8" s="454" t="s">
        <v>887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935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v>45386</v>
      </c>
      <c r="C8" s="448"/>
      <c r="D8" s="23" t="s">
        <v>954</v>
      </c>
      <c r="E8" s="449">
        <f>'BOLETIM DE MEDIÇÃO 05'!E8</f>
        <v>103177.48903680005</v>
      </c>
      <c r="F8" s="450"/>
      <c r="G8" s="451"/>
      <c r="H8" s="452">
        <f>'BOLETIM DE MEDIÇÃO 05'!H8</f>
        <v>274592.67562904983</v>
      </c>
      <c r="I8" s="453"/>
      <c r="J8" s="453"/>
      <c r="K8" s="453"/>
      <c r="L8" s="453"/>
      <c r="M8" s="453"/>
      <c r="N8" s="453"/>
      <c r="O8" s="453"/>
      <c r="P8" s="484"/>
      <c r="Q8" s="454" t="s">
        <v>933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225"/>
  <sheetViews>
    <sheetView tabSelected="1" view="pageBreakPreview" topLeftCell="D1" zoomScale="90" zoomScaleNormal="85" zoomScaleSheetLayoutView="90" workbookViewId="0">
      <selection activeCell="R9" sqref="R9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25.2851562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15.28515625" hidden="1" customWidth="1"/>
    <col min="14" max="15" width="14.28515625" hidden="1" customWidth="1"/>
    <col min="16" max="17" width="17.28515625" hidden="1" customWidth="1"/>
    <col min="18" max="18" width="17.28515625" customWidth="1"/>
    <col min="19" max="19" width="23.5703125" bestFit="1" customWidth="1"/>
    <col min="20" max="20" width="10.85546875" style="167" bestFit="1" customWidth="1"/>
    <col min="21" max="21" width="22.42578125" bestFit="1" customWidth="1"/>
    <col min="22" max="22" width="19" hidden="1" customWidth="1"/>
    <col min="23" max="24" width="16.28515625" hidden="1" customWidth="1"/>
    <col min="25" max="25" width="17" hidden="1" customWidth="1"/>
    <col min="26" max="26" width="17.5703125" hidden="1" customWidth="1"/>
    <col min="27" max="27" width="15.42578125" hidden="1" customWidth="1"/>
    <col min="28" max="31" width="16.5703125" hidden="1" customWidth="1"/>
    <col min="32" max="32" width="16.5703125" customWidth="1"/>
    <col min="33" max="33" width="18.5703125" customWidth="1"/>
    <col min="34" max="34" width="17.28515625" bestFit="1" customWidth="1"/>
    <col min="36" max="36" width="17.140625" bestFit="1" customWidth="1"/>
  </cols>
  <sheetData>
    <row r="1" spans="2:34" ht="15.75" thickBot="1" x14ac:dyDescent="0.3"/>
    <row r="2" spans="2:34" ht="21" thickBot="1" x14ac:dyDescent="0.3">
      <c r="B2" s="433" t="s">
        <v>1088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4"/>
      <c r="AA2" s="434"/>
      <c r="AB2" s="434"/>
      <c r="AC2" s="434"/>
      <c r="AD2" s="434"/>
      <c r="AE2" s="434"/>
      <c r="AF2" s="434"/>
      <c r="AG2" s="434"/>
      <c r="AH2" s="435"/>
    </row>
    <row r="3" spans="2:34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2"/>
      <c r="P3" s="12"/>
      <c r="Q3" s="12"/>
      <c r="R3" s="12"/>
      <c r="S3" s="13" t="s">
        <v>512</v>
      </c>
      <c r="T3" s="345" t="s">
        <v>513</v>
      </c>
      <c r="U3" s="15" t="s">
        <v>514</v>
      </c>
      <c r="V3" s="15"/>
      <c r="W3" s="15"/>
      <c r="X3" s="15"/>
      <c r="Y3" s="15"/>
      <c r="Z3" s="15"/>
      <c r="AA3" s="15"/>
      <c r="AB3" s="15"/>
      <c r="AC3" s="15"/>
      <c r="AD3" s="15"/>
      <c r="AE3" s="555"/>
      <c r="AF3" s="555"/>
      <c r="AG3" s="555"/>
      <c r="AH3" s="556"/>
    </row>
    <row r="4" spans="2:34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379"/>
      <c r="P4" s="379"/>
      <c r="Q4" s="379"/>
      <c r="R4" s="379"/>
      <c r="S4" s="16" t="s">
        <v>544</v>
      </c>
      <c r="T4" s="80" t="s">
        <v>555</v>
      </c>
      <c r="U4" s="441">
        <v>1240378.43</v>
      </c>
      <c r="V4" s="442"/>
      <c r="W4" s="442"/>
      <c r="X4" s="442"/>
      <c r="Y4" s="442"/>
      <c r="Z4" s="442"/>
      <c r="AA4" s="442"/>
      <c r="AB4" s="442"/>
      <c r="AC4" s="381"/>
      <c r="AD4" s="381"/>
      <c r="AE4" s="557"/>
      <c r="AF4" s="557"/>
      <c r="AG4" s="557"/>
      <c r="AH4" s="558"/>
    </row>
    <row r="5" spans="2:3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8"/>
      <c r="P5" s="18"/>
      <c r="Q5" s="18"/>
      <c r="R5" s="18"/>
      <c r="S5" s="19" t="s">
        <v>517</v>
      </c>
      <c r="T5" s="22"/>
      <c r="U5" s="21"/>
      <c r="V5" s="21"/>
      <c r="W5" s="21"/>
      <c r="X5" s="21"/>
      <c r="Y5" s="21"/>
      <c r="Z5" s="21"/>
      <c r="AA5" s="21"/>
      <c r="AB5" s="21"/>
      <c r="AC5" s="21"/>
      <c r="AD5" s="409"/>
      <c r="AE5" s="557"/>
      <c r="AF5" s="557"/>
      <c r="AG5" s="557"/>
      <c r="AH5" s="558"/>
    </row>
    <row r="6" spans="2:3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379"/>
      <c r="P6" s="379"/>
      <c r="Q6" s="379"/>
      <c r="R6" s="379"/>
      <c r="S6" s="445" t="s">
        <v>592</v>
      </c>
      <c r="T6" s="446"/>
      <c r="U6" s="446"/>
      <c r="V6" s="446"/>
      <c r="W6" s="446"/>
      <c r="X6" s="446"/>
      <c r="Y6" s="446"/>
      <c r="Z6" s="446"/>
      <c r="AA6" s="446"/>
      <c r="AB6" s="446"/>
      <c r="AC6" s="382"/>
      <c r="AD6" s="382"/>
      <c r="AE6" s="557"/>
      <c r="AF6" s="557"/>
      <c r="AG6" s="557"/>
      <c r="AH6" s="558"/>
    </row>
    <row r="7" spans="2:3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 t="s">
        <v>523</v>
      </c>
      <c r="P7" s="19" t="s">
        <v>523</v>
      </c>
      <c r="Q7" s="19"/>
      <c r="R7" s="19"/>
      <c r="S7" s="19"/>
      <c r="T7" s="22"/>
      <c r="U7" s="21" t="s">
        <v>524</v>
      </c>
      <c r="V7" s="21"/>
      <c r="W7" s="21"/>
      <c r="X7" s="21"/>
      <c r="Y7" s="21"/>
      <c r="Z7" s="21"/>
      <c r="AA7" s="21"/>
      <c r="AB7" s="21"/>
      <c r="AC7" s="21"/>
      <c r="AD7" s="409"/>
      <c r="AE7" s="557"/>
      <c r="AF7" s="557"/>
      <c r="AG7" s="557"/>
      <c r="AH7" s="558"/>
    </row>
    <row r="8" spans="2:34" ht="17.25" thickBot="1" x14ac:dyDescent="0.3">
      <c r="B8" s="561">
        <v>45926</v>
      </c>
      <c r="C8" s="562"/>
      <c r="D8" s="23" t="s">
        <v>1086</v>
      </c>
      <c r="E8" s="140">
        <f>AF209</f>
        <v>125103.41000000003</v>
      </c>
      <c r="F8" s="138"/>
      <c r="G8" s="139"/>
      <c r="H8" s="141">
        <f>AG209-E8</f>
        <v>690790.10710544977</v>
      </c>
      <c r="I8" s="142"/>
      <c r="J8" s="142">
        <f>AG209-E8</f>
        <v>690790.10710544977</v>
      </c>
      <c r="K8" s="142"/>
      <c r="L8" s="142"/>
      <c r="M8" s="142"/>
      <c r="N8" s="142"/>
      <c r="O8" s="142"/>
      <c r="P8" s="142">
        <f>AG209-E8</f>
        <v>690790.10710544977</v>
      </c>
      <c r="Q8" s="142"/>
      <c r="R8" s="142"/>
      <c r="S8" s="142"/>
      <c r="T8" s="410"/>
      <c r="U8" s="454" t="s">
        <v>1087</v>
      </c>
      <c r="V8" s="455"/>
      <c r="W8" s="455"/>
      <c r="X8" s="455"/>
      <c r="Y8" s="455"/>
      <c r="Z8" s="455"/>
      <c r="AA8" s="455"/>
      <c r="AB8" s="455"/>
      <c r="AC8" s="380"/>
      <c r="AD8" s="380"/>
      <c r="AE8" s="559"/>
      <c r="AF8" s="559"/>
      <c r="AG8" s="559"/>
      <c r="AH8" s="560"/>
    </row>
    <row r="9" spans="2:3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6"/>
      <c r="R9" s="26"/>
      <c r="S9" s="26"/>
      <c r="T9" s="27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</row>
    <row r="10" spans="2:3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543</v>
      </c>
      <c r="G10" s="509" t="s">
        <v>530</v>
      </c>
      <c r="H10" s="467"/>
      <c r="I10" s="467"/>
      <c r="J10" s="467"/>
      <c r="K10" s="467"/>
      <c r="L10" s="467"/>
      <c r="M10" s="467"/>
      <c r="N10" s="467"/>
      <c r="O10" s="467"/>
      <c r="P10" s="467"/>
      <c r="Q10" s="467"/>
      <c r="R10" s="467"/>
      <c r="S10" s="467"/>
      <c r="T10" s="467"/>
      <c r="U10" s="468" t="s">
        <v>531</v>
      </c>
      <c r="V10" s="469"/>
      <c r="W10" s="469"/>
      <c r="X10" s="469"/>
      <c r="Y10" s="469"/>
      <c r="Z10" s="469"/>
      <c r="AA10" s="469"/>
      <c r="AB10" s="469"/>
      <c r="AC10" s="469"/>
      <c r="AD10" s="469"/>
      <c r="AE10" s="469"/>
      <c r="AF10" s="469"/>
      <c r="AG10" s="510"/>
      <c r="AH10" s="470"/>
    </row>
    <row r="11" spans="2:34" ht="18" x14ac:dyDescent="0.25">
      <c r="B11" s="457"/>
      <c r="C11" s="457"/>
      <c r="D11" s="459"/>
      <c r="E11" s="457"/>
      <c r="F11" s="461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3" t="s">
        <v>988</v>
      </c>
      <c r="P11" s="33" t="s">
        <v>989</v>
      </c>
      <c r="Q11" s="33" t="s">
        <v>1016</v>
      </c>
      <c r="R11" s="33" t="s">
        <v>1089</v>
      </c>
      <c r="S11" s="34" t="s">
        <v>540</v>
      </c>
      <c r="T11" s="34" t="s">
        <v>541</v>
      </c>
      <c r="U11" s="35" t="s">
        <v>532</v>
      </c>
      <c r="V11" s="36" t="s">
        <v>593</v>
      </c>
      <c r="W11" s="36" t="s">
        <v>534</v>
      </c>
      <c r="X11" s="37" t="s">
        <v>535</v>
      </c>
      <c r="Y11" s="37" t="s">
        <v>536</v>
      </c>
      <c r="Z11" s="37" t="s">
        <v>537</v>
      </c>
      <c r="AA11" s="37" t="s">
        <v>538</v>
      </c>
      <c r="AB11" s="37" t="s">
        <v>539</v>
      </c>
      <c r="AC11" s="37" t="s">
        <v>988</v>
      </c>
      <c r="AD11" s="37" t="s">
        <v>989</v>
      </c>
      <c r="AE11" s="37" t="s">
        <v>1016</v>
      </c>
      <c r="AF11" s="37" t="s">
        <v>1089</v>
      </c>
      <c r="AG11" s="38" t="s">
        <v>540</v>
      </c>
      <c r="AH11" s="39" t="s">
        <v>541</v>
      </c>
    </row>
    <row r="12" spans="2:34" ht="14.45" customHeight="1" x14ac:dyDescent="0.25">
      <c r="B12" s="565">
        <v>1</v>
      </c>
      <c r="C12" s="566" t="s">
        <v>10</v>
      </c>
      <c r="D12" s="567"/>
      <c r="E12" s="568"/>
      <c r="F12" s="568"/>
      <c r="G12" s="569"/>
      <c r="H12" s="568"/>
      <c r="I12" s="568"/>
      <c r="J12" s="568"/>
      <c r="K12" s="568"/>
      <c r="L12" s="568"/>
      <c r="M12" s="568"/>
      <c r="N12" s="568"/>
      <c r="O12" s="568"/>
      <c r="P12" s="568"/>
      <c r="Q12" s="568"/>
      <c r="R12" s="568"/>
      <c r="S12" s="570"/>
      <c r="T12" s="570"/>
      <c r="U12" s="571"/>
      <c r="V12" s="572"/>
      <c r="W12" s="572"/>
      <c r="X12" s="572"/>
      <c r="Y12" s="572"/>
      <c r="Z12" s="572"/>
      <c r="AA12" s="572"/>
      <c r="AB12" s="571"/>
      <c r="AC12" s="571"/>
      <c r="AD12" s="571"/>
      <c r="AE12" s="571"/>
      <c r="AF12" s="571"/>
      <c r="AG12" s="571"/>
      <c r="AH12" s="573"/>
    </row>
    <row r="13" spans="2:34" x14ac:dyDescent="0.25">
      <c r="B13" s="565">
        <v>1.1000000000000001</v>
      </c>
      <c r="C13" s="566" t="s">
        <v>12</v>
      </c>
      <c r="D13" s="567"/>
      <c r="E13" s="568"/>
      <c r="F13" s="568"/>
      <c r="G13" s="574"/>
      <c r="H13" s="568"/>
      <c r="I13" s="568"/>
      <c r="J13" s="568"/>
      <c r="K13" s="568"/>
      <c r="L13" s="568"/>
      <c r="M13" s="568"/>
      <c r="N13" s="568"/>
      <c r="O13" s="568"/>
      <c r="P13" s="568"/>
      <c r="Q13" s="568"/>
      <c r="R13" s="568"/>
      <c r="S13" s="570"/>
      <c r="T13" s="570"/>
      <c r="U13" s="571"/>
      <c r="V13" s="572"/>
      <c r="W13" s="572"/>
      <c r="X13" s="572"/>
      <c r="Y13" s="572"/>
      <c r="Z13" s="572"/>
      <c r="AA13" s="572"/>
      <c r="AB13" s="571"/>
      <c r="AC13" s="571"/>
      <c r="AD13" s="571"/>
      <c r="AE13" s="571"/>
      <c r="AF13" s="571"/>
      <c r="AG13" s="571"/>
      <c r="AH13" s="573"/>
    </row>
    <row r="14" spans="2:34" ht="22.5" x14ac:dyDescent="0.25">
      <c r="B14" s="575" t="s">
        <v>13</v>
      </c>
      <c r="C14" s="576" t="s">
        <v>14</v>
      </c>
      <c r="D14" s="577" t="s">
        <v>15</v>
      </c>
      <c r="E14" s="578" t="s">
        <v>17</v>
      </c>
      <c r="F14" s="578">
        <v>414.1</v>
      </c>
      <c r="G14" s="578">
        <v>6</v>
      </c>
      <c r="H14" s="579">
        <f>'MEMORIAL DE CALCULO 01'!K14</f>
        <v>6</v>
      </c>
      <c r="I14" s="579"/>
      <c r="J14" s="579"/>
      <c r="K14" s="580"/>
      <c r="L14" s="580"/>
      <c r="M14" s="580"/>
      <c r="N14" s="578"/>
      <c r="O14" s="578"/>
      <c r="P14" s="580"/>
      <c r="Q14" s="580"/>
      <c r="R14" s="580">
        <f>VLOOKUP(B14,'MEMÓRIA MEDIÇÃO 11'!$A$4:$F$202,6,FALSE)</f>
        <v>0</v>
      </c>
      <c r="S14" s="578">
        <f>H14+I14+J14+K14+L14+M14+N14+O14+P14+Q14+R14</f>
        <v>6</v>
      </c>
      <c r="T14" s="578">
        <f t="shared" ref="T14:T19" si="0">G14-S14</f>
        <v>0</v>
      </c>
      <c r="U14" s="578">
        <f>TRUNC(F14*G14,2)</f>
        <v>2484.6</v>
      </c>
      <c r="V14" s="346">
        <f t="shared" ref="V14:V45" si="1">F14*H14</f>
        <v>2484.6000000000004</v>
      </c>
      <c r="W14" s="346">
        <f t="shared" ref="W14:W45" si="2">F14*I14</f>
        <v>0</v>
      </c>
      <c r="X14" s="346">
        <f>TRUNC(F14*J14,2)</f>
        <v>0</v>
      </c>
      <c r="Y14" s="346">
        <f t="shared" ref="Y14:Y45" si="3">TRUNC(F14*K14,2)</f>
        <v>0</v>
      </c>
      <c r="Z14" s="346">
        <f t="shared" ref="Z14:Z45" si="4">TRUNC(F14*L14,2)</f>
        <v>0</v>
      </c>
      <c r="AA14" s="346">
        <f t="shared" ref="AA14:AA59" si="5">M14*F14</f>
        <v>0</v>
      </c>
      <c r="AB14" s="346">
        <f>TRUNC(F14*N14,2)</f>
        <v>0</v>
      </c>
      <c r="AC14" s="346">
        <f>TRUNC(F14*O14,2)</f>
        <v>0</v>
      </c>
      <c r="AD14" s="346">
        <f>TRUNC(F14*P14,2)</f>
        <v>0</v>
      </c>
      <c r="AE14" s="346">
        <f>TRUNC(F14*Q14,2)</f>
        <v>0</v>
      </c>
      <c r="AF14" s="346">
        <f>ROUND(R14*F14,2)</f>
        <v>0</v>
      </c>
      <c r="AG14" s="581">
        <f>V14+W14+X14+Y14+Z14+AA14+AB14+AC14+AD14+AE14+AF14</f>
        <v>2484.6000000000004</v>
      </c>
      <c r="AH14" s="582">
        <f>U14-AG14</f>
        <v>0</v>
      </c>
    </row>
    <row r="15" spans="2:34" ht="22.5" x14ac:dyDescent="0.25">
      <c r="B15" s="575" t="s">
        <v>18</v>
      </c>
      <c r="C15" s="576">
        <v>93209</v>
      </c>
      <c r="D15" s="577" t="s">
        <v>20</v>
      </c>
      <c r="E15" s="578" t="s">
        <v>17</v>
      </c>
      <c r="F15" s="578">
        <v>947.21</v>
      </c>
      <c r="G15" s="578">
        <v>5</v>
      </c>
      <c r="H15" s="579">
        <v>2.25</v>
      </c>
      <c r="I15" s="579">
        <f>'MEMORIAL DE CALCULO 02'!K15</f>
        <v>2.75</v>
      </c>
      <c r="J15" s="579"/>
      <c r="K15" s="580"/>
      <c r="L15" s="580"/>
      <c r="M15" s="580"/>
      <c r="N15" s="578"/>
      <c r="O15" s="578"/>
      <c r="P15" s="580"/>
      <c r="Q15" s="580"/>
      <c r="R15" s="580">
        <f>VLOOKUP(B15,'MEMÓRIA MEDIÇÃO 11'!$A$4:$F$202,6,FALSE)</f>
        <v>0</v>
      </c>
      <c r="S15" s="578">
        <f t="shared" ref="S15:S78" si="6">H15+I15+J15+K15+L15+M15+N15+O15+P15+Q15+R15</f>
        <v>5</v>
      </c>
      <c r="T15" s="578">
        <f t="shared" si="0"/>
        <v>0</v>
      </c>
      <c r="U15" s="578">
        <f t="shared" ref="U15:U19" si="7">F15*G15</f>
        <v>4736.05</v>
      </c>
      <c r="V15" s="346">
        <f t="shared" si="1"/>
        <v>2131.2224999999999</v>
      </c>
      <c r="W15" s="346">
        <f t="shared" si="2"/>
        <v>2604.8275000000003</v>
      </c>
      <c r="X15" s="346">
        <f t="shared" ref="X15:X25" si="8">F15*J15</f>
        <v>0</v>
      </c>
      <c r="Y15" s="346">
        <f t="shared" si="3"/>
        <v>0</v>
      </c>
      <c r="Z15" s="346">
        <f t="shared" si="4"/>
        <v>0</v>
      </c>
      <c r="AA15" s="346">
        <f t="shared" si="5"/>
        <v>0</v>
      </c>
      <c r="AB15" s="346">
        <f t="shared" ref="AB15:AB46" si="9">F15*N15</f>
        <v>0</v>
      </c>
      <c r="AC15" s="346">
        <f t="shared" ref="AC15:AC78" si="10">TRUNC(F15*O15,2)</f>
        <v>0</v>
      </c>
      <c r="AD15" s="346">
        <f t="shared" ref="AD15:AD78" si="11">TRUNC(F15*P15,2)</f>
        <v>0</v>
      </c>
      <c r="AE15" s="346">
        <f t="shared" ref="AE15:AE78" si="12">TRUNC(F15*Q15,2)</f>
        <v>0</v>
      </c>
      <c r="AF15" s="346">
        <f t="shared" ref="AF15:AF78" si="13">ROUND(R15*F15,2)</f>
        <v>0</v>
      </c>
      <c r="AG15" s="581">
        <f t="shared" ref="AG15:AG78" si="14">V15+W15+X15+Y15+Z15+AA15+AB15+AC15+AD15+AE15+AF15</f>
        <v>4736.05</v>
      </c>
      <c r="AH15" s="582">
        <f t="shared" ref="AH15:AH78" si="15">U15-AG15</f>
        <v>0</v>
      </c>
    </row>
    <row r="16" spans="2:34" ht="33.75" x14ac:dyDescent="0.25">
      <c r="B16" s="575" t="s">
        <v>22</v>
      </c>
      <c r="C16" s="576">
        <v>93206</v>
      </c>
      <c r="D16" s="577" t="s">
        <v>23</v>
      </c>
      <c r="E16" s="578" t="s">
        <v>17</v>
      </c>
      <c r="F16" s="578">
        <v>1086.7</v>
      </c>
      <c r="G16" s="578">
        <v>5</v>
      </c>
      <c r="H16" s="579">
        <v>2.25</v>
      </c>
      <c r="I16" s="579">
        <f>'MEMORIAL DE CALCULO 02'!K16</f>
        <v>2.75</v>
      </c>
      <c r="J16" s="579"/>
      <c r="K16" s="580"/>
      <c r="L16" s="580"/>
      <c r="M16" s="580"/>
      <c r="N16" s="578"/>
      <c r="O16" s="578"/>
      <c r="P16" s="580"/>
      <c r="Q16" s="580"/>
      <c r="R16" s="580">
        <f>VLOOKUP(B16,'MEMÓRIA MEDIÇÃO 11'!$A$4:$F$202,6,FALSE)</f>
        <v>0</v>
      </c>
      <c r="S16" s="578">
        <f t="shared" si="6"/>
        <v>5</v>
      </c>
      <c r="T16" s="578">
        <f t="shared" si="0"/>
        <v>0</v>
      </c>
      <c r="U16" s="578">
        <f t="shared" si="7"/>
        <v>5433.5</v>
      </c>
      <c r="V16" s="346">
        <f t="shared" si="1"/>
        <v>2445.0750000000003</v>
      </c>
      <c r="W16" s="346">
        <f t="shared" si="2"/>
        <v>2988.4250000000002</v>
      </c>
      <c r="X16" s="346">
        <f t="shared" si="8"/>
        <v>0</v>
      </c>
      <c r="Y16" s="346">
        <f t="shared" si="3"/>
        <v>0</v>
      </c>
      <c r="Z16" s="346">
        <f t="shared" si="4"/>
        <v>0</v>
      </c>
      <c r="AA16" s="346">
        <f t="shared" si="5"/>
        <v>0</v>
      </c>
      <c r="AB16" s="346">
        <f t="shared" si="9"/>
        <v>0</v>
      </c>
      <c r="AC16" s="346">
        <f t="shared" si="10"/>
        <v>0</v>
      </c>
      <c r="AD16" s="346">
        <f t="shared" si="11"/>
        <v>0</v>
      </c>
      <c r="AE16" s="346">
        <f t="shared" si="12"/>
        <v>0</v>
      </c>
      <c r="AF16" s="346">
        <f t="shared" si="13"/>
        <v>0</v>
      </c>
      <c r="AG16" s="581">
        <f t="shared" si="14"/>
        <v>5433.5</v>
      </c>
      <c r="AH16" s="582">
        <f t="shared" si="15"/>
        <v>0</v>
      </c>
    </row>
    <row r="17" spans="1:37" ht="22.5" x14ac:dyDescent="0.25">
      <c r="B17" s="575" t="s">
        <v>24</v>
      </c>
      <c r="C17" s="576" t="s">
        <v>25</v>
      </c>
      <c r="D17" s="577" t="s">
        <v>26</v>
      </c>
      <c r="E17" s="578" t="s">
        <v>17</v>
      </c>
      <c r="F17" s="578">
        <v>102.24</v>
      </c>
      <c r="G17" s="578">
        <v>277.39999999999998</v>
      </c>
      <c r="H17" s="579">
        <v>258.39999999999998</v>
      </c>
      <c r="I17" s="579">
        <f>'MEMORIAL DE CALCULO 02'!K17</f>
        <v>19</v>
      </c>
      <c r="J17" s="579"/>
      <c r="K17" s="580"/>
      <c r="L17" s="580"/>
      <c r="M17" s="580"/>
      <c r="N17" s="578"/>
      <c r="O17" s="578"/>
      <c r="P17" s="580"/>
      <c r="Q17" s="580"/>
      <c r="R17" s="580">
        <f>VLOOKUP(B17,'MEMÓRIA MEDIÇÃO 11'!$A$4:$F$202,6,FALSE)</f>
        <v>0</v>
      </c>
      <c r="S17" s="578">
        <f t="shared" si="6"/>
        <v>277.39999999999998</v>
      </c>
      <c r="T17" s="578">
        <f t="shared" si="0"/>
        <v>0</v>
      </c>
      <c r="U17" s="578">
        <f t="shared" si="7"/>
        <v>28361.375999999997</v>
      </c>
      <c r="V17" s="346">
        <f t="shared" si="1"/>
        <v>26418.815999999995</v>
      </c>
      <c r="W17" s="346">
        <f t="shared" si="2"/>
        <v>1942.56</v>
      </c>
      <c r="X17" s="346">
        <f t="shared" si="8"/>
        <v>0</v>
      </c>
      <c r="Y17" s="346">
        <f t="shared" si="3"/>
        <v>0</v>
      </c>
      <c r="Z17" s="346">
        <f t="shared" si="4"/>
        <v>0</v>
      </c>
      <c r="AA17" s="346">
        <f t="shared" si="5"/>
        <v>0</v>
      </c>
      <c r="AB17" s="346">
        <f t="shared" si="9"/>
        <v>0</v>
      </c>
      <c r="AC17" s="346">
        <f t="shared" si="10"/>
        <v>0</v>
      </c>
      <c r="AD17" s="346">
        <f t="shared" si="11"/>
        <v>0</v>
      </c>
      <c r="AE17" s="346">
        <f t="shared" si="12"/>
        <v>0</v>
      </c>
      <c r="AF17" s="346">
        <f t="shared" si="13"/>
        <v>0</v>
      </c>
      <c r="AG17" s="581">
        <f t="shared" si="14"/>
        <v>28361.375999999997</v>
      </c>
      <c r="AH17" s="582">
        <f t="shared" si="15"/>
        <v>0</v>
      </c>
    </row>
    <row r="18" spans="1:37" s="164" customFormat="1" ht="22.5" x14ac:dyDescent="0.25">
      <c r="B18" s="575" t="s">
        <v>27</v>
      </c>
      <c r="C18" s="576">
        <v>98524</v>
      </c>
      <c r="D18" s="577" t="s">
        <v>28</v>
      </c>
      <c r="E18" s="578" t="s">
        <v>17</v>
      </c>
      <c r="F18" s="578">
        <v>2.29</v>
      </c>
      <c r="G18" s="578">
        <v>0</v>
      </c>
      <c r="H18" s="579"/>
      <c r="I18" s="579"/>
      <c r="J18" s="579"/>
      <c r="K18" s="580"/>
      <c r="L18" s="580"/>
      <c r="M18" s="580"/>
      <c r="N18" s="578"/>
      <c r="O18" s="578"/>
      <c r="P18" s="580"/>
      <c r="Q18" s="580"/>
      <c r="R18" s="580">
        <f>VLOOKUP(B18,'MEMÓRIA MEDIÇÃO 11'!$A$4:$F$202,6,FALSE)</f>
        <v>0</v>
      </c>
      <c r="S18" s="578">
        <f t="shared" si="6"/>
        <v>0</v>
      </c>
      <c r="T18" s="578">
        <f t="shared" si="0"/>
        <v>0</v>
      </c>
      <c r="U18" s="578">
        <f t="shared" si="7"/>
        <v>0</v>
      </c>
      <c r="V18" s="346">
        <f t="shared" si="1"/>
        <v>0</v>
      </c>
      <c r="W18" s="346">
        <f t="shared" si="2"/>
        <v>0</v>
      </c>
      <c r="X18" s="346">
        <f t="shared" si="8"/>
        <v>0</v>
      </c>
      <c r="Y18" s="346">
        <f t="shared" si="3"/>
        <v>0</v>
      </c>
      <c r="Z18" s="346">
        <f t="shared" si="4"/>
        <v>0</v>
      </c>
      <c r="AA18" s="346">
        <f t="shared" si="5"/>
        <v>0</v>
      </c>
      <c r="AB18" s="346">
        <f t="shared" si="9"/>
        <v>0</v>
      </c>
      <c r="AC18" s="346">
        <f t="shared" si="10"/>
        <v>0</v>
      </c>
      <c r="AD18" s="346">
        <f t="shared" si="11"/>
        <v>0</v>
      </c>
      <c r="AE18" s="346">
        <f t="shared" si="12"/>
        <v>0</v>
      </c>
      <c r="AF18" s="346">
        <f t="shared" si="13"/>
        <v>0</v>
      </c>
      <c r="AG18" s="581">
        <f t="shared" si="14"/>
        <v>0</v>
      </c>
      <c r="AH18" s="582">
        <f t="shared" si="15"/>
        <v>0</v>
      </c>
    </row>
    <row r="19" spans="1:37" s="164" customFormat="1" ht="22.5" x14ac:dyDescent="0.25">
      <c r="B19" s="575" t="s">
        <v>29</v>
      </c>
      <c r="C19" s="583">
        <v>100575</v>
      </c>
      <c r="D19" s="577" t="s">
        <v>31</v>
      </c>
      <c r="E19" s="578" t="s">
        <v>17</v>
      </c>
      <c r="F19" s="578">
        <v>0.12</v>
      </c>
      <c r="G19" s="578">
        <v>1430.2</v>
      </c>
      <c r="H19" s="579"/>
      <c r="I19" s="579"/>
      <c r="J19" s="579"/>
      <c r="K19" s="580"/>
      <c r="L19" s="580"/>
      <c r="M19" s="580"/>
      <c r="N19" s="578"/>
      <c r="O19" s="578"/>
      <c r="P19" s="580"/>
      <c r="Q19" s="580"/>
      <c r="R19" s="580">
        <f>VLOOKUP(B19,'MEMÓRIA MEDIÇÃO 11'!$A$4:$F$202,6,FALSE)</f>
        <v>0</v>
      </c>
      <c r="S19" s="578">
        <f t="shared" si="6"/>
        <v>0</v>
      </c>
      <c r="T19" s="578">
        <f t="shared" si="0"/>
        <v>1430.2</v>
      </c>
      <c r="U19" s="578">
        <f t="shared" si="7"/>
        <v>171.624</v>
      </c>
      <c r="V19" s="346">
        <f t="shared" si="1"/>
        <v>0</v>
      </c>
      <c r="W19" s="346">
        <f t="shared" si="2"/>
        <v>0</v>
      </c>
      <c r="X19" s="346">
        <f t="shared" si="8"/>
        <v>0</v>
      </c>
      <c r="Y19" s="346">
        <f t="shared" si="3"/>
        <v>0</v>
      </c>
      <c r="Z19" s="346">
        <f t="shared" si="4"/>
        <v>0</v>
      </c>
      <c r="AA19" s="346">
        <f t="shared" si="5"/>
        <v>0</v>
      </c>
      <c r="AB19" s="346">
        <f t="shared" si="9"/>
        <v>0</v>
      </c>
      <c r="AC19" s="346">
        <f t="shared" si="10"/>
        <v>0</v>
      </c>
      <c r="AD19" s="346">
        <f t="shared" si="11"/>
        <v>0</v>
      </c>
      <c r="AE19" s="346">
        <f t="shared" si="12"/>
        <v>0</v>
      </c>
      <c r="AF19" s="346">
        <f t="shared" si="13"/>
        <v>0</v>
      </c>
      <c r="AG19" s="581">
        <f t="shared" si="14"/>
        <v>0</v>
      </c>
      <c r="AH19" s="582">
        <f t="shared" si="15"/>
        <v>171.624</v>
      </c>
    </row>
    <row r="20" spans="1:37" ht="14.45" customHeight="1" x14ac:dyDescent="0.25">
      <c r="B20" s="584" t="s">
        <v>32</v>
      </c>
      <c r="C20" s="585" t="s">
        <v>33</v>
      </c>
      <c r="D20" s="577"/>
      <c r="E20" s="578"/>
      <c r="F20" s="578"/>
      <c r="G20" s="578"/>
      <c r="H20" s="579"/>
      <c r="I20" s="579"/>
      <c r="J20" s="579"/>
      <c r="K20" s="580"/>
      <c r="L20" s="580"/>
      <c r="M20" s="580"/>
      <c r="N20" s="578"/>
      <c r="O20" s="578"/>
      <c r="P20" s="580"/>
      <c r="Q20" s="580"/>
      <c r="R20" s="580">
        <f>VLOOKUP(B20,'MEMÓRIA MEDIÇÃO 11'!$A$4:$F$202,6,FALSE)</f>
        <v>0</v>
      </c>
      <c r="S20" s="578">
        <f t="shared" si="6"/>
        <v>0</v>
      </c>
      <c r="T20" s="578"/>
      <c r="U20" s="578"/>
      <c r="V20" s="346">
        <f t="shared" si="1"/>
        <v>0</v>
      </c>
      <c r="W20" s="346">
        <f t="shared" si="2"/>
        <v>0</v>
      </c>
      <c r="X20" s="346">
        <f t="shared" si="8"/>
        <v>0</v>
      </c>
      <c r="Y20" s="346">
        <f t="shared" si="3"/>
        <v>0</v>
      </c>
      <c r="Z20" s="346">
        <f t="shared" si="4"/>
        <v>0</v>
      </c>
      <c r="AA20" s="346">
        <f t="shared" si="5"/>
        <v>0</v>
      </c>
      <c r="AB20" s="346">
        <f t="shared" si="9"/>
        <v>0</v>
      </c>
      <c r="AC20" s="346">
        <f t="shared" si="10"/>
        <v>0</v>
      </c>
      <c r="AD20" s="346">
        <f t="shared" si="11"/>
        <v>0</v>
      </c>
      <c r="AE20" s="346">
        <f t="shared" si="12"/>
        <v>0</v>
      </c>
      <c r="AF20" s="346">
        <f t="shared" si="13"/>
        <v>0</v>
      </c>
      <c r="AG20" s="581">
        <f t="shared" si="14"/>
        <v>0</v>
      </c>
      <c r="AH20" s="582">
        <f t="shared" si="15"/>
        <v>0</v>
      </c>
    </row>
    <row r="21" spans="1:37" ht="32.450000000000003" customHeight="1" x14ac:dyDescent="0.25">
      <c r="B21" s="575" t="s">
        <v>34</v>
      </c>
      <c r="C21" s="583">
        <v>99059</v>
      </c>
      <c r="D21" s="577" t="s">
        <v>36</v>
      </c>
      <c r="E21" s="578" t="s">
        <v>37</v>
      </c>
      <c r="F21" s="578">
        <v>52.4</v>
      </c>
      <c r="G21" s="578">
        <v>137.5</v>
      </c>
      <c r="H21" s="579">
        <f>'MEMORIAL DE CALCULO 01'!K22</f>
        <v>137.5</v>
      </c>
      <c r="I21" s="579"/>
      <c r="J21" s="579"/>
      <c r="K21" s="580"/>
      <c r="L21" s="580"/>
      <c r="M21" s="580"/>
      <c r="N21" s="578"/>
      <c r="O21" s="578"/>
      <c r="P21" s="580"/>
      <c r="Q21" s="580"/>
      <c r="R21" s="580">
        <f>VLOOKUP(B21,'MEMÓRIA MEDIÇÃO 11'!$A$4:$F$202,6,FALSE)</f>
        <v>0</v>
      </c>
      <c r="S21" s="578">
        <f t="shared" si="6"/>
        <v>137.5</v>
      </c>
      <c r="T21" s="578">
        <f>G21-S21</f>
        <v>0</v>
      </c>
      <c r="U21" s="578">
        <f>F21*G21</f>
        <v>7205</v>
      </c>
      <c r="V21" s="346">
        <f t="shared" si="1"/>
        <v>7205</v>
      </c>
      <c r="W21" s="346">
        <f t="shared" si="2"/>
        <v>0</v>
      </c>
      <c r="X21" s="346">
        <f t="shared" si="8"/>
        <v>0</v>
      </c>
      <c r="Y21" s="346">
        <f t="shared" si="3"/>
        <v>0</v>
      </c>
      <c r="Z21" s="346">
        <f t="shared" si="4"/>
        <v>0</v>
      </c>
      <c r="AA21" s="346">
        <f t="shared" si="5"/>
        <v>0</v>
      </c>
      <c r="AB21" s="346">
        <f t="shared" si="9"/>
        <v>0</v>
      </c>
      <c r="AC21" s="346">
        <f t="shared" si="10"/>
        <v>0</v>
      </c>
      <c r="AD21" s="346">
        <f t="shared" si="11"/>
        <v>0</v>
      </c>
      <c r="AE21" s="346">
        <f t="shared" si="12"/>
        <v>0</v>
      </c>
      <c r="AF21" s="346">
        <f t="shared" si="13"/>
        <v>0</v>
      </c>
      <c r="AG21" s="581">
        <f t="shared" si="14"/>
        <v>7205</v>
      </c>
      <c r="AH21" s="582">
        <f t="shared" si="15"/>
        <v>0</v>
      </c>
    </row>
    <row r="22" spans="1:37" s="168" customFormat="1" ht="22.5" x14ac:dyDescent="0.25">
      <c r="A22" s="163"/>
      <c r="B22" s="586" t="s">
        <v>38</v>
      </c>
      <c r="C22" s="583">
        <v>93358</v>
      </c>
      <c r="D22" s="577" t="s">
        <v>40</v>
      </c>
      <c r="E22" s="578" t="s">
        <v>41</v>
      </c>
      <c r="F22" s="578">
        <v>64.95</v>
      </c>
      <c r="G22" s="578">
        <v>89.01</v>
      </c>
      <c r="H22" s="579">
        <f>'MEMORIAL DE CALCULO 01'!K23</f>
        <v>69.939250000000001</v>
      </c>
      <c r="I22" s="579">
        <f>'MEMORIAL DE CALCULO 02'!K25</f>
        <v>1.2053699999999998</v>
      </c>
      <c r="J22" s="579">
        <f>'MEMORIAL DE CALCULO 03'!K25</f>
        <v>14.04</v>
      </c>
      <c r="K22" s="580"/>
      <c r="L22" s="580"/>
      <c r="M22" s="580"/>
      <c r="N22" s="578"/>
      <c r="O22" s="578"/>
      <c r="P22" s="580"/>
      <c r="Q22" s="580"/>
      <c r="R22" s="580">
        <f>VLOOKUP(B22,'MEMÓRIA MEDIÇÃO 11'!$A$4:$F$202,6,FALSE)</f>
        <v>0</v>
      </c>
      <c r="S22" s="578">
        <f t="shared" si="6"/>
        <v>85.184619999999995</v>
      </c>
      <c r="T22" s="578">
        <f>G22-S22</f>
        <v>3.8253800000000098</v>
      </c>
      <c r="U22" s="578">
        <f>F22*G22</f>
        <v>5781.1995000000006</v>
      </c>
      <c r="V22" s="346">
        <f t="shared" si="1"/>
        <v>4542.5542875000001</v>
      </c>
      <c r="W22" s="346">
        <f t="shared" si="2"/>
        <v>78.288781499999999</v>
      </c>
      <c r="X22" s="346">
        <f t="shared" si="8"/>
        <v>911.89800000000002</v>
      </c>
      <c r="Y22" s="346">
        <f t="shared" si="3"/>
        <v>0</v>
      </c>
      <c r="Z22" s="346">
        <f t="shared" si="4"/>
        <v>0</v>
      </c>
      <c r="AA22" s="346">
        <f t="shared" si="5"/>
        <v>0</v>
      </c>
      <c r="AB22" s="346">
        <f t="shared" si="9"/>
        <v>0</v>
      </c>
      <c r="AC22" s="346">
        <f t="shared" si="10"/>
        <v>0</v>
      </c>
      <c r="AD22" s="346">
        <f t="shared" si="11"/>
        <v>0</v>
      </c>
      <c r="AE22" s="346">
        <f t="shared" si="12"/>
        <v>0</v>
      </c>
      <c r="AF22" s="346">
        <f t="shared" si="13"/>
        <v>0</v>
      </c>
      <c r="AG22" s="581">
        <f t="shared" si="14"/>
        <v>5532.7410690000006</v>
      </c>
      <c r="AH22" s="582">
        <f t="shared" si="15"/>
        <v>248.45843100000002</v>
      </c>
      <c r="AI22" s="163"/>
      <c r="AJ22" s="163"/>
      <c r="AK22" s="163"/>
    </row>
    <row r="23" spans="1:37" s="168" customFormat="1" x14ac:dyDescent="0.25">
      <c r="A23" s="163"/>
      <c r="B23" s="575" t="s">
        <v>42</v>
      </c>
      <c r="C23" s="583">
        <v>96995</v>
      </c>
      <c r="D23" s="577" t="s">
        <v>44</v>
      </c>
      <c r="E23" s="578" t="s">
        <v>41</v>
      </c>
      <c r="F23" s="578">
        <v>39.369999999999997</v>
      </c>
      <c r="G23" s="578">
        <v>44.26</v>
      </c>
      <c r="H23" s="579"/>
      <c r="I23" s="579"/>
      <c r="J23" s="579">
        <f>'MEMORIAL DE CALCULO 03'!K68</f>
        <v>43.05</v>
      </c>
      <c r="K23" s="580"/>
      <c r="L23" s="580"/>
      <c r="M23" s="580"/>
      <c r="N23" s="578"/>
      <c r="O23" s="578"/>
      <c r="P23" s="580"/>
      <c r="Q23" s="580"/>
      <c r="R23" s="580">
        <f>VLOOKUP(B23,'MEMÓRIA MEDIÇÃO 11'!$A$4:$F$202,6,FALSE)</f>
        <v>0</v>
      </c>
      <c r="S23" s="578">
        <f t="shared" si="6"/>
        <v>43.05</v>
      </c>
      <c r="T23" s="578">
        <f>G23-S23</f>
        <v>1.2100000000000009</v>
      </c>
      <c r="U23" s="578">
        <f>F23*G23</f>
        <v>1742.5161999999998</v>
      </c>
      <c r="V23" s="346">
        <f t="shared" si="1"/>
        <v>0</v>
      </c>
      <c r="W23" s="346">
        <f t="shared" si="2"/>
        <v>0</v>
      </c>
      <c r="X23" s="346">
        <f t="shared" si="8"/>
        <v>1694.8784999999998</v>
      </c>
      <c r="Y23" s="346">
        <f t="shared" si="3"/>
        <v>0</v>
      </c>
      <c r="Z23" s="346">
        <f t="shared" si="4"/>
        <v>0</v>
      </c>
      <c r="AA23" s="346">
        <f t="shared" si="5"/>
        <v>0</v>
      </c>
      <c r="AB23" s="346">
        <f t="shared" si="9"/>
        <v>0</v>
      </c>
      <c r="AC23" s="346">
        <f t="shared" si="10"/>
        <v>0</v>
      </c>
      <c r="AD23" s="346">
        <f t="shared" si="11"/>
        <v>0</v>
      </c>
      <c r="AE23" s="346">
        <f t="shared" si="12"/>
        <v>0</v>
      </c>
      <c r="AF23" s="346">
        <f t="shared" si="13"/>
        <v>0</v>
      </c>
      <c r="AG23" s="581">
        <f t="shared" si="14"/>
        <v>1694.8784999999998</v>
      </c>
      <c r="AH23" s="582">
        <f t="shared" si="15"/>
        <v>47.637699999999995</v>
      </c>
      <c r="AI23" s="163"/>
      <c r="AJ23" s="163"/>
      <c r="AK23" s="163"/>
    </row>
    <row r="24" spans="1:37" s="169" customFormat="1" ht="22.5" x14ac:dyDescent="0.25">
      <c r="A24" s="164"/>
      <c r="B24" s="575" t="s">
        <v>45</v>
      </c>
      <c r="C24" s="583">
        <v>94319</v>
      </c>
      <c r="D24" s="577" t="s">
        <v>47</v>
      </c>
      <c r="E24" s="578" t="s">
        <v>41</v>
      </c>
      <c r="F24" s="578">
        <v>74.510000000000005</v>
      </c>
      <c r="G24" s="578">
        <v>0</v>
      </c>
      <c r="H24" s="579"/>
      <c r="I24" s="579"/>
      <c r="J24" s="579"/>
      <c r="K24" s="580">
        <v>0</v>
      </c>
      <c r="L24" s="580"/>
      <c r="M24" s="580"/>
      <c r="N24" s="578"/>
      <c r="O24" s="578"/>
      <c r="P24" s="580"/>
      <c r="Q24" s="580"/>
      <c r="R24" s="580">
        <f>VLOOKUP(B24,'MEMÓRIA MEDIÇÃO 11'!$A$4:$F$202,6,FALSE)</f>
        <v>0</v>
      </c>
      <c r="S24" s="578">
        <f t="shared" si="6"/>
        <v>0</v>
      </c>
      <c r="T24" s="578">
        <f>G24-S24</f>
        <v>0</v>
      </c>
      <c r="U24" s="578">
        <f>F24*G24</f>
        <v>0</v>
      </c>
      <c r="V24" s="346">
        <f t="shared" si="1"/>
        <v>0</v>
      </c>
      <c r="W24" s="346">
        <f t="shared" si="2"/>
        <v>0</v>
      </c>
      <c r="X24" s="346">
        <f t="shared" si="8"/>
        <v>0</v>
      </c>
      <c r="Y24" s="346">
        <f t="shared" si="3"/>
        <v>0</v>
      </c>
      <c r="Z24" s="346">
        <f t="shared" si="4"/>
        <v>0</v>
      </c>
      <c r="AA24" s="346">
        <f t="shared" si="5"/>
        <v>0</v>
      </c>
      <c r="AB24" s="346">
        <f t="shared" si="9"/>
        <v>0</v>
      </c>
      <c r="AC24" s="346">
        <f t="shared" si="10"/>
        <v>0</v>
      </c>
      <c r="AD24" s="346">
        <f t="shared" si="11"/>
        <v>0</v>
      </c>
      <c r="AE24" s="346">
        <f t="shared" si="12"/>
        <v>0</v>
      </c>
      <c r="AF24" s="346">
        <f t="shared" si="13"/>
        <v>0</v>
      </c>
      <c r="AG24" s="581">
        <f t="shared" si="14"/>
        <v>0</v>
      </c>
      <c r="AH24" s="582">
        <f t="shared" si="15"/>
        <v>0</v>
      </c>
      <c r="AI24" s="164"/>
      <c r="AJ24" s="164"/>
      <c r="AK24" s="164"/>
    </row>
    <row r="25" spans="1:37" s="167" customFormat="1" x14ac:dyDescent="0.25">
      <c r="A25"/>
      <c r="B25" s="584" t="s">
        <v>48</v>
      </c>
      <c r="C25" s="585" t="s">
        <v>49</v>
      </c>
      <c r="D25" s="577"/>
      <c r="E25" s="578"/>
      <c r="F25" s="578"/>
      <c r="G25" s="578"/>
      <c r="H25" s="579"/>
      <c r="I25" s="579"/>
      <c r="J25" s="579"/>
      <c r="K25" s="580"/>
      <c r="L25" s="580"/>
      <c r="M25" s="580"/>
      <c r="N25" s="578"/>
      <c r="O25" s="578"/>
      <c r="P25" s="580"/>
      <c r="Q25" s="580"/>
      <c r="R25" s="580">
        <f>VLOOKUP(B25,'MEMÓRIA MEDIÇÃO 11'!$A$4:$F$202,6,FALSE)</f>
        <v>0</v>
      </c>
      <c r="S25" s="578">
        <f t="shared" si="6"/>
        <v>0</v>
      </c>
      <c r="T25" s="578"/>
      <c r="U25" s="578"/>
      <c r="V25" s="346">
        <f t="shared" si="1"/>
        <v>0</v>
      </c>
      <c r="W25" s="346">
        <f t="shared" si="2"/>
        <v>0</v>
      </c>
      <c r="X25" s="346">
        <f t="shared" si="8"/>
        <v>0</v>
      </c>
      <c r="Y25" s="346">
        <f t="shared" si="3"/>
        <v>0</v>
      </c>
      <c r="Z25" s="346">
        <f t="shared" si="4"/>
        <v>0</v>
      </c>
      <c r="AA25" s="346">
        <f t="shared" si="5"/>
        <v>0</v>
      </c>
      <c r="AB25" s="346">
        <f t="shared" si="9"/>
        <v>0</v>
      </c>
      <c r="AC25" s="346">
        <f t="shared" si="10"/>
        <v>0</v>
      </c>
      <c r="AD25" s="346">
        <f t="shared" si="11"/>
        <v>0</v>
      </c>
      <c r="AE25" s="346">
        <f t="shared" si="12"/>
        <v>0</v>
      </c>
      <c r="AF25" s="346">
        <f t="shared" si="13"/>
        <v>0</v>
      </c>
      <c r="AG25" s="581">
        <f t="shared" si="14"/>
        <v>0</v>
      </c>
      <c r="AH25" s="582">
        <f t="shared" si="15"/>
        <v>0</v>
      </c>
      <c r="AI25"/>
      <c r="AJ25"/>
      <c r="AK25"/>
    </row>
    <row r="26" spans="1:37" s="168" customFormat="1" ht="43.15" customHeight="1" x14ac:dyDescent="0.25">
      <c r="A26" s="163"/>
      <c r="B26" s="575" t="s">
        <v>50</v>
      </c>
      <c r="C26" s="576" t="s">
        <v>51</v>
      </c>
      <c r="D26" s="577" t="s">
        <v>52</v>
      </c>
      <c r="E26" s="578" t="s">
        <v>41</v>
      </c>
      <c r="F26" s="578">
        <v>411.48</v>
      </c>
      <c r="G26" s="578">
        <v>55.32</v>
      </c>
      <c r="H26" s="579"/>
      <c r="I26" s="579">
        <f>'MEMORIAL DE CALCULO 02'!K54</f>
        <v>7.3434100000000004</v>
      </c>
      <c r="J26" s="579">
        <v>6.6420000000000003</v>
      </c>
      <c r="K26" s="580"/>
      <c r="L26" s="580"/>
      <c r="M26" s="580"/>
      <c r="N26" s="578"/>
      <c r="O26" s="578"/>
      <c r="P26" s="580"/>
      <c r="Q26" s="580">
        <v>37.71</v>
      </c>
      <c r="R26" s="580">
        <f>VLOOKUP(B26,'MEMÓRIA MEDIÇÃO 11'!$A$4:$F$202,6,FALSE)</f>
        <v>0</v>
      </c>
      <c r="S26" s="578">
        <f t="shared" si="6"/>
        <v>51.695410000000003</v>
      </c>
      <c r="T26" s="578">
        <f t="shared" ref="T26:T38" si="16">G26-S26</f>
        <v>3.6245899999999978</v>
      </c>
      <c r="U26" s="578">
        <f t="shared" ref="U26:U38" si="17">F26*G26</f>
        <v>22763.0736</v>
      </c>
      <c r="V26" s="346">
        <f t="shared" si="1"/>
        <v>0</v>
      </c>
      <c r="W26" s="346">
        <f t="shared" si="2"/>
        <v>3021.6663468000002</v>
      </c>
      <c r="X26" s="346">
        <f>TRUNC(F26*J26,2)</f>
        <v>2733.05</v>
      </c>
      <c r="Y26" s="346">
        <f t="shared" si="3"/>
        <v>0</v>
      </c>
      <c r="Z26" s="346">
        <f t="shared" si="4"/>
        <v>0</v>
      </c>
      <c r="AA26" s="346">
        <f t="shared" si="5"/>
        <v>0</v>
      </c>
      <c r="AB26" s="346">
        <f t="shared" si="9"/>
        <v>0</v>
      </c>
      <c r="AC26" s="346">
        <f t="shared" si="10"/>
        <v>0</v>
      </c>
      <c r="AD26" s="346">
        <f t="shared" si="11"/>
        <v>0</v>
      </c>
      <c r="AE26" s="346">
        <f t="shared" si="12"/>
        <v>15516.91</v>
      </c>
      <c r="AF26" s="346">
        <f t="shared" si="13"/>
        <v>0</v>
      </c>
      <c r="AG26" s="581">
        <f t="shared" si="14"/>
        <v>21271.6263468</v>
      </c>
      <c r="AH26" s="582">
        <f t="shared" si="15"/>
        <v>1491.4472532</v>
      </c>
      <c r="AI26" s="163"/>
      <c r="AJ26" s="163"/>
      <c r="AK26" s="163"/>
    </row>
    <row r="27" spans="1:37" ht="25.15" customHeight="1" x14ac:dyDescent="0.25">
      <c r="B27" s="575" t="s">
        <v>53</v>
      </c>
      <c r="C27" s="583">
        <v>101616</v>
      </c>
      <c r="D27" s="577" t="s">
        <v>55</v>
      </c>
      <c r="E27" s="578" t="s">
        <v>17</v>
      </c>
      <c r="F27" s="578">
        <v>4.91</v>
      </c>
      <c r="G27" s="578">
        <v>37.81</v>
      </c>
      <c r="H27" s="579"/>
      <c r="I27" s="579">
        <v>37.81</v>
      </c>
      <c r="J27" s="579"/>
      <c r="K27" s="580"/>
      <c r="L27" s="580"/>
      <c r="M27" s="580"/>
      <c r="N27" s="578"/>
      <c r="O27" s="578"/>
      <c r="P27" s="580"/>
      <c r="Q27" s="580"/>
      <c r="R27" s="580">
        <f>VLOOKUP(B27,'MEMÓRIA MEDIÇÃO 11'!$A$4:$F$202,6,FALSE)</f>
        <v>0</v>
      </c>
      <c r="S27" s="578">
        <f t="shared" si="6"/>
        <v>37.81</v>
      </c>
      <c r="T27" s="578">
        <f t="shared" si="16"/>
        <v>0</v>
      </c>
      <c r="U27" s="578">
        <f t="shared" si="17"/>
        <v>185.64710000000002</v>
      </c>
      <c r="V27" s="346">
        <f t="shared" si="1"/>
        <v>0</v>
      </c>
      <c r="W27" s="346">
        <f t="shared" si="2"/>
        <v>185.64710000000002</v>
      </c>
      <c r="X27" s="346">
        <f t="shared" ref="X27:X58" si="18">F27*J27</f>
        <v>0</v>
      </c>
      <c r="Y27" s="346">
        <f t="shared" si="3"/>
        <v>0</v>
      </c>
      <c r="Z27" s="346">
        <f t="shared" si="4"/>
        <v>0</v>
      </c>
      <c r="AA27" s="346">
        <f t="shared" si="5"/>
        <v>0</v>
      </c>
      <c r="AB27" s="346">
        <f t="shared" si="9"/>
        <v>0</v>
      </c>
      <c r="AC27" s="346">
        <f t="shared" si="10"/>
        <v>0</v>
      </c>
      <c r="AD27" s="346">
        <f t="shared" si="11"/>
        <v>0</v>
      </c>
      <c r="AE27" s="346">
        <f t="shared" si="12"/>
        <v>0</v>
      </c>
      <c r="AF27" s="346">
        <f t="shared" si="13"/>
        <v>0</v>
      </c>
      <c r="AG27" s="581">
        <f t="shared" si="14"/>
        <v>185.64710000000002</v>
      </c>
      <c r="AH27" s="582">
        <f t="shared" si="15"/>
        <v>0</v>
      </c>
    </row>
    <row r="28" spans="1:37" s="164" customFormat="1" ht="30" customHeight="1" x14ac:dyDescent="0.25">
      <c r="B28" s="575" t="s">
        <v>56</v>
      </c>
      <c r="C28" s="583">
        <v>96619</v>
      </c>
      <c r="D28" s="587" t="s">
        <v>58</v>
      </c>
      <c r="E28" s="578" t="s">
        <v>17</v>
      </c>
      <c r="F28" s="578">
        <v>30.67</v>
      </c>
      <c r="G28" s="578">
        <v>77.41</v>
      </c>
      <c r="H28" s="579"/>
      <c r="I28" s="579">
        <v>37.81</v>
      </c>
      <c r="J28" s="579"/>
      <c r="K28" s="588"/>
      <c r="L28" s="588"/>
      <c r="M28" s="588"/>
      <c r="N28" s="588"/>
      <c r="O28" s="588"/>
      <c r="P28" s="588"/>
      <c r="Q28" s="588"/>
      <c r="R28" s="580">
        <f>VLOOKUP(B28,'MEMÓRIA MEDIÇÃO 11'!$A$4:$F$202,6,FALSE)</f>
        <v>0</v>
      </c>
      <c r="S28" s="578">
        <f t="shared" si="6"/>
        <v>37.81</v>
      </c>
      <c r="T28" s="578">
        <f t="shared" si="16"/>
        <v>39.599999999999994</v>
      </c>
      <c r="U28" s="578">
        <f t="shared" si="17"/>
        <v>2374.1646999999998</v>
      </c>
      <c r="V28" s="346">
        <f t="shared" si="1"/>
        <v>0</v>
      </c>
      <c r="W28" s="346">
        <f t="shared" si="2"/>
        <v>1159.6327000000001</v>
      </c>
      <c r="X28" s="346">
        <f t="shared" si="18"/>
        <v>0</v>
      </c>
      <c r="Y28" s="346">
        <f t="shared" si="3"/>
        <v>0</v>
      </c>
      <c r="Z28" s="346">
        <f t="shared" si="4"/>
        <v>0</v>
      </c>
      <c r="AA28" s="346">
        <f t="shared" si="5"/>
        <v>0</v>
      </c>
      <c r="AB28" s="346">
        <f t="shared" si="9"/>
        <v>0</v>
      </c>
      <c r="AC28" s="346">
        <f t="shared" si="10"/>
        <v>0</v>
      </c>
      <c r="AD28" s="346">
        <f t="shared" si="11"/>
        <v>0</v>
      </c>
      <c r="AE28" s="346">
        <f t="shared" si="12"/>
        <v>0</v>
      </c>
      <c r="AF28" s="346">
        <f t="shared" si="13"/>
        <v>0</v>
      </c>
      <c r="AG28" s="581">
        <f t="shared" si="14"/>
        <v>1159.6327000000001</v>
      </c>
      <c r="AH28" s="582">
        <f t="shared" si="15"/>
        <v>1214.5319999999997</v>
      </c>
    </row>
    <row r="29" spans="1:37" s="163" customFormat="1" ht="22.5" x14ac:dyDescent="0.25">
      <c r="B29" s="575" t="s">
        <v>59</v>
      </c>
      <c r="C29" s="583">
        <v>96545</v>
      </c>
      <c r="D29" s="577" t="s">
        <v>61</v>
      </c>
      <c r="E29" s="578" t="s">
        <v>62</v>
      </c>
      <c r="F29" s="578">
        <v>15.99</v>
      </c>
      <c r="G29" s="578">
        <v>555.04999999999995</v>
      </c>
      <c r="H29" s="579"/>
      <c r="I29" s="579">
        <f>'MEMORIAL DE CALCULO 02'!K90</f>
        <v>44.520449999999997</v>
      </c>
      <c r="J29" s="579">
        <v>492.77940000000001</v>
      </c>
      <c r="K29" s="580"/>
      <c r="L29" s="580"/>
      <c r="M29" s="580"/>
      <c r="N29" s="578"/>
      <c r="O29" s="578"/>
      <c r="P29" s="580"/>
      <c r="Q29" s="580">
        <v>17.75</v>
      </c>
      <c r="R29" s="580">
        <f>VLOOKUP(B29,'MEMÓRIA MEDIÇÃO 11'!$A$4:$F$202,6,FALSE)</f>
        <v>0</v>
      </c>
      <c r="S29" s="578">
        <f t="shared" si="6"/>
        <v>555.04984999999999</v>
      </c>
      <c r="T29" s="578">
        <f t="shared" si="16"/>
        <v>1.4999999996234692E-4</v>
      </c>
      <c r="U29" s="578">
        <f t="shared" si="17"/>
        <v>8875.2494999999999</v>
      </c>
      <c r="V29" s="346">
        <f t="shared" si="1"/>
        <v>0</v>
      </c>
      <c r="W29" s="346">
        <f t="shared" si="2"/>
        <v>711.8819954999999</v>
      </c>
      <c r="X29" s="346">
        <f t="shared" si="18"/>
        <v>7879.542606</v>
      </c>
      <c r="Y29" s="346">
        <f t="shared" si="3"/>
        <v>0</v>
      </c>
      <c r="Z29" s="346">
        <f t="shared" si="4"/>
        <v>0</v>
      </c>
      <c r="AA29" s="346">
        <f t="shared" si="5"/>
        <v>0</v>
      </c>
      <c r="AB29" s="346">
        <f t="shared" si="9"/>
        <v>0</v>
      </c>
      <c r="AC29" s="346">
        <f t="shared" si="10"/>
        <v>0</v>
      </c>
      <c r="AD29" s="346">
        <f t="shared" si="11"/>
        <v>0</v>
      </c>
      <c r="AE29" s="346">
        <f t="shared" si="12"/>
        <v>283.82</v>
      </c>
      <c r="AF29" s="346">
        <f t="shared" si="13"/>
        <v>0</v>
      </c>
      <c r="AG29" s="581">
        <f t="shared" si="14"/>
        <v>8875.2446014999987</v>
      </c>
      <c r="AH29" s="582">
        <f t="shared" si="15"/>
        <v>4.8985000012180535E-3</v>
      </c>
    </row>
    <row r="30" spans="1:37" s="163" customFormat="1" ht="33.75" x14ac:dyDescent="0.25">
      <c r="B30" s="575" t="s">
        <v>63</v>
      </c>
      <c r="C30" s="583">
        <v>94966</v>
      </c>
      <c r="D30" s="577" t="s">
        <v>65</v>
      </c>
      <c r="E30" s="578" t="s">
        <v>41</v>
      </c>
      <c r="F30" s="578">
        <v>530.88</v>
      </c>
      <c r="G30" s="578">
        <v>22.89</v>
      </c>
      <c r="H30" s="579"/>
      <c r="I30" s="579">
        <f>'MEMORIAL DE CALCULO 02'!K99</f>
        <v>8.4130549999999982</v>
      </c>
      <c r="J30" s="579">
        <v>12.746919999999999</v>
      </c>
      <c r="K30" s="580"/>
      <c r="L30" s="580"/>
      <c r="M30" s="580"/>
      <c r="N30" s="578"/>
      <c r="O30" s="578"/>
      <c r="P30" s="580"/>
      <c r="Q30" s="580">
        <v>1.73</v>
      </c>
      <c r="R30" s="580">
        <f>VLOOKUP(B30,'MEMÓRIA MEDIÇÃO 11'!$A$4:$F$202,6,FALSE)</f>
        <v>0</v>
      </c>
      <c r="S30" s="578">
        <f t="shared" si="6"/>
        <v>22.889974999999996</v>
      </c>
      <c r="T30" s="578">
        <f t="shared" si="16"/>
        <v>2.5000000004382628E-5</v>
      </c>
      <c r="U30" s="578">
        <f t="shared" si="17"/>
        <v>12151.843199999999</v>
      </c>
      <c r="V30" s="346">
        <f t="shared" si="1"/>
        <v>0</v>
      </c>
      <c r="W30" s="346">
        <f t="shared" si="2"/>
        <v>4466.3226383999991</v>
      </c>
      <c r="X30" s="346">
        <f t="shared" si="18"/>
        <v>6767.0848895999998</v>
      </c>
      <c r="Y30" s="346">
        <f t="shared" si="3"/>
        <v>0</v>
      </c>
      <c r="Z30" s="346">
        <f t="shared" si="4"/>
        <v>0</v>
      </c>
      <c r="AA30" s="346">
        <f t="shared" si="5"/>
        <v>0</v>
      </c>
      <c r="AB30" s="346">
        <f t="shared" si="9"/>
        <v>0</v>
      </c>
      <c r="AC30" s="346">
        <f t="shared" si="10"/>
        <v>0</v>
      </c>
      <c r="AD30" s="346">
        <f t="shared" si="11"/>
        <v>0</v>
      </c>
      <c r="AE30" s="346">
        <f t="shared" si="12"/>
        <v>918.42</v>
      </c>
      <c r="AF30" s="346">
        <f t="shared" si="13"/>
        <v>0</v>
      </c>
      <c r="AG30" s="581">
        <f t="shared" si="14"/>
        <v>12151.827528</v>
      </c>
      <c r="AH30" s="582">
        <f t="shared" si="15"/>
        <v>1.5671999999540276E-2</v>
      </c>
    </row>
    <row r="31" spans="1:37" ht="33.75" x14ac:dyDescent="0.25">
      <c r="B31" s="575" t="s">
        <v>66</v>
      </c>
      <c r="C31" s="583">
        <v>94964</v>
      </c>
      <c r="D31" s="577" t="s">
        <v>68</v>
      </c>
      <c r="E31" s="578" t="s">
        <v>41</v>
      </c>
      <c r="F31" s="578">
        <v>488.69</v>
      </c>
      <c r="G31" s="578">
        <v>9.6</v>
      </c>
      <c r="H31" s="579"/>
      <c r="I31" s="579"/>
      <c r="J31" s="579">
        <v>9.6</v>
      </c>
      <c r="K31" s="580"/>
      <c r="L31" s="580"/>
      <c r="M31" s="580"/>
      <c r="N31" s="578"/>
      <c r="O31" s="578"/>
      <c r="P31" s="580"/>
      <c r="Q31" s="580"/>
      <c r="R31" s="580">
        <f>VLOOKUP(B31,'MEMÓRIA MEDIÇÃO 11'!$A$4:$F$202,6,FALSE)</f>
        <v>0</v>
      </c>
      <c r="S31" s="578">
        <f t="shared" si="6"/>
        <v>9.6</v>
      </c>
      <c r="T31" s="578">
        <f t="shared" si="16"/>
        <v>0</v>
      </c>
      <c r="U31" s="578">
        <f t="shared" si="17"/>
        <v>4691.424</v>
      </c>
      <c r="V31" s="346">
        <f t="shared" si="1"/>
        <v>0</v>
      </c>
      <c r="W31" s="346">
        <f t="shared" si="2"/>
        <v>0</v>
      </c>
      <c r="X31" s="346">
        <f t="shared" si="18"/>
        <v>4691.424</v>
      </c>
      <c r="Y31" s="346">
        <f t="shared" si="3"/>
        <v>0</v>
      </c>
      <c r="Z31" s="346">
        <f t="shared" si="4"/>
        <v>0</v>
      </c>
      <c r="AA31" s="346">
        <f t="shared" si="5"/>
        <v>0</v>
      </c>
      <c r="AB31" s="346">
        <f t="shared" si="9"/>
        <v>0</v>
      </c>
      <c r="AC31" s="346">
        <f t="shared" si="10"/>
        <v>0</v>
      </c>
      <c r="AD31" s="346">
        <f t="shared" si="11"/>
        <v>0</v>
      </c>
      <c r="AE31" s="346">
        <f t="shared" si="12"/>
        <v>0</v>
      </c>
      <c r="AF31" s="346">
        <f t="shared" si="13"/>
        <v>0</v>
      </c>
      <c r="AG31" s="581">
        <f t="shared" si="14"/>
        <v>4691.424</v>
      </c>
      <c r="AH31" s="582">
        <f t="shared" si="15"/>
        <v>0</v>
      </c>
    </row>
    <row r="32" spans="1:37" s="163" customFormat="1" ht="22.5" x14ac:dyDescent="0.25">
      <c r="B32" s="575" t="s">
        <v>69</v>
      </c>
      <c r="C32" s="583">
        <v>103670</v>
      </c>
      <c r="D32" s="577" t="s">
        <v>71</v>
      </c>
      <c r="E32" s="578" t="s">
        <v>41</v>
      </c>
      <c r="F32" s="578">
        <v>230.55</v>
      </c>
      <c r="G32" s="578">
        <v>32.49</v>
      </c>
      <c r="H32" s="579"/>
      <c r="I32" s="579">
        <f>'MEMORIAL DE CALCULO 02'!K151</f>
        <v>18.013054999999998</v>
      </c>
      <c r="J32" s="579">
        <v>12.746969999999999</v>
      </c>
      <c r="K32" s="580"/>
      <c r="L32" s="580"/>
      <c r="M32" s="580"/>
      <c r="N32" s="578"/>
      <c r="O32" s="578"/>
      <c r="P32" s="580"/>
      <c r="Q32" s="580">
        <v>1.73</v>
      </c>
      <c r="R32" s="580">
        <f>VLOOKUP(B32,'MEMÓRIA MEDIÇÃO 11'!$A$4:$F$202,6,FALSE)</f>
        <v>0</v>
      </c>
      <c r="S32" s="578">
        <f t="shared" si="6"/>
        <v>32.490024999999996</v>
      </c>
      <c r="T32" s="578">
        <f t="shared" si="16"/>
        <v>-2.4999999993724487E-5</v>
      </c>
      <c r="U32" s="578">
        <f t="shared" si="17"/>
        <v>7490.5695000000005</v>
      </c>
      <c r="V32" s="346">
        <f t="shared" si="1"/>
        <v>0</v>
      </c>
      <c r="W32" s="346">
        <f t="shared" si="2"/>
        <v>4152.9098302499997</v>
      </c>
      <c r="X32" s="346">
        <f t="shared" si="18"/>
        <v>2938.8139335000001</v>
      </c>
      <c r="Y32" s="346">
        <f t="shared" si="3"/>
        <v>0</v>
      </c>
      <c r="Z32" s="346">
        <f t="shared" si="4"/>
        <v>0</v>
      </c>
      <c r="AA32" s="346">
        <f t="shared" si="5"/>
        <v>0</v>
      </c>
      <c r="AB32" s="346">
        <f t="shared" si="9"/>
        <v>0</v>
      </c>
      <c r="AC32" s="346">
        <f t="shared" si="10"/>
        <v>0</v>
      </c>
      <c r="AD32" s="346">
        <f t="shared" si="11"/>
        <v>0</v>
      </c>
      <c r="AE32" s="346">
        <f t="shared" si="12"/>
        <v>398.85</v>
      </c>
      <c r="AF32" s="346">
        <f t="shared" si="13"/>
        <v>0</v>
      </c>
      <c r="AG32" s="581">
        <f t="shared" si="14"/>
        <v>7490.5737637500006</v>
      </c>
      <c r="AH32" s="582">
        <f t="shared" si="15"/>
        <v>-4.2637500000637374E-3</v>
      </c>
    </row>
    <row r="33" spans="2:37" s="163" customFormat="1" ht="22.5" x14ac:dyDescent="0.25">
      <c r="B33" s="575" t="s">
        <v>72</v>
      </c>
      <c r="C33" s="583">
        <v>96543</v>
      </c>
      <c r="D33" s="577" t="s">
        <v>74</v>
      </c>
      <c r="E33" s="578" t="s">
        <v>62</v>
      </c>
      <c r="F33" s="578">
        <v>17.5</v>
      </c>
      <c r="G33" s="578">
        <v>451.89</v>
      </c>
      <c r="H33" s="579"/>
      <c r="I33" s="579">
        <f>'MEMORIAL DE CALCULO 02'!K153</f>
        <v>194.26804319999999</v>
      </c>
      <c r="J33" s="579">
        <f>'MEMORIAL DE CALCULO 03'!K262</f>
        <v>210.13</v>
      </c>
      <c r="K33" s="580"/>
      <c r="L33" s="580"/>
      <c r="M33" s="580"/>
      <c r="N33" s="578"/>
      <c r="O33" s="578"/>
      <c r="P33" s="580"/>
      <c r="Q33" s="580">
        <v>47.49</v>
      </c>
      <c r="R33" s="580">
        <f>VLOOKUP(B33,'MEMÓRIA MEDIÇÃO 11'!$A$4:$F$202,6,FALSE)</f>
        <v>0</v>
      </c>
      <c r="S33" s="578">
        <f t="shared" si="6"/>
        <v>451.88804319999997</v>
      </c>
      <c r="T33" s="578">
        <f t="shared" si="16"/>
        <v>1.9568000000163011E-3</v>
      </c>
      <c r="U33" s="578">
        <f t="shared" si="17"/>
        <v>7908.0749999999998</v>
      </c>
      <c r="V33" s="346">
        <f t="shared" si="1"/>
        <v>0</v>
      </c>
      <c r="W33" s="346">
        <f t="shared" si="2"/>
        <v>3399.690756</v>
      </c>
      <c r="X33" s="346">
        <f t="shared" si="18"/>
        <v>3677.2750000000001</v>
      </c>
      <c r="Y33" s="346">
        <f t="shared" si="3"/>
        <v>0</v>
      </c>
      <c r="Z33" s="346">
        <f t="shared" si="4"/>
        <v>0</v>
      </c>
      <c r="AA33" s="346">
        <f t="shared" si="5"/>
        <v>0</v>
      </c>
      <c r="AB33" s="346">
        <f t="shared" si="9"/>
        <v>0</v>
      </c>
      <c r="AC33" s="346">
        <f t="shared" si="10"/>
        <v>0</v>
      </c>
      <c r="AD33" s="346">
        <f t="shared" si="11"/>
        <v>0</v>
      </c>
      <c r="AE33" s="346">
        <f t="shared" si="12"/>
        <v>831.07</v>
      </c>
      <c r="AF33" s="346">
        <f t="shared" si="13"/>
        <v>0</v>
      </c>
      <c r="AG33" s="581">
        <f t="shared" si="14"/>
        <v>7908.0357559999993</v>
      </c>
      <c r="AH33" s="582">
        <f t="shared" si="15"/>
        <v>3.9244000000508095E-2</v>
      </c>
    </row>
    <row r="34" spans="2:37" ht="22.5" x14ac:dyDescent="0.25">
      <c r="B34" s="575" t="s">
        <v>75</v>
      </c>
      <c r="C34" s="583">
        <v>96544</v>
      </c>
      <c r="D34" s="577" t="s">
        <v>77</v>
      </c>
      <c r="E34" s="578" t="s">
        <v>62</v>
      </c>
      <c r="F34" s="578">
        <v>16.59</v>
      </c>
      <c r="G34" s="578">
        <v>295</v>
      </c>
      <c r="H34" s="579"/>
      <c r="I34" s="579">
        <f>'MEMORIAL DE CALCULO 02'!K193</f>
        <v>295</v>
      </c>
      <c r="J34" s="579"/>
      <c r="K34" s="580"/>
      <c r="L34" s="580"/>
      <c r="M34" s="580"/>
      <c r="N34" s="578"/>
      <c r="O34" s="578"/>
      <c r="P34" s="580"/>
      <c r="Q34" s="580"/>
      <c r="R34" s="580">
        <f>VLOOKUP(B34,'MEMÓRIA MEDIÇÃO 11'!$A$4:$F$202,6,FALSE)</f>
        <v>0</v>
      </c>
      <c r="S34" s="578">
        <f t="shared" si="6"/>
        <v>295</v>
      </c>
      <c r="T34" s="578">
        <f t="shared" si="16"/>
        <v>0</v>
      </c>
      <c r="U34" s="578">
        <f t="shared" si="17"/>
        <v>4894.05</v>
      </c>
      <c r="V34" s="346">
        <f t="shared" si="1"/>
        <v>0</v>
      </c>
      <c r="W34" s="346">
        <f t="shared" si="2"/>
        <v>4894.05</v>
      </c>
      <c r="X34" s="346">
        <f t="shared" si="18"/>
        <v>0</v>
      </c>
      <c r="Y34" s="346">
        <f t="shared" si="3"/>
        <v>0</v>
      </c>
      <c r="Z34" s="346">
        <f t="shared" si="4"/>
        <v>0</v>
      </c>
      <c r="AA34" s="346">
        <f t="shared" si="5"/>
        <v>0</v>
      </c>
      <c r="AB34" s="346">
        <f t="shared" si="9"/>
        <v>0</v>
      </c>
      <c r="AC34" s="346">
        <f t="shared" si="10"/>
        <v>0</v>
      </c>
      <c r="AD34" s="346">
        <f t="shared" si="11"/>
        <v>0</v>
      </c>
      <c r="AE34" s="346">
        <f t="shared" si="12"/>
        <v>0</v>
      </c>
      <c r="AF34" s="346">
        <f t="shared" si="13"/>
        <v>0</v>
      </c>
      <c r="AG34" s="581">
        <f t="shared" si="14"/>
        <v>4894.05</v>
      </c>
      <c r="AH34" s="582">
        <f t="shared" si="15"/>
        <v>0</v>
      </c>
      <c r="AK34" s="164"/>
    </row>
    <row r="35" spans="2:37" ht="22.5" x14ac:dyDescent="0.25">
      <c r="B35" s="575" t="s">
        <v>78</v>
      </c>
      <c r="C35" s="583">
        <v>96546</v>
      </c>
      <c r="D35" s="577" t="s">
        <v>80</v>
      </c>
      <c r="E35" s="578" t="s">
        <v>62</v>
      </c>
      <c r="F35" s="578">
        <v>14.35</v>
      </c>
      <c r="G35" s="578">
        <v>685.99</v>
      </c>
      <c r="H35" s="579"/>
      <c r="I35" s="579">
        <v>534.1</v>
      </c>
      <c r="J35" s="579"/>
      <c r="K35" s="580"/>
      <c r="L35" s="580"/>
      <c r="M35" s="580"/>
      <c r="N35" s="578"/>
      <c r="O35" s="578"/>
      <c r="P35" s="580"/>
      <c r="Q35" s="580">
        <v>151.88999999999999</v>
      </c>
      <c r="R35" s="580">
        <f>VLOOKUP(B35,'MEMÓRIA MEDIÇÃO 11'!$A$4:$F$202,6,FALSE)</f>
        <v>0</v>
      </c>
      <c r="S35" s="578">
        <f t="shared" si="6"/>
        <v>685.99</v>
      </c>
      <c r="T35" s="578">
        <f t="shared" si="16"/>
        <v>0</v>
      </c>
      <c r="U35" s="578">
        <f t="shared" si="17"/>
        <v>9843.9565000000002</v>
      </c>
      <c r="V35" s="346">
        <f t="shared" si="1"/>
        <v>0</v>
      </c>
      <c r="W35" s="346">
        <f t="shared" si="2"/>
        <v>7664.335</v>
      </c>
      <c r="X35" s="346">
        <f t="shared" si="18"/>
        <v>0</v>
      </c>
      <c r="Y35" s="346">
        <f t="shared" si="3"/>
        <v>0</v>
      </c>
      <c r="Z35" s="346">
        <f t="shared" si="4"/>
        <v>0</v>
      </c>
      <c r="AA35" s="346">
        <f t="shared" si="5"/>
        <v>0</v>
      </c>
      <c r="AB35" s="346">
        <f t="shared" si="9"/>
        <v>0</v>
      </c>
      <c r="AC35" s="346">
        <f t="shared" si="10"/>
        <v>0</v>
      </c>
      <c r="AD35" s="346">
        <f t="shared" si="11"/>
        <v>0</v>
      </c>
      <c r="AE35" s="346">
        <f t="shared" si="12"/>
        <v>2179.62</v>
      </c>
      <c r="AF35" s="346">
        <f t="shared" si="13"/>
        <v>0</v>
      </c>
      <c r="AG35" s="581">
        <f t="shared" si="14"/>
        <v>9843.9549999999999</v>
      </c>
      <c r="AH35" s="582">
        <f t="shared" si="15"/>
        <v>1.5000000003055902E-3</v>
      </c>
    </row>
    <row r="36" spans="2:37" s="163" customFormat="1" ht="22.5" x14ac:dyDescent="0.25">
      <c r="B36" s="575" t="s">
        <v>81</v>
      </c>
      <c r="C36" s="583">
        <v>96547</v>
      </c>
      <c r="D36" s="577" t="s">
        <v>83</v>
      </c>
      <c r="E36" s="578" t="s">
        <v>62</v>
      </c>
      <c r="F36" s="578">
        <v>11.9</v>
      </c>
      <c r="G36" s="578">
        <v>179.26</v>
      </c>
      <c r="H36" s="579"/>
      <c r="I36" s="579">
        <f>'MEMORIAL DE CALCULO 02'!K221</f>
        <v>100.55646000000002</v>
      </c>
      <c r="J36" s="579">
        <f>'MEMORIAL DE CALCULO 03'!K330</f>
        <v>52.34</v>
      </c>
      <c r="K36" s="580"/>
      <c r="L36" s="580"/>
      <c r="M36" s="580"/>
      <c r="N36" s="578"/>
      <c r="O36" s="578"/>
      <c r="P36" s="580"/>
      <c r="Q36" s="580">
        <v>26.36</v>
      </c>
      <c r="R36" s="580">
        <f>VLOOKUP(B36,'MEMÓRIA MEDIÇÃO 11'!$A$4:$F$202,6,FALSE)</f>
        <v>0</v>
      </c>
      <c r="S36" s="578">
        <f t="shared" si="6"/>
        <v>179.25646</v>
      </c>
      <c r="T36" s="578">
        <f t="shared" si="16"/>
        <v>3.5399999999867759E-3</v>
      </c>
      <c r="U36" s="578">
        <f t="shared" si="17"/>
        <v>2133.194</v>
      </c>
      <c r="V36" s="346">
        <f t="shared" si="1"/>
        <v>0</v>
      </c>
      <c r="W36" s="346">
        <f t="shared" si="2"/>
        <v>1196.6218740000002</v>
      </c>
      <c r="X36" s="346">
        <f t="shared" si="18"/>
        <v>622.846</v>
      </c>
      <c r="Y36" s="346">
        <f t="shared" si="3"/>
        <v>0</v>
      </c>
      <c r="Z36" s="346">
        <f t="shared" si="4"/>
        <v>0</v>
      </c>
      <c r="AA36" s="346">
        <f t="shared" si="5"/>
        <v>0</v>
      </c>
      <c r="AB36" s="346">
        <f t="shared" si="9"/>
        <v>0</v>
      </c>
      <c r="AC36" s="346">
        <f t="shared" si="10"/>
        <v>0</v>
      </c>
      <c r="AD36" s="346">
        <f t="shared" si="11"/>
        <v>0</v>
      </c>
      <c r="AE36" s="346">
        <f t="shared" si="12"/>
        <v>313.68</v>
      </c>
      <c r="AF36" s="346">
        <f t="shared" si="13"/>
        <v>0</v>
      </c>
      <c r="AG36" s="581">
        <f t="shared" si="14"/>
        <v>2133.1478740000002</v>
      </c>
      <c r="AH36" s="582">
        <f t="shared" si="15"/>
        <v>4.6125999999730993E-2</v>
      </c>
    </row>
    <row r="37" spans="2:37" s="163" customFormat="1" ht="33.75" x14ac:dyDescent="0.25">
      <c r="B37" s="575" t="s">
        <v>84</v>
      </c>
      <c r="C37" s="583">
        <v>96536</v>
      </c>
      <c r="D37" s="577" t="s">
        <v>86</v>
      </c>
      <c r="E37" s="578" t="s">
        <v>17</v>
      </c>
      <c r="F37" s="578">
        <v>69.64</v>
      </c>
      <c r="G37" s="578">
        <v>463.77</v>
      </c>
      <c r="H37" s="579"/>
      <c r="I37" s="579">
        <f>'MEMORIAL DE CALCULO 02'!K238</f>
        <v>206.33700000000002</v>
      </c>
      <c r="J37" s="579">
        <f>'MEMORIAL DE CALCULO 03'!K340</f>
        <v>223.49</v>
      </c>
      <c r="K37" s="580"/>
      <c r="L37" s="580"/>
      <c r="M37" s="580"/>
      <c r="N37" s="578"/>
      <c r="O37" s="578"/>
      <c r="P37" s="580"/>
      <c r="Q37" s="580">
        <v>33.94</v>
      </c>
      <c r="R37" s="580">
        <f>VLOOKUP(B37,'MEMÓRIA MEDIÇÃO 11'!$A$4:$F$202,6,FALSE)</f>
        <v>0</v>
      </c>
      <c r="S37" s="578">
        <f t="shared" si="6"/>
        <v>463.767</v>
      </c>
      <c r="T37" s="578">
        <f t="shared" si="16"/>
        <v>2.9999999999859028E-3</v>
      </c>
      <c r="U37" s="578">
        <f t="shared" si="17"/>
        <v>32296.942800000001</v>
      </c>
      <c r="V37" s="346">
        <f t="shared" si="1"/>
        <v>0</v>
      </c>
      <c r="W37" s="346">
        <f t="shared" si="2"/>
        <v>14369.308680000002</v>
      </c>
      <c r="X37" s="346">
        <f t="shared" si="18"/>
        <v>15563.8436</v>
      </c>
      <c r="Y37" s="346">
        <f t="shared" si="3"/>
        <v>0</v>
      </c>
      <c r="Z37" s="346">
        <f t="shared" si="4"/>
        <v>0</v>
      </c>
      <c r="AA37" s="346">
        <f t="shared" si="5"/>
        <v>0</v>
      </c>
      <c r="AB37" s="346">
        <f t="shared" si="9"/>
        <v>0</v>
      </c>
      <c r="AC37" s="346">
        <f t="shared" si="10"/>
        <v>0</v>
      </c>
      <c r="AD37" s="346">
        <f t="shared" si="11"/>
        <v>0</v>
      </c>
      <c r="AE37" s="346">
        <f t="shared" si="12"/>
        <v>2363.58</v>
      </c>
      <c r="AF37" s="346">
        <f t="shared" si="13"/>
        <v>0</v>
      </c>
      <c r="AG37" s="581">
        <f t="shared" si="14"/>
        <v>32296.732280000004</v>
      </c>
      <c r="AH37" s="582">
        <f t="shared" si="15"/>
        <v>0.21051999999690452</v>
      </c>
    </row>
    <row r="38" spans="2:37" s="164" customFormat="1" ht="22.5" x14ac:dyDescent="0.25">
      <c r="B38" s="575" t="s">
        <v>87</v>
      </c>
      <c r="C38" s="583">
        <v>98557</v>
      </c>
      <c r="D38" s="577" t="s">
        <v>89</v>
      </c>
      <c r="E38" s="578" t="s">
        <v>17</v>
      </c>
      <c r="F38" s="578">
        <v>48.22</v>
      </c>
      <c r="G38" s="578">
        <v>261.83</v>
      </c>
      <c r="H38" s="579"/>
      <c r="I38" s="579"/>
      <c r="J38" s="579"/>
      <c r="K38" s="580">
        <f>'MEMORIAL DE CALCULO 04'!K381</f>
        <v>253.95000000000002</v>
      </c>
      <c r="L38" s="580"/>
      <c r="M38" s="580"/>
      <c r="N38" s="578"/>
      <c r="O38" s="578"/>
      <c r="P38" s="580"/>
      <c r="Q38" s="580">
        <v>7.88</v>
      </c>
      <c r="R38" s="580">
        <f>VLOOKUP(B38,'MEMÓRIA MEDIÇÃO 11'!$A$4:$F$202,6,FALSE)</f>
        <v>0</v>
      </c>
      <c r="S38" s="578">
        <f t="shared" si="6"/>
        <v>261.83000000000004</v>
      </c>
      <c r="T38" s="578">
        <f t="shared" si="16"/>
        <v>0</v>
      </c>
      <c r="U38" s="578">
        <f t="shared" si="17"/>
        <v>12625.442599999998</v>
      </c>
      <c r="V38" s="346">
        <f t="shared" si="1"/>
        <v>0</v>
      </c>
      <c r="W38" s="346">
        <f t="shared" si="2"/>
        <v>0</v>
      </c>
      <c r="X38" s="346">
        <f t="shared" si="18"/>
        <v>0</v>
      </c>
      <c r="Y38" s="346">
        <f t="shared" si="3"/>
        <v>12245.46</v>
      </c>
      <c r="Z38" s="346">
        <f t="shared" si="4"/>
        <v>0</v>
      </c>
      <c r="AA38" s="346">
        <f t="shared" si="5"/>
        <v>0</v>
      </c>
      <c r="AB38" s="346">
        <f t="shared" si="9"/>
        <v>0</v>
      </c>
      <c r="AC38" s="346">
        <f t="shared" si="10"/>
        <v>0</v>
      </c>
      <c r="AD38" s="346">
        <f t="shared" si="11"/>
        <v>0</v>
      </c>
      <c r="AE38" s="346">
        <f t="shared" si="12"/>
        <v>379.97</v>
      </c>
      <c r="AF38" s="346">
        <f t="shared" si="13"/>
        <v>0</v>
      </c>
      <c r="AG38" s="581">
        <f t="shared" si="14"/>
        <v>12625.429999999998</v>
      </c>
      <c r="AH38" s="582">
        <f t="shared" si="15"/>
        <v>1.2600000000020373E-2</v>
      </c>
    </row>
    <row r="39" spans="2:37" x14ac:dyDescent="0.25">
      <c r="B39" s="584" t="s">
        <v>90</v>
      </c>
      <c r="C39" s="585" t="s">
        <v>91</v>
      </c>
      <c r="D39" s="577"/>
      <c r="E39" s="578"/>
      <c r="F39" s="578"/>
      <c r="G39" s="578"/>
      <c r="H39" s="579"/>
      <c r="I39" s="579"/>
      <c r="J39" s="579"/>
      <c r="K39" s="580"/>
      <c r="L39" s="580"/>
      <c r="M39" s="580"/>
      <c r="N39" s="578"/>
      <c r="O39" s="578"/>
      <c r="P39" s="580"/>
      <c r="Q39" s="580"/>
      <c r="R39" s="580">
        <f>VLOOKUP(B39,'MEMÓRIA MEDIÇÃO 11'!$A$4:$F$202,6,FALSE)</f>
        <v>0</v>
      </c>
      <c r="S39" s="578">
        <f t="shared" si="6"/>
        <v>0</v>
      </c>
      <c r="T39" s="578"/>
      <c r="U39" s="578"/>
      <c r="V39" s="346">
        <f t="shared" si="1"/>
        <v>0</v>
      </c>
      <c r="W39" s="346">
        <f t="shared" si="2"/>
        <v>0</v>
      </c>
      <c r="X39" s="346">
        <f t="shared" si="18"/>
        <v>0</v>
      </c>
      <c r="Y39" s="346">
        <f t="shared" si="3"/>
        <v>0</v>
      </c>
      <c r="Z39" s="346">
        <f t="shared" si="4"/>
        <v>0</v>
      </c>
      <c r="AA39" s="346">
        <f t="shared" si="5"/>
        <v>0</v>
      </c>
      <c r="AB39" s="346">
        <f t="shared" si="9"/>
        <v>0</v>
      </c>
      <c r="AC39" s="346">
        <f t="shared" si="10"/>
        <v>0</v>
      </c>
      <c r="AD39" s="346">
        <f t="shared" si="11"/>
        <v>0</v>
      </c>
      <c r="AE39" s="346">
        <f t="shared" si="12"/>
        <v>0</v>
      </c>
      <c r="AF39" s="346">
        <f t="shared" si="13"/>
        <v>0</v>
      </c>
      <c r="AG39" s="581">
        <f t="shared" si="14"/>
        <v>0</v>
      </c>
      <c r="AH39" s="582">
        <f t="shared" si="15"/>
        <v>0</v>
      </c>
    </row>
    <row r="40" spans="2:37" s="164" customFormat="1" ht="45" x14ac:dyDescent="0.35">
      <c r="B40" s="575" t="s">
        <v>92</v>
      </c>
      <c r="C40" s="583">
        <v>92443</v>
      </c>
      <c r="D40" s="577" t="s">
        <v>94</v>
      </c>
      <c r="E40" s="578" t="s">
        <v>17</v>
      </c>
      <c r="F40" s="578">
        <v>40.35</v>
      </c>
      <c r="G40" s="578">
        <v>410.98</v>
      </c>
      <c r="H40" s="579"/>
      <c r="I40" s="579"/>
      <c r="J40" s="579"/>
      <c r="K40" s="580">
        <f>'MEMORIAL DE CALCULO 04'!K384</f>
        <v>190.61699999999999</v>
      </c>
      <c r="L40" s="580">
        <f>'MEMORIAL DE CALCULO 05'!K384</f>
        <v>209.24299999999999</v>
      </c>
      <c r="M40" s="580"/>
      <c r="N40" s="578"/>
      <c r="O40" s="578"/>
      <c r="P40" s="580">
        <f>'MEMORIAL DE CALCULO 09)'!K384</f>
        <v>8.8404000000000007</v>
      </c>
      <c r="Q40" s="580">
        <v>2.2799999999999727</v>
      </c>
      <c r="R40" s="580">
        <f>VLOOKUP(B40,'MEMÓRIA MEDIÇÃO 11'!$A$4:$F$202,6,FALSE)</f>
        <v>0</v>
      </c>
      <c r="S40" s="578">
        <f t="shared" si="6"/>
        <v>410.98039999999997</v>
      </c>
      <c r="T40" s="578">
        <f t="shared" ref="T40:T54" si="19">G40-S40</f>
        <v>-3.999999999564352E-4</v>
      </c>
      <c r="U40" s="578">
        <f t="shared" ref="U40:U54" si="20">F40*G40</f>
        <v>16583.043000000001</v>
      </c>
      <c r="V40" s="346">
        <f t="shared" si="1"/>
        <v>0</v>
      </c>
      <c r="W40" s="346">
        <f t="shared" si="2"/>
        <v>0</v>
      </c>
      <c r="X40" s="346">
        <f t="shared" si="18"/>
        <v>0</v>
      </c>
      <c r="Y40" s="346">
        <f t="shared" si="3"/>
        <v>7691.39</v>
      </c>
      <c r="Z40" s="346">
        <f t="shared" si="4"/>
        <v>8442.9500000000007</v>
      </c>
      <c r="AA40" s="346">
        <f t="shared" si="5"/>
        <v>0</v>
      </c>
      <c r="AB40" s="346">
        <f t="shared" si="9"/>
        <v>0</v>
      </c>
      <c r="AC40" s="346">
        <f t="shared" si="10"/>
        <v>0</v>
      </c>
      <c r="AD40" s="346">
        <f t="shared" si="11"/>
        <v>356.71</v>
      </c>
      <c r="AE40" s="346">
        <f t="shared" si="12"/>
        <v>91.99</v>
      </c>
      <c r="AF40" s="346">
        <f t="shared" si="13"/>
        <v>0</v>
      </c>
      <c r="AG40" s="581">
        <f t="shared" si="14"/>
        <v>16583.04</v>
      </c>
      <c r="AH40" s="582">
        <f t="shared" si="15"/>
        <v>3.0000000006111804E-3</v>
      </c>
      <c r="AJ40" s="378"/>
    </row>
    <row r="41" spans="2:37" s="169" customFormat="1" ht="33.75" x14ac:dyDescent="0.25">
      <c r="B41" s="575" t="s">
        <v>95</v>
      </c>
      <c r="C41" s="583">
        <v>92480</v>
      </c>
      <c r="D41" s="587" t="s">
        <v>97</v>
      </c>
      <c r="E41" s="578" t="s">
        <v>17</v>
      </c>
      <c r="F41" s="578">
        <v>62.17</v>
      </c>
      <c r="G41" s="578">
        <v>439.82</v>
      </c>
      <c r="H41" s="588"/>
      <c r="I41" s="588"/>
      <c r="J41" s="579"/>
      <c r="K41" s="588"/>
      <c r="L41" s="588"/>
      <c r="M41" s="579">
        <f>'MEMORIAL DE CALCULO 06'!K384</f>
        <v>261.94400000000002</v>
      </c>
      <c r="N41" s="579">
        <f>'MEMORIAL DE CALCULO 07'!K384</f>
        <v>32.747</v>
      </c>
      <c r="O41" s="579">
        <f>'MEMORIAL DE CALCULO 08'!K384</f>
        <v>32.743000000000002</v>
      </c>
      <c r="P41" s="579">
        <f>'MEMORIAL DE CALCULO 09)'!K386</f>
        <v>107.89619999999999</v>
      </c>
      <c r="Q41" s="580">
        <v>4.4879999999999995</v>
      </c>
      <c r="R41" s="580">
        <f>VLOOKUP(B41,'MEMÓRIA MEDIÇÃO 11'!$A$4:$F$202,6,FALSE)</f>
        <v>0</v>
      </c>
      <c r="S41" s="578">
        <f t="shared" si="6"/>
        <v>439.81819999999999</v>
      </c>
      <c r="T41" s="578">
        <f t="shared" si="19"/>
        <v>1.8000000000029104E-3</v>
      </c>
      <c r="U41" s="578">
        <f t="shared" si="20"/>
        <v>27343.609400000001</v>
      </c>
      <c r="V41" s="346">
        <f t="shared" si="1"/>
        <v>0</v>
      </c>
      <c r="W41" s="346">
        <f t="shared" si="2"/>
        <v>0</v>
      </c>
      <c r="X41" s="346">
        <f t="shared" si="18"/>
        <v>0</v>
      </c>
      <c r="Y41" s="346">
        <f t="shared" si="3"/>
        <v>0</v>
      </c>
      <c r="Z41" s="346">
        <f t="shared" si="4"/>
        <v>0</v>
      </c>
      <c r="AA41" s="346">
        <f t="shared" si="5"/>
        <v>16285.058480000002</v>
      </c>
      <c r="AB41" s="346">
        <f t="shared" si="9"/>
        <v>2035.8809900000001</v>
      </c>
      <c r="AC41" s="346">
        <f t="shared" si="10"/>
        <v>2035.63</v>
      </c>
      <c r="AD41" s="346">
        <f t="shared" si="11"/>
        <v>6707.9</v>
      </c>
      <c r="AE41" s="346">
        <f t="shared" si="12"/>
        <v>279.01</v>
      </c>
      <c r="AF41" s="346">
        <f t="shared" si="13"/>
        <v>0</v>
      </c>
      <c r="AG41" s="581">
        <f t="shared" si="14"/>
        <v>27343.479470000002</v>
      </c>
      <c r="AH41" s="582">
        <f>U41-AG41</f>
        <v>0.129929999999149</v>
      </c>
    </row>
    <row r="42" spans="2:37" s="169" customFormat="1" ht="22.5" x14ac:dyDescent="0.25">
      <c r="B42" s="575" t="s">
        <v>98</v>
      </c>
      <c r="C42" s="583">
        <v>92267</v>
      </c>
      <c r="D42" s="577" t="s">
        <v>100</v>
      </c>
      <c r="E42" s="578" t="s">
        <v>17</v>
      </c>
      <c r="F42" s="578">
        <v>30.99</v>
      </c>
      <c r="G42" s="578">
        <v>130.82</v>
      </c>
      <c r="H42" s="580"/>
      <c r="I42" s="579"/>
      <c r="J42" s="579"/>
      <c r="K42" s="580"/>
      <c r="L42" s="580"/>
      <c r="M42" s="580"/>
      <c r="N42" s="580"/>
      <c r="O42" s="580">
        <f>'MEMORIAL DE CALCULO 08'!K386</f>
        <v>53.183999999999997</v>
      </c>
      <c r="P42" s="580">
        <f>'MEMORIAL DE CALCULO 09)'!K389</f>
        <v>57.966300000000004</v>
      </c>
      <c r="Q42" s="580">
        <v>19.674650000000014</v>
      </c>
      <c r="R42" s="580">
        <f>VLOOKUP(B42,'MEMÓRIA MEDIÇÃO 11'!$A$4:$F$202,6,FALSE)</f>
        <v>0</v>
      </c>
      <c r="S42" s="578">
        <f t="shared" si="6"/>
        <v>130.82495</v>
      </c>
      <c r="T42" s="578">
        <f t="shared" si="19"/>
        <v>-4.9500000000080036E-3</v>
      </c>
      <c r="U42" s="578">
        <f t="shared" si="20"/>
        <v>4054.1117999999997</v>
      </c>
      <c r="V42" s="346">
        <f t="shared" si="1"/>
        <v>0</v>
      </c>
      <c r="W42" s="346">
        <f t="shared" si="2"/>
        <v>0</v>
      </c>
      <c r="X42" s="346">
        <f t="shared" si="18"/>
        <v>0</v>
      </c>
      <c r="Y42" s="346">
        <f t="shared" si="3"/>
        <v>0</v>
      </c>
      <c r="Z42" s="346">
        <f t="shared" si="4"/>
        <v>0</v>
      </c>
      <c r="AA42" s="346">
        <f t="shared" si="5"/>
        <v>0</v>
      </c>
      <c r="AB42" s="346">
        <f t="shared" si="9"/>
        <v>0</v>
      </c>
      <c r="AC42" s="346">
        <f t="shared" si="10"/>
        <v>1648.17</v>
      </c>
      <c r="AD42" s="346">
        <f t="shared" si="11"/>
        <v>1796.37</v>
      </c>
      <c r="AE42" s="346">
        <f t="shared" si="12"/>
        <v>609.71</v>
      </c>
      <c r="AF42" s="346">
        <f t="shared" si="13"/>
        <v>0</v>
      </c>
      <c r="AG42" s="581">
        <f t="shared" si="14"/>
        <v>4054.25</v>
      </c>
      <c r="AH42" s="582">
        <f t="shared" si="15"/>
        <v>-0.13820000000032451</v>
      </c>
    </row>
    <row r="43" spans="2:37" s="169" customFormat="1" ht="33.75" x14ac:dyDescent="0.25">
      <c r="B43" s="575" t="s">
        <v>101</v>
      </c>
      <c r="C43" s="583">
        <v>92759</v>
      </c>
      <c r="D43" s="577" t="s">
        <v>103</v>
      </c>
      <c r="E43" s="578" t="s">
        <v>62</v>
      </c>
      <c r="F43" s="578">
        <v>14.67</v>
      </c>
      <c r="G43" s="578">
        <v>1036.2</v>
      </c>
      <c r="H43" s="580"/>
      <c r="I43" s="579"/>
      <c r="J43" s="579"/>
      <c r="K43" s="580">
        <f>'MEMORIAL DE CALCULO 04'!K389</f>
        <v>222.09999999999997</v>
      </c>
      <c r="L43" s="580">
        <f>'MEMORIAL DE CALCULO 05'!K389</f>
        <v>460.6</v>
      </c>
      <c r="M43" s="580">
        <f>'MEMORIAL DE CALCULO 06'!K386</f>
        <v>214.5</v>
      </c>
      <c r="N43" s="578"/>
      <c r="O43" s="578"/>
      <c r="P43" s="580">
        <f>'MEMORIAL DE CALCULO 09)'!K392</f>
        <v>130.6009</v>
      </c>
      <c r="Q43" s="580">
        <v>8.4037799999998697</v>
      </c>
      <c r="R43" s="580">
        <f>VLOOKUP(B43,'MEMÓRIA MEDIÇÃO 11'!$A$4:$F$202,6,FALSE)</f>
        <v>0</v>
      </c>
      <c r="S43" s="578">
        <f t="shared" si="6"/>
        <v>1036.2046799999998</v>
      </c>
      <c r="T43" s="578">
        <f>G43-S43</f>
        <v>-4.6799999997801933E-3</v>
      </c>
      <c r="U43" s="578">
        <f t="shared" si="20"/>
        <v>15201.054</v>
      </c>
      <c r="V43" s="346">
        <f t="shared" si="1"/>
        <v>0</v>
      </c>
      <c r="W43" s="346">
        <f t="shared" si="2"/>
        <v>0</v>
      </c>
      <c r="X43" s="346">
        <f t="shared" si="18"/>
        <v>0</v>
      </c>
      <c r="Y43" s="346">
        <f t="shared" si="3"/>
        <v>3258.2</v>
      </c>
      <c r="Z43" s="346">
        <f t="shared" si="4"/>
        <v>6757</v>
      </c>
      <c r="AA43" s="346">
        <f t="shared" si="5"/>
        <v>3146.7150000000001</v>
      </c>
      <c r="AB43" s="346">
        <f t="shared" si="9"/>
        <v>0</v>
      </c>
      <c r="AC43" s="346">
        <f t="shared" si="10"/>
        <v>0</v>
      </c>
      <c r="AD43" s="346">
        <f t="shared" si="11"/>
        <v>1915.91</v>
      </c>
      <c r="AE43" s="346">
        <f t="shared" si="12"/>
        <v>123.28</v>
      </c>
      <c r="AF43" s="346">
        <f t="shared" si="13"/>
        <v>0</v>
      </c>
      <c r="AG43" s="581">
        <f t="shared" si="14"/>
        <v>15201.105000000001</v>
      </c>
      <c r="AH43" s="582">
        <f t="shared" si="15"/>
        <v>-5.100000000129512E-2</v>
      </c>
    </row>
    <row r="44" spans="2:37" s="169" customFormat="1" ht="33.75" x14ac:dyDescent="0.25">
      <c r="B44" s="575" t="s">
        <v>104</v>
      </c>
      <c r="C44" s="583">
        <v>92760</v>
      </c>
      <c r="D44" s="577" t="s">
        <v>106</v>
      </c>
      <c r="E44" s="578" t="s">
        <v>62</v>
      </c>
      <c r="F44" s="578">
        <v>14.4</v>
      </c>
      <c r="G44" s="578">
        <v>39.1</v>
      </c>
      <c r="H44" s="580"/>
      <c r="I44" s="579"/>
      <c r="J44" s="579"/>
      <c r="K44" s="580"/>
      <c r="L44" s="580">
        <f>'MEMORIAL DE CALCULO 05'!K393</f>
        <v>23.46</v>
      </c>
      <c r="M44" s="580">
        <f>'MEMORIAL DE CALCULO 06'!K388</f>
        <v>15.64</v>
      </c>
      <c r="N44" s="578"/>
      <c r="O44" s="578"/>
      <c r="P44" s="580"/>
      <c r="Q44" s="580"/>
      <c r="R44" s="580">
        <f>VLOOKUP(B44,'MEMÓRIA MEDIÇÃO 11'!$A$4:$F$202,6,FALSE)</f>
        <v>0</v>
      </c>
      <c r="S44" s="578">
        <f t="shared" si="6"/>
        <v>39.1</v>
      </c>
      <c r="T44" s="578">
        <f t="shared" si="19"/>
        <v>0</v>
      </c>
      <c r="U44" s="578">
        <f t="shared" si="20"/>
        <v>563.04000000000008</v>
      </c>
      <c r="V44" s="346">
        <f t="shared" si="1"/>
        <v>0</v>
      </c>
      <c r="W44" s="346">
        <f t="shared" si="2"/>
        <v>0</v>
      </c>
      <c r="X44" s="346">
        <f t="shared" si="18"/>
        <v>0</v>
      </c>
      <c r="Y44" s="346">
        <f t="shared" si="3"/>
        <v>0</v>
      </c>
      <c r="Z44" s="346">
        <f t="shared" si="4"/>
        <v>337.82</v>
      </c>
      <c r="AA44" s="346">
        <f t="shared" si="5"/>
        <v>225.21600000000001</v>
      </c>
      <c r="AB44" s="346">
        <f t="shared" si="9"/>
        <v>0</v>
      </c>
      <c r="AC44" s="346">
        <f t="shared" si="10"/>
        <v>0</v>
      </c>
      <c r="AD44" s="346">
        <f t="shared" si="11"/>
        <v>0</v>
      </c>
      <c r="AE44" s="346">
        <f t="shared" si="12"/>
        <v>0</v>
      </c>
      <c r="AF44" s="346">
        <f t="shared" si="13"/>
        <v>0</v>
      </c>
      <c r="AG44" s="581">
        <f t="shared" si="14"/>
        <v>563.03600000000006</v>
      </c>
      <c r="AH44" s="582">
        <f t="shared" si="15"/>
        <v>4.0000000000190994E-3</v>
      </c>
    </row>
    <row r="45" spans="2:37" s="167" customFormat="1" ht="33.75" x14ac:dyDescent="0.25">
      <c r="B45" s="575" t="s">
        <v>107</v>
      </c>
      <c r="C45" s="583">
        <v>92761</v>
      </c>
      <c r="D45" s="577" t="s">
        <v>109</v>
      </c>
      <c r="E45" s="578" t="s">
        <v>62</v>
      </c>
      <c r="F45" s="578">
        <v>14.25</v>
      </c>
      <c r="G45" s="578">
        <v>1021.28</v>
      </c>
      <c r="H45" s="580"/>
      <c r="I45" s="579"/>
      <c r="J45" s="579"/>
      <c r="K45" s="580"/>
      <c r="L45" s="580">
        <f>'MEMORIAL DE CALCULO 05'!K395</f>
        <v>415.67999999999995</v>
      </c>
      <c r="M45" s="580">
        <f>'MEMORIAL DE CALCULO 06'!K390</f>
        <v>415.67999999999995</v>
      </c>
      <c r="N45" s="578"/>
      <c r="O45" s="578"/>
      <c r="P45" s="580">
        <f>'MEMORIAL DE CALCULO 09)'!K396</f>
        <v>168.64</v>
      </c>
      <c r="Q45" s="580">
        <v>21.279999999999973</v>
      </c>
      <c r="R45" s="580">
        <f>VLOOKUP(B45,'MEMÓRIA MEDIÇÃO 11'!$A$4:$F$202,6,FALSE)</f>
        <v>0</v>
      </c>
      <c r="S45" s="578">
        <f t="shared" si="6"/>
        <v>1021.2799999999999</v>
      </c>
      <c r="T45" s="578">
        <f t="shared" si="19"/>
        <v>0</v>
      </c>
      <c r="U45" s="578">
        <f t="shared" si="20"/>
        <v>14553.24</v>
      </c>
      <c r="V45" s="346">
        <f t="shared" si="1"/>
        <v>0</v>
      </c>
      <c r="W45" s="346">
        <f t="shared" si="2"/>
        <v>0</v>
      </c>
      <c r="X45" s="346">
        <f t="shared" si="18"/>
        <v>0</v>
      </c>
      <c r="Y45" s="346">
        <f t="shared" si="3"/>
        <v>0</v>
      </c>
      <c r="Z45" s="346">
        <f t="shared" si="4"/>
        <v>5923.44</v>
      </c>
      <c r="AA45" s="346">
        <f t="shared" si="5"/>
        <v>5923.44</v>
      </c>
      <c r="AB45" s="346">
        <f t="shared" si="9"/>
        <v>0</v>
      </c>
      <c r="AC45" s="346">
        <f t="shared" si="10"/>
        <v>0</v>
      </c>
      <c r="AD45" s="346">
        <f t="shared" si="11"/>
        <v>2403.12</v>
      </c>
      <c r="AE45" s="346">
        <f t="shared" si="12"/>
        <v>303.24</v>
      </c>
      <c r="AF45" s="346">
        <f t="shared" si="13"/>
        <v>0</v>
      </c>
      <c r="AG45" s="581">
        <f t="shared" si="14"/>
        <v>14553.24</v>
      </c>
      <c r="AH45" s="582">
        <f t="shared" si="15"/>
        <v>0</v>
      </c>
    </row>
    <row r="46" spans="2:37" s="169" customFormat="1" ht="33.75" x14ac:dyDescent="0.25">
      <c r="B46" s="575" t="s">
        <v>110</v>
      </c>
      <c r="C46" s="583">
        <v>92762</v>
      </c>
      <c r="D46" s="577" t="s">
        <v>112</v>
      </c>
      <c r="E46" s="578" t="s">
        <v>62</v>
      </c>
      <c r="F46" s="578">
        <v>12.94</v>
      </c>
      <c r="G46" s="578">
        <v>1315.58</v>
      </c>
      <c r="H46" s="580"/>
      <c r="I46" s="579"/>
      <c r="J46" s="579"/>
      <c r="K46" s="580">
        <f>'MEMORIAL DE CALCULO 04'!K393</f>
        <v>601.83000000000004</v>
      </c>
      <c r="L46" s="580">
        <f>'MEMORIAL DE CALCULO 05'!K397</f>
        <v>635.56999999999994</v>
      </c>
      <c r="M46" s="580">
        <f>'MEMORIAL DE CALCULO 06'!K392</f>
        <v>57</v>
      </c>
      <c r="N46" s="578"/>
      <c r="O46" s="578"/>
      <c r="P46" s="580">
        <f>'MEMORIAL DE CALCULO 09)'!K398</f>
        <v>11.700799999999999</v>
      </c>
      <c r="Q46" s="580">
        <v>9.4771200000000135</v>
      </c>
      <c r="R46" s="580">
        <f>VLOOKUP(B46,'MEMÓRIA MEDIÇÃO 11'!$A$4:$F$202,6,FALSE)</f>
        <v>0</v>
      </c>
      <c r="S46" s="578">
        <f t="shared" si="6"/>
        <v>1315.5779200000002</v>
      </c>
      <c r="T46" s="578">
        <f t="shared" si="19"/>
        <v>2.0799999997507257E-3</v>
      </c>
      <c r="U46" s="578">
        <f t="shared" si="20"/>
        <v>17023.605199999998</v>
      </c>
      <c r="V46" s="346">
        <f t="shared" ref="V46:V77" si="21">F46*H46</f>
        <v>0</v>
      </c>
      <c r="W46" s="346">
        <f t="shared" ref="W46:W77" si="22">F46*I46</f>
        <v>0</v>
      </c>
      <c r="X46" s="346">
        <f t="shared" si="18"/>
        <v>0</v>
      </c>
      <c r="Y46" s="346">
        <f t="shared" ref="Y46:Y77" si="23">TRUNC(F46*K46,2)</f>
        <v>7787.68</v>
      </c>
      <c r="Z46" s="346">
        <f t="shared" ref="Z46:Z77" si="24">TRUNC(F46*L46,2)</f>
        <v>8224.27</v>
      </c>
      <c r="AA46" s="346">
        <f t="shared" si="5"/>
        <v>737.57999999999993</v>
      </c>
      <c r="AB46" s="346">
        <f t="shared" si="9"/>
        <v>0</v>
      </c>
      <c r="AC46" s="346">
        <f t="shared" si="10"/>
        <v>0</v>
      </c>
      <c r="AD46" s="346">
        <f t="shared" si="11"/>
        <v>151.4</v>
      </c>
      <c r="AE46" s="346">
        <f t="shared" si="12"/>
        <v>122.63</v>
      </c>
      <c r="AF46" s="346">
        <f t="shared" si="13"/>
        <v>0</v>
      </c>
      <c r="AG46" s="581">
        <f t="shared" si="14"/>
        <v>17023.560000000001</v>
      </c>
      <c r="AH46" s="582">
        <f t="shared" si="15"/>
        <v>4.5199999996839324E-2</v>
      </c>
    </row>
    <row r="47" spans="2:37" s="169" customFormat="1" ht="33.75" x14ac:dyDescent="0.25">
      <c r="B47" s="575" t="s">
        <v>113</v>
      </c>
      <c r="C47" s="583">
        <v>92763</v>
      </c>
      <c r="D47" s="577" t="s">
        <v>115</v>
      </c>
      <c r="E47" s="578" t="s">
        <v>62</v>
      </c>
      <c r="F47" s="578">
        <v>10.71</v>
      </c>
      <c r="G47" s="578">
        <v>168.2</v>
      </c>
      <c r="H47" s="580"/>
      <c r="I47" s="579"/>
      <c r="J47" s="579"/>
      <c r="K47" s="580">
        <f>'MEMORIAL DE CALCULO 04'!K396</f>
        <v>100.42</v>
      </c>
      <c r="L47" s="580">
        <f>'MEMORIAL DE CALCULO 05'!K401</f>
        <v>61.18</v>
      </c>
      <c r="M47" s="580"/>
      <c r="N47" s="578"/>
      <c r="O47" s="578"/>
      <c r="P47" s="580">
        <f>'MEMORIAL DE CALCULO 09)'!K400</f>
        <v>6.6020000000000003</v>
      </c>
      <c r="Q47" s="580"/>
      <c r="R47" s="580">
        <f>VLOOKUP(B47,'MEMÓRIA MEDIÇÃO 11'!$A$4:$F$202,6,FALSE)</f>
        <v>0</v>
      </c>
      <c r="S47" s="578">
        <f t="shared" si="6"/>
        <v>168.202</v>
      </c>
      <c r="T47" s="578">
        <f t="shared" si="19"/>
        <v>-2.0000000000095497E-3</v>
      </c>
      <c r="U47" s="578">
        <f t="shared" si="20"/>
        <v>1801.422</v>
      </c>
      <c r="V47" s="346">
        <f t="shared" si="21"/>
        <v>0</v>
      </c>
      <c r="W47" s="346">
        <f t="shared" si="22"/>
        <v>0</v>
      </c>
      <c r="X47" s="346">
        <f t="shared" si="18"/>
        <v>0</v>
      </c>
      <c r="Y47" s="346">
        <f t="shared" si="23"/>
        <v>1075.49</v>
      </c>
      <c r="Z47" s="346">
        <f t="shared" si="24"/>
        <v>655.23</v>
      </c>
      <c r="AA47" s="346">
        <f t="shared" si="5"/>
        <v>0</v>
      </c>
      <c r="AB47" s="346">
        <f t="shared" ref="AB47:AB78" si="25">F47*N47</f>
        <v>0</v>
      </c>
      <c r="AC47" s="346">
        <f t="shared" si="10"/>
        <v>0</v>
      </c>
      <c r="AD47" s="346">
        <f t="shared" si="11"/>
        <v>70.7</v>
      </c>
      <c r="AE47" s="346">
        <f t="shared" si="12"/>
        <v>0</v>
      </c>
      <c r="AF47" s="346">
        <f t="shared" si="13"/>
        <v>0</v>
      </c>
      <c r="AG47" s="581">
        <f t="shared" si="14"/>
        <v>1801.42</v>
      </c>
      <c r="AH47" s="582">
        <f t="shared" si="15"/>
        <v>1.9999999999527063E-3</v>
      </c>
    </row>
    <row r="48" spans="2:37" s="167" customFormat="1" ht="33.75" x14ac:dyDescent="0.25">
      <c r="B48" s="575" t="s">
        <v>116</v>
      </c>
      <c r="C48" s="583">
        <v>92768</v>
      </c>
      <c r="D48" s="577" t="s">
        <v>118</v>
      </c>
      <c r="E48" s="578" t="s">
        <v>62</v>
      </c>
      <c r="F48" s="578">
        <v>14.31</v>
      </c>
      <c r="G48" s="578">
        <v>205.38</v>
      </c>
      <c r="H48" s="580"/>
      <c r="I48" s="579"/>
      <c r="J48" s="579"/>
      <c r="K48" s="580"/>
      <c r="L48" s="580"/>
      <c r="M48" s="580">
        <f>'MEMORIAL DE CALCULO 06'!K394</f>
        <v>130.5</v>
      </c>
      <c r="N48" s="580"/>
      <c r="O48" s="580"/>
      <c r="P48" s="580">
        <f>'MEMORIAL DE CALCULO 09)'!K402</f>
        <v>28.2</v>
      </c>
      <c r="Q48" s="580">
        <v>46.679999999999978</v>
      </c>
      <c r="R48" s="580">
        <f>VLOOKUP(B48,'MEMÓRIA MEDIÇÃO 11'!$A$4:$F$202,6,FALSE)</f>
        <v>0</v>
      </c>
      <c r="S48" s="578">
        <f t="shared" si="6"/>
        <v>205.37999999999997</v>
      </c>
      <c r="T48" s="578">
        <f t="shared" si="19"/>
        <v>0</v>
      </c>
      <c r="U48" s="578">
        <f t="shared" si="20"/>
        <v>2938.9877999999999</v>
      </c>
      <c r="V48" s="346">
        <f t="shared" si="21"/>
        <v>0</v>
      </c>
      <c r="W48" s="346">
        <f t="shared" si="22"/>
        <v>0</v>
      </c>
      <c r="X48" s="346">
        <f t="shared" si="18"/>
        <v>0</v>
      </c>
      <c r="Y48" s="346">
        <f t="shared" si="23"/>
        <v>0</v>
      </c>
      <c r="Z48" s="346">
        <f t="shared" si="24"/>
        <v>0</v>
      </c>
      <c r="AA48" s="346">
        <f t="shared" si="5"/>
        <v>1867.4550000000002</v>
      </c>
      <c r="AB48" s="346">
        <f t="shared" si="25"/>
        <v>0</v>
      </c>
      <c r="AC48" s="346">
        <f t="shared" si="10"/>
        <v>0</v>
      </c>
      <c r="AD48" s="346">
        <f t="shared" si="11"/>
        <v>403.54</v>
      </c>
      <c r="AE48" s="346">
        <f t="shared" si="12"/>
        <v>667.99</v>
      </c>
      <c r="AF48" s="346">
        <f t="shared" si="13"/>
        <v>0</v>
      </c>
      <c r="AG48" s="581">
        <f t="shared" si="14"/>
        <v>2938.9850000000006</v>
      </c>
      <c r="AH48" s="582">
        <f t="shared" si="15"/>
        <v>2.7999999992971425E-3</v>
      </c>
    </row>
    <row r="49" spans="2:34" s="167" customFormat="1" ht="33.75" x14ac:dyDescent="0.25">
      <c r="B49" s="575" t="s">
        <v>119</v>
      </c>
      <c r="C49" s="583">
        <v>92769</v>
      </c>
      <c r="D49" s="577" t="s">
        <v>121</v>
      </c>
      <c r="E49" s="578" t="s">
        <v>62</v>
      </c>
      <c r="F49" s="578">
        <v>14.01</v>
      </c>
      <c r="G49" s="578">
        <v>178.73</v>
      </c>
      <c r="H49" s="580"/>
      <c r="I49" s="579"/>
      <c r="J49" s="579"/>
      <c r="K49" s="580"/>
      <c r="L49" s="580"/>
      <c r="M49" s="580">
        <f>'MEMORIAL DE CALCULO 06'!K396</f>
        <v>157.6</v>
      </c>
      <c r="N49" s="580"/>
      <c r="O49" s="580"/>
      <c r="P49" s="580">
        <f>'MEMORIAL DE CALCULO 09)'!K404</f>
        <v>12.9002</v>
      </c>
      <c r="Q49" s="580">
        <v>8.2319999999999993</v>
      </c>
      <c r="R49" s="580">
        <f>VLOOKUP(B49,'MEMÓRIA MEDIÇÃO 11'!$A$4:$F$202,6,FALSE)</f>
        <v>0</v>
      </c>
      <c r="S49" s="578">
        <f t="shared" si="6"/>
        <v>178.73220000000001</v>
      </c>
      <c r="T49" s="578">
        <f t="shared" si="19"/>
        <v>-2.200000000016189E-3</v>
      </c>
      <c r="U49" s="578">
        <f t="shared" si="20"/>
        <v>2504.0072999999998</v>
      </c>
      <c r="V49" s="346">
        <f t="shared" si="21"/>
        <v>0</v>
      </c>
      <c r="W49" s="346">
        <f t="shared" si="22"/>
        <v>0</v>
      </c>
      <c r="X49" s="346">
        <f t="shared" si="18"/>
        <v>0</v>
      </c>
      <c r="Y49" s="346">
        <f t="shared" si="23"/>
        <v>0</v>
      </c>
      <c r="Z49" s="346">
        <f t="shared" si="24"/>
        <v>0</v>
      </c>
      <c r="AA49" s="346">
        <f t="shared" si="5"/>
        <v>2207.9760000000001</v>
      </c>
      <c r="AB49" s="346">
        <f t="shared" si="25"/>
        <v>0</v>
      </c>
      <c r="AC49" s="346">
        <f t="shared" si="10"/>
        <v>0</v>
      </c>
      <c r="AD49" s="346">
        <f t="shared" si="11"/>
        <v>180.73</v>
      </c>
      <c r="AE49" s="346">
        <f t="shared" si="12"/>
        <v>115.33</v>
      </c>
      <c r="AF49" s="346">
        <f t="shared" si="13"/>
        <v>0</v>
      </c>
      <c r="AG49" s="581">
        <f t="shared" si="14"/>
        <v>2504.0360000000001</v>
      </c>
      <c r="AH49" s="582">
        <f t="shared" si="15"/>
        <v>-2.8700000000299042E-2</v>
      </c>
    </row>
    <row r="50" spans="2:34" s="167" customFormat="1" ht="33.75" x14ac:dyDescent="0.25">
      <c r="B50" s="575" t="s">
        <v>122</v>
      </c>
      <c r="C50" s="583">
        <v>92770</v>
      </c>
      <c r="D50" s="577" t="s">
        <v>124</v>
      </c>
      <c r="E50" s="578" t="s">
        <v>62</v>
      </c>
      <c r="F50" s="578">
        <v>13.86</v>
      </c>
      <c r="G50" s="578">
        <v>279.10000000000002</v>
      </c>
      <c r="H50" s="580"/>
      <c r="I50" s="579"/>
      <c r="J50" s="579"/>
      <c r="K50" s="580"/>
      <c r="L50" s="580"/>
      <c r="M50" s="580">
        <f>'MEMORIAL DE CALCULO 06'!K398</f>
        <v>259</v>
      </c>
      <c r="N50" s="580"/>
      <c r="O50" s="580"/>
      <c r="P50" s="580">
        <f>'MEMORIAL DE CALCULO 09)'!K406</f>
        <v>20.100899999999999</v>
      </c>
      <c r="Q50" s="580"/>
      <c r="R50" s="580">
        <f>VLOOKUP(B50,'MEMÓRIA MEDIÇÃO 11'!$A$4:$F$202,6,FALSE)</f>
        <v>0</v>
      </c>
      <c r="S50" s="578">
        <f t="shared" si="6"/>
        <v>279.10090000000002</v>
      </c>
      <c r="T50" s="578">
        <f t="shared" si="19"/>
        <v>-9.0000000000145519E-4</v>
      </c>
      <c r="U50" s="578">
        <f t="shared" si="20"/>
        <v>3868.326</v>
      </c>
      <c r="V50" s="346">
        <f t="shared" si="21"/>
        <v>0</v>
      </c>
      <c r="W50" s="346">
        <f t="shared" si="22"/>
        <v>0</v>
      </c>
      <c r="X50" s="346">
        <f t="shared" si="18"/>
        <v>0</v>
      </c>
      <c r="Y50" s="346">
        <f t="shared" si="23"/>
        <v>0</v>
      </c>
      <c r="Z50" s="346">
        <f t="shared" si="24"/>
        <v>0</v>
      </c>
      <c r="AA50" s="346">
        <f t="shared" si="5"/>
        <v>3589.74</v>
      </c>
      <c r="AB50" s="346">
        <f t="shared" si="25"/>
        <v>0</v>
      </c>
      <c r="AC50" s="346">
        <f t="shared" si="10"/>
        <v>0</v>
      </c>
      <c r="AD50" s="346">
        <f t="shared" si="11"/>
        <v>278.58999999999997</v>
      </c>
      <c r="AE50" s="346">
        <f t="shared" si="12"/>
        <v>0</v>
      </c>
      <c r="AF50" s="346">
        <f t="shared" si="13"/>
        <v>0</v>
      </c>
      <c r="AG50" s="581">
        <f t="shared" si="14"/>
        <v>3868.33</v>
      </c>
      <c r="AH50" s="582">
        <f t="shared" si="15"/>
        <v>-3.9999999999054126E-3</v>
      </c>
    </row>
    <row r="51" spans="2:34" s="164" customFormat="1" ht="33.75" x14ac:dyDescent="0.25">
      <c r="B51" s="575" t="s">
        <v>125</v>
      </c>
      <c r="C51" s="583">
        <v>94966</v>
      </c>
      <c r="D51" s="577" t="s">
        <v>65</v>
      </c>
      <c r="E51" s="578" t="s">
        <v>41</v>
      </c>
      <c r="F51" s="578">
        <v>530.88</v>
      </c>
      <c r="G51" s="578">
        <v>81.650000000000006</v>
      </c>
      <c r="H51" s="580"/>
      <c r="I51" s="579"/>
      <c r="J51" s="579"/>
      <c r="K51" s="580">
        <f>'MEMORIAL DE CALCULO 04'!K402</f>
        <v>10.245999999999999</v>
      </c>
      <c r="L51" s="580">
        <f>'MEMORIAL DE CALCULO 05'!K406</f>
        <v>9.1839999999999993</v>
      </c>
      <c r="M51" s="580">
        <f>'MEMORIAL DE CALCULO 06'!K400</f>
        <v>19.399999999999999</v>
      </c>
      <c r="N51" s="580">
        <f>'MEMORIAL DE CALCULO 07'!K403</f>
        <v>4.84</v>
      </c>
      <c r="O51" s="580">
        <f>'MEMORIAL DE CALCULO 08'!K402</f>
        <v>7.87</v>
      </c>
      <c r="P51" s="580">
        <f>'MEMORIAL DE CALCULO 09)'!K408</f>
        <v>10.02003</v>
      </c>
      <c r="Q51" s="580">
        <v>20.088424999999987</v>
      </c>
      <c r="R51" s="580">
        <f>VLOOKUP(B51,'MEMÓRIA MEDIÇÃO 11'!$A$4:$F$202,6,FALSE)</f>
        <v>0</v>
      </c>
      <c r="S51" s="578">
        <f t="shared" si="6"/>
        <v>81.648454999999984</v>
      </c>
      <c r="T51" s="578">
        <f t="shared" si="19"/>
        <v>1.5450000000214459E-3</v>
      </c>
      <c r="U51" s="578">
        <f t="shared" si="20"/>
        <v>43346.352000000006</v>
      </c>
      <c r="V51" s="346">
        <f t="shared" si="21"/>
        <v>0</v>
      </c>
      <c r="W51" s="346">
        <f t="shared" si="22"/>
        <v>0</v>
      </c>
      <c r="X51" s="346">
        <f t="shared" si="18"/>
        <v>0</v>
      </c>
      <c r="Y51" s="346">
        <f t="shared" si="23"/>
        <v>5439.39</v>
      </c>
      <c r="Z51" s="346">
        <f t="shared" si="24"/>
        <v>4875.6000000000004</v>
      </c>
      <c r="AA51" s="346">
        <f t="shared" si="5"/>
        <v>10299.071999999998</v>
      </c>
      <c r="AB51" s="346">
        <f t="shared" si="25"/>
        <v>2569.4591999999998</v>
      </c>
      <c r="AC51" s="346">
        <f t="shared" si="10"/>
        <v>4178.0200000000004</v>
      </c>
      <c r="AD51" s="346">
        <f t="shared" si="11"/>
        <v>5319.43</v>
      </c>
      <c r="AE51" s="346">
        <f t="shared" si="12"/>
        <v>10664.54</v>
      </c>
      <c r="AF51" s="346">
        <f t="shared" si="13"/>
        <v>0</v>
      </c>
      <c r="AG51" s="581">
        <f t="shared" si="14"/>
        <v>43345.511200000001</v>
      </c>
      <c r="AH51" s="582">
        <f t="shared" si="15"/>
        <v>0.84080000000540167</v>
      </c>
    </row>
    <row r="52" spans="2:34" s="167" customFormat="1" ht="22.5" x14ac:dyDescent="0.25">
      <c r="B52" s="575" t="s">
        <v>126</v>
      </c>
      <c r="C52" s="583">
        <v>103670</v>
      </c>
      <c r="D52" s="587" t="s">
        <v>71</v>
      </c>
      <c r="E52" s="578" t="s">
        <v>41</v>
      </c>
      <c r="F52" s="578">
        <v>230.55</v>
      </c>
      <c r="G52" s="578">
        <v>81.650000000000006</v>
      </c>
      <c r="H52" s="588"/>
      <c r="I52" s="588"/>
      <c r="J52" s="579"/>
      <c r="K52" s="579">
        <f>'MEMORIAL DE CALCULO 04'!K405</f>
        <v>10.245999999999999</v>
      </c>
      <c r="L52" s="579">
        <f>'MEMORIAL DE CALCULO 05'!K406</f>
        <v>9.1839999999999993</v>
      </c>
      <c r="M52" s="579">
        <f>'MEMORIAL DE CALCULO 06'!K403</f>
        <v>19.399999999999999</v>
      </c>
      <c r="N52" s="579">
        <f>'MEMORIAL DE CALCULO 07'!K407</f>
        <v>4.84</v>
      </c>
      <c r="O52" s="579">
        <f>'MEMORIAL DE CALCULO 08'!K406</f>
        <v>7.87</v>
      </c>
      <c r="P52" s="579">
        <f>'MEMORIAL DE CALCULO 09)'!K410</f>
        <v>10.02009999</v>
      </c>
      <c r="Q52" s="579">
        <v>20.088424999999987</v>
      </c>
      <c r="R52" s="580">
        <f>VLOOKUP(B52,'MEMÓRIA MEDIÇÃO 11'!$A$4:$F$202,6,FALSE)</f>
        <v>0</v>
      </c>
      <c r="S52" s="578">
        <f t="shared" si="6"/>
        <v>81.648524989999984</v>
      </c>
      <c r="T52" s="578">
        <f t="shared" si="19"/>
        <v>1.4750100000213706E-3</v>
      </c>
      <c r="U52" s="578">
        <f t="shared" si="20"/>
        <v>18824.407500000001</v>
      </c>
      <c r="V52" s="346">
        <f t="shared" si="21"/>
        <v>0</v>
      </c>
      <c r="W52" s="346">
        <f t="shared" si="22"/>
        <v>0</v>
      </c>
      <c r="X52" s="346">
        <f t="shared" si="18"/>
        <v>0</v>
      </c>
      <c r="Y52" s="346">
        <f t="shared" si="23"/>
        <v>2362.21</v>
      </c>
      <c r="Z52" s="346">
        <f t="shared" si="24"/>
        <v>2117.37</v>
      </c>
      <c r="AA52" s="346">
        <f t="shared" si="5"/>
        <v>4472.67</v>
      </c>
      <c r="AB52" s="346">
        <f t="shared" si="25"/>
        <v>1115.8620000000001</v>
      </c>
      <c r="AC52" s="346">
        <f t="shared" si="10"/>
        <v>1814.42</v>
      </c>
      <c r="AD52" s="346">
        <f t="shared" si="11"/>
        <v>2310.13</v>
      </c>
      <c r="AE52" s="346">
        <f t="shared" si="12"/>
        <v>4631.38</v>
      </c>
      <c r="AF52" s="346">
        <f t="shared" si="13"/>
        <v>0</v>
      </c>
      <c r="AG52" s="581">
        <f t="shared" si="14"/>
        <v>18824.042000000001</v>
      </c>
      <c r="AH52" s="582">
        <f t="shared" si="15"/>
        <v>0.36549999999988358</v>
      </c>
    </row>
    <row r="53" spans="2:34" s="167" customFormat="1" ht="33.75" x14ac:dyDescent="0.25">
      <c r="B53" s="575" t="s">
        <v>127</v>
      </c>
      <c r="C53" s="583">
        <v>92771</v>
      </c>
      <c r="D53" s="587" t="s">
        <v>129</v>
      </c>
      <c r="E53" s="578" t="s">
        <v>62</v>
      </c>
      <c r="F53" s="578">
        <v>12.55</v>
      </c>
      <c r="G53" s="578">
        <v>406.9</v>
      </c>
      <c r="H53" s="588"/>
      <c r="I53" s="588"/>
      <c r="J53" s="579"/>
      <c r="K53" s="588"/>
      <c r="L53" s="588"/>
      <c r="M53" s="579">
        <f>'MEMORIAL DE CALCULO 06'!K405</f>
        <v>217.7</v>
      </c>
      <c r="N53" s="588"/>
      <c r="O53" s="588"/>
      <c r="P53" s="579">
        <f>'MEMORIAL DE CALCULO 09)'!K412</f>
        <v>94.6</v>
      </c>
      <c r="Q53" s="579">
        <v>94.599999999999966</v>
      </c>
      <c r="R53" s="580">
        <f>VLOOKUP(B53,'MEMÓRIA MEDIÇÃO 11'!$A$4:$F$202,6,FALSE)</f>
        <v>0</v>
      </c>
      <c r="S53" s="578">
        <f t="shared" si="6"/>
        <v>406.89999999999992</v>
      </c>
      <c r="T53" s="578">
        <f t="shared" si="19"/>
        <v>0</v>
      </c>
      <c r="U53" s="578">
        <f t="shared" si="20"/>
        <v>5106.5950000000003</v>
      </c>
      <c r="V53" s="346">
        <f t="shared" si="21"/>
        <v>0</v>
      </c>
      <c r="W53" s="346">
        <f t="shared" si="22"/>
        <v>0</v>
      </c>
      <c r="X53" s="346">
        <f t="shared" si="18"/>
        <v>0</v>
      </c>
      <c r="Y53" s="346">
        <f t="shared" si="23"/>
        <v>0</v>
      </c>
      <c r="Z53" s="346">
        <f t="shared" si="24"/>
        <v>0</v>
      </c>
      <c r="AA53" s="346">
        <f t="shared" si="5"/>
        <v>2732.1350000000002</v>
      </c>
      <c r="AB53" s="346">
        <f t="shared" si="25"/>
        <v>0</v>
      </c>
      <c r="AC53" s="346">
        <f t="shared" si="10"/>
        <v>0</v>
      </c>
      <c r="AD53" s="346">
        <f t="shared" si="11"/>
        <v>1187.23</v>
      </c>
      <c r="AE53" s="346">
        <f t="shared" si="12"/>
        <v>1187.23</v>
      </c>
      <c r="AF53" s="346">
        <f t="shared" si="13"/>
        <v>0</v>
      </c>
      <c r="AG53" s="581">
        <f t="shared" si="14"/>
        <v>5106.5950000000003</v>
      </c>
      <c r="AH53" s="582">
        <f t="shared" si="15"/>
        <v>0</v>
      </c>
    </row>
    <row r="54" spans="2:34" s="167" customFormat="1" ht="33.75" x14ac:dyDescent="0.25">
      <c r="B54" s="575" t="s">
        <v>130</v>
      </c>
      <c r="C54" s="583">
        <v>92772</v>
      </c>
      <c r="D54" s="577" t="s">
        <v>132</v>
      </c>
      <c r="E54" s="578" t="s">
        <v>62</v>
      </c>
      <c r="F54" s="578">
        <v>10.39</v>
      </c>
      <c r="G54" s="578">
        <v>154.80000000000001</v>
      </c>
      <c r="H54" s="580"/>
      <c r="I54" s="579"/>
      <c r="J54" s="579"/>
      <c r="K54" s="580"/>
      <c r="L54" s="580"/>
      <c r="M54" s="580">
        <f>'MEMORIAL DE CALCULO 06'!K407</f>
        <v>154.80000000000001</v>
      </c>
      <c r="N54" s="578"/>
      <c r="O54" s="578"/>
      <c r="P54" s="580"/>
      <c r="Q54" s="580"/>
      <c r="R54" s="580">
        <f>VLOOKUP(B54,'MEMÓRIA MEDIÇÃO 11'!$A$4:$F$202,6,FALSE)</f>
        <v>0</v>
      </c>
      <c r="S54" s="578">
        <f t="shared" si="6"/>
        <v>154.80000000000001</v>
      </c>
      <c r="T54" s="578">
        <f t="shared" si="19"/>
        <v>0</v>
      </c>
      <c r="U54" s="578">
        <f t="shared" si="20"/>
        <v>1608.3720000000003</v>
      </c>
      <c r="V54" s="346">
        <f t="shared" si="21"/>
        <v>0</v>
      </c>
      <c r="W54" s="346">
        <f t="shared" si="22"/>
        <v>0</v>
      </c>
      <c r="X54" s="346">
        <f t="shared" si="18"/>
        <v>0</v>
      </c>
      <c r="Y54" s="346">
        <f t="shared" si="23"/>
        <v>0</v>
      </c>
      <c r="Z54" s="346">
        <f t="shared" si="24"/>
        <v>0</v>
      </c>
      <c r="AA54" s="346">
        <f t="shared" si="5"/>
        <v>1608.3720000000003</v>
      </c>
      <c r="AB54" s="346">
        <f t="shared" si="25"/>
        <v>0</v>
      </c>
      <c r="AC54" s="346">
        <f t="shared" si="10"/>
        <v>0</v>
      </c>
      <c r="AD54" s="346">
        <f t="shared" si="11"/>
        <v>0</v>
      </c>
      <c r="AE54" s="346">
        <f t="shared" si="12"/>
        <v>0</v>
      </c>
      <c r="AF54" s="346">
        <f t="shared" si="13"/>
        <v>0</v>
      </c>
      <c r="AG54" s="581">
        <f t="shared" si="14"/>
        <v>1608.3720000000003</v>
      </c>
      <c r="AH54" s="582">
        <f t="shared" si="15"/>
        <v>0</v>
      </c>
    </row>
    <row r="55" spans="2:34" s="167" customFormat="1" x14ac:dyDescent="0.25">
      <c r="B55" s="584">
        <v>1.5</v>
      </c>
      <c r="C55" s="585" t="s">
        <v>134</v>
      </c>
      <c r="D55" s="577"/>
      <c r="E55" s="578"/>
      <c r="F55" s="578"/>
      <c r="G55" s="578"/>
      <c r="H55" s="580"/>
      <c r="I55" s="579"/>
      <c r="J55" s="579"/>
      <c r="K55" s="580"/>
      <c r="L55" s="580"/>
      <c r="M55" s="580"/>
      <c r="N55" s="578"/>
      <c r="O55" s="578"/>
      <c r="P55" s="580"/>
      <c r="Q55" s="580"/>
      <c r="R55" s="580">
        <f>VLOOKUP(B55,'MEMÓRIA MEDIÇÃO 11'!$A$4:$F$202,6,FALSE)</f>
        <v>0</v>
      </c>
      <c r="S55" s="578">
        <f t="shared" si="6"/>
        <v>0</v>
      </c>
      <c r="T55" s="578"/>
      <c r="U55" s="578"/>
      <c r="V55" s="346">
        <f t="shared" si="21"/>
        <v>0</v>
      </c>
      <c r="W55" s="346">
        <f t="shared" si="22"/>
        <v>0</v>
      </c>
      <c r="X55" s="346">
        <f t="shared" si="18"/>
        <v>0</v>
      </c>
      <c r="Y55" s="346">
        <f t="shared" si="23"/>
        <v>0</v>
      </c>
      <c r="Z55" s="346">
        <f t="shared" si="24"/>
        <v>0</v>
      </c>
      <c r="AA55" s="346">
        <f t="shared" si="5"/>
        <v>0</v>
      </c>
      <c r="AB55" s="346">
        <f t="shared" si="25"/>
        <v>0</v>
      </c>
      <c r="AC55" s="346">
        <f t="shared" si="10"/>
        <v>0</v>
      </c>
      <c r="AD55" s="346">
        <f t="shared" si="11"/>
        <v>0</v>
      </c>
      <c r="AE55" s="346">
        <f t="shared" si="12"/>
        <v>0</v>
      </c>
      <c r="AF55" s="346">
        <f t="shared" si="13"/>
        <v>0</v>
      </c>
      <c r="AG55" s="581">
        <f t="shared" si="14"/>
        <v>0</v>
      </c>
      <c r="AH55" s="582">
        <f t="shared" si="15"/>
        <v>0</v>
      </c>
    </row>
    <row r="56" spans="2:34" ht="45" x14ac:dyDescent="0.25">
      <c r="B56" s="575" t="s">
        <v>135</v>
      </c>
      <c r="C56" s="583">
        <v>103356</v>
      </c>
      <c r="D56" s="577" t="s">
        <v>137</v>
      </c>
      <c r="E56" s="578" t="s">
        <v>17</v>
      </c>
      <c r="F56" s="578">
        <v>46.86</v>
      </c>
      <c r="G56" s="578">
        <v>1242.6199999999999</v>
      </c>
      <c r="H56" s="580"/>
      <c r="I56" s="579"/>
      <c r="J56" s="579"/>
      <c r="K56" s="580">
        <f>'MEMORIAL DE CALCULO 04'!K410</f>
        <v>354.68499999999995</v>
      </c>
      <c r="L56" s="580">
        <f>'MEMORIAL DE CALCULO 05'!K413</f>
        <v>492.16000000000014</v>
      </c>
      <c r="M56" s="580"/>
      <c r="N56" s="578"/>
      <c r="O56" s="580">
        <f>'MEMORIAL DE CALCULO 08'!K414</f>
        <v>238.84</v>
      </c>
      <c r="P56" s="580">
        <f>'MEMORIAL DE CALCULO 09)'!K418</f>
        <v>46.31</v>
      </c>
      <c r="Q56" s="580">
        <v>110.62549999999987</v>
      </c>
      <c r="R56" s="580">
        <f>VLOOKUP(B56,'MEMÓRIA MEDIÇÃO 11'!$A$4:$F$202,6,FALSE)</f>
        <v>0</v>
      </c>
      <c r="S56" s="578">
        <f t="shared" si="6"/>
        <v>1242.6204999999998</v>
      </c>
      <c r="T56" s="578">
        <f>G56-S56</f>
        <v>-4.9999999987448973E-4</v>
      </c>
      <c r="U56" s="578">
        <f>F56*G56</f>
        <v>58229.173199999997</v>
      </c>
      <c r="V56" s="346">
        <f t="shared" si="21"/>
        <v>0</v>
      </c>
      <c r="W56" s="346">
        <f t="shared" si="22"/>
        <v>0</v>
      </c>
      <c r="X56" s="346">
        <f t="shared" si="18"/>
        <v>0</v>
      </c>
      <c r="Y56" s="346">
        <f t="shared" si="23"/>
        <v>16620.53</v>
      </c>
      <c r="Z56" s="346">
        <f t="shared" si="24"/>
        <v>23062.61</v>
      </c>
      <c r="AA56" s="346">
        <f t="shared" si="5"/>
        <v>0</v>
      </c>
      <c r="AB56" s="346">
        <f t="shared" si="25"/>
        <v>0</v>
      </c>
      <c r="AC56" s="346">
        <f t="shared" si="10"/>
        <v>11192.04</v>
      </c>
      <c r="AD56" s="346">
        <f t="shared" si="11"/>
        <v>2170.08</v>
      </c>
      <c r="AE56" s="346">
        <f t="shared" si="12"/>
        <v>5183.91</v>
      </c>
      <c r="AF56" s="346">
        <f t="shared" si="13"/>
        <v>0</v>
      </c>
      <c r="AG56" s="581">
        <f t="shared" si="14"/>
        <v>58229.17</v>
      </c>
      <c r="AH56" s="582">
        <f t="shared" si="15"/>
        <v>3.1999999991967343E-3</v>
      </c>
    </row>
    <row r="57" spans="2:34" s="167" customFormat="1" ht="22.5" x14ac:dyDescent="0.25">
      <c r="B57" s="575" t="s">
        <v>138</v>
      </c>
      <c r="C57" s="583">
        <v>93189</v>
      </c>
      <c r="D57" s="587" t="s">
        <v>140</v>
      </c>
      <c r="E57" s="578" t="s">
        <v>37</v>
      </c>
      <c r="F57" s="578">
        <v>99.36</v>
      </c>
      <c r="G57" s="578">
        <v>64.099999999999994</v>
      </c>
      <c r="H57" s="588"/>
      <c r="I57" s="579"/>
      <c r="J57" s="579"/>
      <c r="K57" s="579">
        <f>'MEMORIAL DE CALCULO 04'!K484</f>
        <v>10.199999999999999</v>
      </c>
      <c r="L57" s="579">
        <f>'MEMORIAL DE CALCULO 05'!K479</f>
        <v>53.900000000000006</v>
      </c>
      <c r="M57" s="588"/>
      <c r="N57" s="588"/>
      <c r="O57" s="588"/>
      <c r="P57" s="588"/>
      <c r="Q57" s="588"/>
      <c r="R57" s="580">
        <f>VLOOKUP(B57,'MEMÓRIA MEDIÇÃO 11'!$A$4:$F$202,6,FALSE)</f>
        <v>0</v>
      </c>
      <c r="S57" s="578">
        <f t="shared" si="6"/>
        <v>64.100000000000009</v>
      </c>
      <c r="T57" s="578">
        <f>G57-S57</f>
        <v>0</v>
      </c>
      <c r="U57" s="578">
        <f>F57*G57</f>
        <v>6368.9759999999997</v>
      </c>
      <c r="V57" s="346">
        <f t="shared" si="21"/>
        <v>0</v>
      </c>
      <c r="W57" s="346">
        <f t="shared" si="22"/>
        <v>0</v>
      </c>
      <c r="X57" s="346">
        <f t="shared" si="18"/>
        <v>0</v>
      </c>
      <c r="Y57" s="346">
        <f t="shared" si="23"/>
        <v>1013.47</v>
      </c>
      <c r="Z57" s="346">
        <f t="shared" si="24"/>
        <v>5355.5</v>
      </c>
      <c r="AA57" s="346">
        <f t="shared" si="5"/>
        <v>0</v>
      </c>
      <c r="AB57" s="346">
        <f t="shared" si="25"/>
        <v>0</v>
      </c>
      <c r="AC57" s="346">
        <f t="shared" si="10"/>
        <v>0</v>
      </c>
      <c r="AD57" s="346">
        <f t="shared" si="11"/>
        <v>0</v>
      </c>
      <c r="AE57" s="346">
        <f t="shared" si="12"/>
        <v>0</v>
      </c>
      <c r="AF57" s="346">
        <f t="shared" si="13"/>
        <v>0</v>
      </c>
      <c r="AG57" s="581">
        <f t="shared" si="14"/>
        <v>6368.97</v>
      </c>
      <c r="AH57" s="582">
        <f t="shared" si="15"/>
        <v>5.9999999994033715E-3</v>
      </c>
    </row>
    <row r="58" spans="2:34" s="167" customFormat="1" ht="33.75" x14ac:dyDescent="0.25">
      <c r="B58" s="575" t="s">
        <v>141</v>
      </c>
      <c r="C58" s="583">
        <v>93191</v>
      </c>
      <c r="D58" s="577" t="s">
        <v>143</v>
      </c>
      <c r="E58" s="578" t="s">
        <v>37</v>
      </c>
      <c r="F58" s="578">
        <v>50.71</v>
      </c>
      <c r="G58" s="578">
        <v>73.3</v>
      </c>
      <c r="H58" s="580"/>
      <c r="I58" s="579"/>
      <c r="J58" s="579"/>
      <c r="K58" s="580">
        <f>'MEMORIAL DE CALCULO 04'!K488</f>
        <v>11.6</v>
      </c>
      <c r="L58" s="580">
        <f>'MEMORIAL DE CALCULO 05'!K486</f>
        <v>60.600000000000009</v>
      </c>
      <c r="M58" s="580"/>
      <c r="N58" s="578"/>
      <c r="O58" s="578"/>
      <c r="P58" s="580"/>
      <c r="Q58" s="580">
        <v>1.0999999999999943</v>
      </c>
      <c r="R58" s="580">
        <f>VLOOKUP(B58,'MEMÓRIA MEDIÇÃO 11'!$A$4:$F$202,6,FALSE)</f>
        <v>0</v>
      </c>
      <c r="S58" s="578">
        <f t="shared" si="6"/>
        <v>73.3</v>
      </c>
      <c r="T58" s="578">
        <f>G58-S58</f>
        <v>0</v>
      </c>
      <c r="U58" s="578">
        <f>F58*G58</f>
        <v>3717.0430000000001</v>
      </c>
      <c r="V58" s="346">
        <f t="shared" si="21"/>
        <v>0</v>
      </c>
      <c r="W58" s="346">
        <f t="shared" si="22"/>
        <v>0</v>
      </c>
      <c r="X58" s="346">
        <f t="shared" si="18"/>
        <v>0</v>
      </c>
      <c r="Y58" s="346">
        <f t="shared" si="23"/>
        <v>588.23</v>
      </c>
      <c r="Z58" s="346">
        <f t="shared" si="24"/>
        <v>3073.02</v>
      </c>
      <c r="AA58" s="346">
        <f t="shared" si="5"/>
        <v>0</v>
      </c>
      <c r="AB58" s="346">
        <f t="shared" si="25"/>
        <v>0</v>
      </c>
      <c r="AC58" s="346">
        <f t="shared" si="10"/>
        <v>0</v>
      </c>
      <c r="AD58" s="346">
        <f t="shared" si="11"/>
        <v>0</v>
      </c>
      <c r="AE58" s="346">
        <f t="shared" si="12"/>
        <v>55.78</v>
      </c>
      <c r="AF58" s="346">
        <f t="shared" si="13"/>
        <v>0</v>
      </c>
      <c r="AG58" s="581">
        <f t="shared" si="14"/>
        <v>3717.03</v>
      </c>
      <c r="AH58" s="582">
        <f t="shared" si="15"/>
        <v>1.2999999999919964E-2</v>
      </c>
    </row>
    <row r="59" spans="2:34" s="167" customFormat="1" ht="22.5" x14ac:dyDescent="0.25">
      <c r="B59" s="575" t="s">
        <v>144</v>
      </c>
      <c r="C59" s="583">
        <v>93197</v>
      </c>
      <c r="D59" s="577" t="s">
        <v>146</v>
      </c>
      <c r="E59" s="578" t="s">
        <v>37</v>
      </c>
      <c r="F59" s="578">
        <v>90.23</v>
      </c>
      <c r="G59" s="578">
        <v>73.3</v>
      </c>
      <c r="H59" s="580"/>
      <c r="I59" s="579"/>
      <c r="J59" s="579"/>
      <c r="K59" s="580">
        <f>'MEMORIAL DE CALCULO 04'!K492</f>
        <v>11.6</v>
      </c>
      <c r="L59" s="580">
        <f>'MEMORIAL DE CALCULO 05'!K493</f>
        <v>60.600000000000009</v>
      </c>
      <c r="M59" s="580"/>
      <c r="N59" s="578"/>
      <c r="O59" s="578"/>
      <c r="P59" s="580"/>
      <c r="Q59" s="580">
        <v>1.0999999999999943</v>
      </c>
      <c r="R59" s="580">
        <f>VLOOKUP(B59,'MEMÓRIA MEDIÇÃO 11'!$A$4:$F$202,6,FALSE)</f>
        <v>0</v>
      </c>
      <c r="S59" s="578">
        <f t="shared" si="6"/>
        <v>73.3</v>
      </c>
      <c r="T59" s="578">
        <f>G59-S59</f>
        <v>0</v>
      </c>
      <c r="U59" s="578">
        <f>F59*G59</f>
        <v>6613.8590000000004</v>
      </c>
      <c r="V59" s="346">
        <f t="shared" si="21"/>
        <v>0</v>
      </c>
      <c r="W59" s="346">
        <f t="shared" si="22"/>
        <v>0</v>
      </c>
      <c r="X59" s="346">
        <f t="shared" ref="X59:X90" si="26">F59*J59</f>
        <v>0</v>
      </c>
      <c r="Y59" s="346">
        <f t="shared" si="23"/>
        <v>1046.6600000000001</v>
      </c>
      <c r="Z59" s="346">
        <f t="shared" si="24"/>
        <v>5467.93</v>
      </c>
      <c r="AA59" s="346">
        <f t="shared" si="5"/>
        <v>0</v>
      </c>
      <c r="AB59" s="346">
        <f t="shared" si="25"/>
        <v>0</v>
      </c>
      <c r="AC59" s="346">
        <f t="shared" si="10"/>
        <v>0</v>
      </c>
      <c r="AD59" s="346">
        <f t="shared" si="11"/>
        <v>0</v>
      </c>
      <c r="AE59" s="346">
        <f t="shared" si="12"/>
        <v>99.25</v>
      </c>
      <c r="AF59" s="346">
        <f t="shared" si="13"/>
        <v>0</v>
      </c>
      <c r="AG59" s="581">
        <f t="shared" si="14"/>
        <v>6613.84</v>
      </c>
      <c r="AH59" s="582">
        <f t="shared" si="15"/>
        <v>1.9000000000232831E-2</v>
      </c>
    </row>
    <row r="60" spans="2:34" s="167" customFormat="1" ht="14.45" customHeight="1" x14ac:dyDescent="0.25">
      <c r="B60" s="584">
        <v>1.6</v>
      </c>
      <c r="C60" s="585" t="s">
        <v>148</v>
      </c>
      <c r="D60" s="577"/>
      <c r="E60" s="578"/>
      <c r="F60" s="578"/>
      <c r="G60" s="578"/>
      <c r="H60" s="580"/>
      <c r="I60" s="579"/>
      <c r="J60" s="579"/>
      <c r="K60" s="580"/>
      <c r="L60" s="580"/>
      <c r="M60" s="580"/>
      <c r="N60" s="578"/>
      <c r="O60" s="578"/>
      <c r="P60" s="580"/>
      <c r="Q60" s="580"/>
      <c r="R60" s="580">
        <f>VLOOKUP(B60,'MEMÓRIA MEDIÇÃO 11'!$A$4:$F$202,6,FALSE)</f>
        <v>0</v>
      </c>
      <c r="S60" s="578">
        <f t="shared" si="6"/>
        <v>0</v>
      </c>
      <c r="T60" s="578"/>
      <c r="U60" s="578"/>
      <c r="V60" s="346">
        <f t="shared" si="21"/>
        <v>0</v>
      </c>
      <c r="W60" s="346">
        <f t="shared" si="22"/>
        <v>0</v>
      </c>
      <c r="X60" s="346">
        <f t="shared" si="26"/>
        <v>0</v>
      </c>
      <c r="Y60" s="346">
        <f t="shared" si="23"/>
        <v>0</v>
      </c>
      <c r="Z60" s="346">
        <f t="shared" si="24"/>
        <v>0</v>
      </c>
      <c r="AA60" s="346"/>
      <c r="AB60" s="346">
        <f t="shared" si="25"/>
        <v>0</v>
      </c>
      <c r="AC60" s="346">
        <f t="shared" si="10"/>
        <v>0</v>
      </c>
      <c r="AD60" s="346">
        <f t="shared" si="11"/>
        <v>0</v>
      </c>
      <c r="AE60" s="346">
        <f t="shared" si="12"/>
        <v>0</v>
      </c>
      <c r="AF60" s="346">
        <f t="shared" si="13"/>
        <v>0</v>
      </c>
      <c r="AG60" s="581">
        <f t="shared" si="14"/>
        <v>0</v>
      </c>
      <c r="AH60" s="582"/>
    </row>
    <row r="61" spans="2:34" s="167" customFormat="1" ht="45" x14ac:dyDescent="0.25">
      <c r="B61" s="575" t="s">
        <v>149</v>
      </c>
      <c r="C61" s="583">
        <v>87893</v>
      </c>
      <c r="D61" s="577" t="s">
        <v>151</v>
      </c>
      <c r="E61" s="578" t="s">
        <v>17</v>
      </c>
      <c r="F61" s="578">
        <v>6.08</v>
      </c>
      <c r="G61" s="578">
        <v>2029.19</v>
      </c>
      <c r="H61" s="580"/>
      <c r="I61" s="579"/>
      <c r="J61" s="579"/>
      <c r="K61" s="580"/>
      <c r="L61" s="580">
        <v>1348.98</v>
      </c>
      <c r="M61" s="580"/>
      <c r="N61" s="578"/>
      <c r="O61" s="578"/>
      <c r="P61" s="580"/>
      <c r="Q61" s="580">
        <v>380</v>
      </c>
      <c r="R61" s="580">
        <f>VLOOKUP(B61,'MEMÓRIA MEDIÇÃO 11'!$A$4:$F$202,6,FALSE)</f>
        <v>0</v>
      </c>
      <c r="S61" s="578">
        <f t="shared" si="6"/>
        <v>1728.98</v>
      </c>
      <c r="T61" s="578">
        <f>G61-S61</f>
        <v>300.21000000000004</v>
      </c>
      <c r="U61" s="578">
        <f>F61*G61</f>
        <v>12337.475200000001</v>
      </c>
      <c r="V61" s="346">
        <f t="shared" si="21"/>
        <v>0</v>
      </c>
      <c r="W61" s="346">
        <f t="shared" si="22"/>
        <v>0</v>
      </c>
      <c r="X61" s="346">
        <f t="shared" si="26"/>
        <v>0</v>
      </c>
      <c r="Y61" s="346">
        <f t="shared" si="23"/>
        <v>0</v>
      </c>
      <c r="Z61" s="346">
        <f t="shared" si="24"/>
        <v>8201.7900000000009</v>
      </c>
      <c r="AA61" s="346">
        <f>M61*F61</f>
        <v>0</v>
      </c>
      <c r="AB61" s="346">
        <f t="shared" si="25"/>
        <v>0</v>
      </c>
      <c r="AC61" s="346">
        <f t="shared" si="10"/>
        <v>0</v>
      </c>
      <c r="AD61" s="346">
        <f t="shared" si="11"/>
        <v>0</v>
      </c>
      <c r="AE61" s="346">
        <f t="shared" si="12"/>
        <v>2310.4</v>
      </c>
      <c r="AF61" s="346">
        <f t="shared" si="13"/>
        <v>0</v>
      </c>
      <c r="AG61" s="581">
        <f t="shared" si="14"/>
        <v>10512.19</v>
      </c>
      <c r="AH61" s="582">
        <f t="shared" si="15"/>
        <v>1825.2852000000003</v>
      </c>
    </row>
    <row r="62" spans="2:34" s="167" customFormat="1" ht="45" x14ac:dyDescent="0.25">
      <c r="B62" s="575" t="s">
        <v>152</v>
      </c>
      <c r="C62" s="583">
        <v>87548</v>
      </c>
      <c r="D62" s="577" t="s">
        <v>154</v>
      </c>
      <c r="E62" s="578" t="s">
        <v>17</v>
      </c>
      <c r="F62" s="578">
        <v>22.4</v>
      </c>
      <c r="G62" s="578">
        <v>1666.99</v>
      </c>
      <c r="H62" s="580"/>
      <c r="I62" s="579"/>
      <c r="J62" s="579"/>
      <c r="K62" s="580"/>
      <c r="L62" s="580"/>
      <c r="M62" s="580">
        <f>'MEMORIAL DE CALCULO 06'!K410</f>
        <v>299.13299999999998</v>
      </c>
      <c r="N62" s="580">
        <v>697.97678599999995</v>
      </c>
      <c r="O62" s="580"/>
      <c r="P62" s="580"/>
      <c r="Q62" s="580">
        <v>480</v>
      </c>
      <c r="R62" s="580">
        <f>VLOOKUP(B62,'MEMÓRIA MEDIÇÃO 11'!$A$4:$F$202,6,FALSE)</f>
        <v>0</v>
      </c>
      <c r="S62" s="578">
        <f t="shared" si="6"/>
        <v>1477.109786</v>
      </c>
      <c r="T62" s="578">
        <f>G62-S62</f>
        <v>189.88021400000002</v>
      </c>
      <c r="U62" s="578">
        <f>F62*G62</f>
        <v>37340.576000000001</v>
      </c>
      <c r="V62" s="346">
        <f t="shared" si="21"/>
        <v>0</v>
      </c>
      <c r="W62" s="346">
        <f t="shared" si="22"/>
        <v>0</v>
      </c>
      <c r="X62" s="346">
        <f t="shared" si="26"/>
        <v>0</v>
      </c>
      <c r="Y62" s="346">
        <f t="shared" si="23"/>
        <v>0</v>
      </c>
      <c r="Z62" s="346">
        <f t="shared" si="24"/>
        <v>0</v>
      </c>
      <c r="AA62" s="346">
        <f>M62*F62</f>
        <v>6700.5791999999992</v>
      </c>
      <c r="AB62" s="346">
        <f t="shared" si="25"/>
        <v>15634.680006399998</v>
      </c>
      <c r="AC62" s="346">
        <f t="shared" si="10"/>
        <v>0</v>
      </c>
      <c r="AD62" s="346">
        <f t="shared" si="11"/>
        <v>0</v>
      </c>
      <c r="AE62" s="346">
        <f t="shared" si="12"/>
        <v>10752</v>
      </c>
      <c r="AF62" s="346">
        <f t="shared" si="13"/>
        <v>0</v>
      </c>
      <c r="AG62" s="581">
        <f t="shared" si="14"/>
        <v>33087.259206399998</v>
      </c>
      <c r="AH62" s="582">
        <f t="shared" si="15"/>
        <v>4253.3167936000027</v>
      </c>
    </row>
    <row r="63" spans="2:34" s="167" customFormat="1" ht="56.25" x14ac:dyDescent="0.25">
      <c r="B63" s="575" t="s">
        <v>155</v>
      </c>
      <c r="C63" s="583">
        <v>87536</v>
      </c>
      <c r="D63" s="577" t="s">
        <v>157</v>
      </c>
      <c r="E63" s="578" t="s">
        <v>17</v>
      </c>
      <c r="F63" s="578">
        <v>31.26</v>
      </c>
      <c r="G63" s="578">
        <v>351.87</v>
      </c>
      <c r="H63" s="580"/>
      <c r="I63" s="579"/>
      <c r="J63" s="579"/>
      <c r="K63" s="580"/>
      <c r="L63" s="580"/>
      <c r="M63" s="580"/>
      <c r="N63" s="580">
        <f>'MEMORIAL DE CALCULO 07'!K417</f>
        <v>351.87</v>
      </c>
      <c r="O63" s="580"/>
      <c r="P63" s="580"/>
      <c r="Q63" s="580"/>
      <c r="R63" s="580">
        <f>VLOOKUP(B63,'MEMÓRIA MEDIÇÃO 11'!$A$4:$F$202,6,FALSE)</f>
        <v>0</v>
      </c>
      <c r="S63" s="578">
        <f t="shared" si="6"/>
        <v>351.87</v>
      </c>
      <c r="T63" s="578">
        <f>G63-S63</f>
        <v>0</v>
      </c>
      <c r="U63" s="578">
        <f>F63*G63</f>
        <v>10999.456200000001</v>
      </c>
      <c r="V63" s="346">
        <f t="shared" si="21"/>
        <v>0</v>
      </c>
      <c r="W63" s="346">
        <f t="shared" si="22"/>
        <v>0</v>
      </c>
      <c r="X63" s="346">
        <f t="shared" si="26"/>
        <v>0</v>
      </c>
      <c r="Y63" s="346">
        <f t="shared" si="23"/>
        <v>0</v>
      </c>
      <c r="Z63" s="346">
        <f t="shared" si="24"/>
        <v>0</v>
      </c>
      <c r="AA63" s="346">
        <f>M63*F63</f>
        <v>0</v>
      </c>
      <c r="AB63" s="346">
        <f t="shared" si="25"/>
        <v>10999.456200000001</v>
      </c>
      <c r="AC63" s="346">
        <f t="shared" si="10"/>
        <v>0</v>
      </c>
      <c r="AD63" s="346">
        <f t="shared" si="11"/>
        <v>0</v>
      </c>
      <c r="AE63" s="346">
        <f t="shared" si="12"/>
        <v>0</v>
      </c>
      <c r="AF63" s="346">
        <f t="shared" si="13"/>
        <v>0</v>
      </c>
      <c r="AG63" s="581">
        <f t="shared" si="14"/>
        <v>10999.456200000001</v>
      </c>
      <c r="AH63" s="582">
        <f t="shared" si="15"/>
        <v>0</v>
      </c>
    </row>
    <row r="64" spans="2:34" s="167" customFormat="1" ht="33.75" x14ac:dyDescent="0.25">
      <c r="B64" s="575" t="s">
        <v>158</v>
      </c>
      <c r="C64" s="583">
        <v>87275</v>
      </c>
      <c r="D64" s="577" t="s">
        <v>160</v>
      </c>
      <c r="E64" s="578" t="s">
        <v>17</v>
      </c>
      <c r="F64" s="578">
        <v>75.14</v>
      </c>
      <c r="G64" s="578">
        <v>351.87</v>
      </c>
      <c r="H64" s="580"/>
      <c r="I64" s="579"/>
      <c r="J64" s="579"/>
      <c r="K64" s="580"/>
      <c r="L64" s="580"/>
      <c r="M64" s="580"/>
      <c r="N64" s="578"/>
      <c r="O64" s="578"/>
      <c r="P64" s="580"/>
      <c r="Q64" s="580"/>
      <c r="R64" s="580">
        <f>VLOOKUP(B64,'MEMÓRIA MEDIÇÃO 11'!$A$4:$F$202,6,FALSE)</f>
        <v>0</v>
      </c>
      <c r="S64" s="578">
        <f t="shared" si="6"/>
        <v>0</v>
      </c>
      <c r="T64" s="578">
        <f>G64-S64</f>
        <v>351.87</v>
      </c>
      <c r="U64" s="578">
        <f>F64*G64</f>
        <v>26439.5118</v>
      </c>
      <c r="V64" s="346">
        <f t="shared" si="21"/>
        <v>0</v>
      </c>
      <c r="W64" s="346">
        <f t="shared" si="22"/>
        <v>0</v>
      </c>
      <c r="X64" s="346">
        <f t="shared" si="26"/>
        <v>0</v>
      </c>
      <c r="Y64" s="346">
        <f t="shared" si="23"/>
        <v>0</v>
      </c>
      <c r="Z64" s="346">
        <f t="shared" si="24"/>
        <v>0</v>
      </c>
      <c r="AA64" s="346">
        <f>M64*F64</f>
        <v>0</v>
      </c>
      <c r="AB64" s="346">
        <f t="shared" si="25"/>
        <v>0</v>
      </c>
      <c r="AC64" s="346">
        <f t="shared" si="10"/>
        <v>0</v>
      </c>
      <c r="AD64" s="346">
        <f t="shared" si="11"/>
        <v>0</v>
      </c>
      <c r="AE64" s="346">
        <f t="shared" si="12"/>
        <v>0</v>
      </c>
      <c r="AF64" s="346">
        <f t="shared" si="13"/>
        <v>0</v>
      </c>
      <c r="AG64" s="581">
        <f t="shared" si="14"/>
        <v>0</v>
      </c>
      <c r="AH64" s="582">
        <f t="shared" si="15"/>
        <v>26439.5118</v>
      </c>
    </row>
    <row r="65" spans="2:34" s="167" customFormat="1" x14ac:dyDescent="0.25">
      <c r="B65" s="584">
        <v>1.7</v>
      </c>
      <c r="C65" s="585" t="s">
        <v>162</v>
      </c>
      <c r="D65" s="577"/>
      <c r="E65" s="578"/>
      <c r="F65" s="578"/>
      <c r="G65" s="578"/>
      <c r="H65" s="580"/>
      <c r="I65" s="579"/>
      <c r="J65" s="579"/>
      <c r="K65" s="580"/>
      <c r="L65" s="580"/>
      <c r="M65" s="580"/>
      <c r="N65" s="578"/>
      <c r="O65" s="578"/>
      <c r="P65" s="580"/>
      <c r="Q65" s="580"/>
      <c r="R65" s="580">
        <f>VLOOKUP(B65,'MEMÓRIA MEDIÇÃO 11'!$A$4:$F$202,6,FALSE)</f>
        <v>0</v>
      </c>
      <c r="S65" s="578">
        <f t="shared" si="6"/>
        <v>0</v>
      </c>
      <c r="T65" s="578"/>
      <c r="U65" s="578"/>
      <c r="V65" s="346">
        <f t="shared" si="21"/>
        <v>0</v>
      </c>
      <c r="W65" s="346">
        <f t="shared" si="22"/>
        <v>0</v>
      </c>
      <c r="X65" s="346">
        <f t="shared" si="26"/>
        <v>0</v>
      </c>
      <c r="Y65" s="346">
        <f t="shared" si="23"/>
        <v>0</v>
      </c>
      <c r="Z65" s="346">
        <f t="shared" si="24"/>
        <v>0</v>
      </c>
      <c r="AA65" s="346"/>
      <c r="AB65" s="346">
        <f t="shared" si="25"/>
        <v>0</v>
      </c>
      <c r="AC65" s="346">
        <f t="shared" si="10"/>
        <v>0</v>
      </c>
      <c r="AD65" s="346">
        <f t="shared" si="11"/>
        <v>0</v>
      </c>
      <c r="AE65" s="346">
        <f t="shared" si="12"/>
        <v>0</v>
      </c>
      <c r="AF65" s="346">
        <f t="shared" si="13"/>
        <v>0</v>
      </c>
      <c r="AG65" s="581">
        <f t="shared" si="14"/>
        <v>0</v>
      </c>
      <c r="AH65" s="582"/>
    </row>
    <row r="66" spans="2:34" s="167" customFormat="1" ht="56.25" x14ac:dyDescent="0.25">
      <c r="B66" s="575" t="s">
        <v>163</v>
      </c>
      <c r="C66" s="583">
        <v>91315</v>
      </c>
      <c r="D66" s="587" t="s">
        <v>165</v>
      </c>
      <c r="E66" s="578" t="s">
        <v>166</v>
      </c>
      <c r="F66" s="578">
        <v>919.01</v>
      </c>
      <c r="G66" s="578">
        <v>18</v>
      </c>
      <c r="H66" s="588"/>
      <c r="I66" s="579"/>
      <c r="J66" s="579"/>
      <c r="K66" s="588"/>
      <c r="L66" s="588"/>
      <c r="M66" s="588"/>
      <c r="N66" s="588"/>
      <c r="O66" s="588"/>
      <c r="P66" s="588"/>
      <c r="Q66" s="588"/>
      <c r="R66" s="580">
        <f>VLOOKUP(B66,'MEMÓRIA MEDIÇÃO 11'!$A$4:$F$202,6,FALSE)</f>
        <v>0</v>
      </c>
      <c r="S66" s="578">
        <f t="shared" si="6"/>
        <v>0</v>
      </c>
      <c r="T66" s="578">
        <f t="shared" ref="T66:T73" si="27">G66-S66</f>
        <v>18</v>
      </c>
      <c r="U66" s="578">
        <f t="shared" ref="U66:U73" si="28">F66*G66</f>
        <v>16542.18</v>
      </c>
      <c r="V66" s="346">
        <f t="shared" si="21"/>
        <v>0</v>
      </c>
      <c r="W66" s="346">
        <f t="shared" si="22"/>
        <v>0</v>
      </c>
      <c r="X66" s="346">
        <f t="shared" si="26"/>
        <v>0</v>
      </c>
      <c r="Y66" s="346">
        <f t="shared" si="23"/>
        <v>0</v>
      </c>
      <c r="Z66" s="346">
        <f t="shared" si="24"/>
        <v>0</v>
      </c>
      <c r="AA66" s="346">
        <f t="shared" ref="AA66:AA97" si="29">M66*F66</f>
        <v>0</v>
      </c>
      <c r="AB66" s="346">
        <f t="shared" si="25"/>
        <v>0</v>
      </c>
      <c r="AC66" s="346">
        <f t="shared" si="10"/>
        <v>0</v>
      </c>
      <c r="AD66" s="346">
        <f t="shared" si="11"/>
        <v>0</v>
      </c>
      <c r="AE66" s="346">
        <f t="shared" si="12"/>
        <v>0</v>
      </c>
      <c r="AF66" s="346">
        <f t="shared" si="13"/>
        <v>0</v>
      </c>
      <c r="AG66" s="581">
        <f t="shared" si="14"/>
        <v>0</v>
      </c>
      <c r="AH66" s="582">
        <f t="shared" si="15"/>
        <v>16542.18</v>
      </c>
    </row>
    <row r="67" spans="2:34" s="167" customFormat="1" ht="45" x14ac:dyDescent="0.25">
      <c r="B67" s="575" t="s">
        <v>167</v>
      </c>
      <c r="C67" s="583">
        <v>94570</v>
      </c>
      <c r="D67" s="577" t="s">
        <v>169</v>
      </c>
      <c r="E67" s="578" t="s">
        <v>17</v>
      </c>
      <c r="F67" s="578">
        <v>960.32</v>
      </c>
      <c r="G67" s="578">
        <v>50.8</v>
      </c>
      <c r="H67" s="580"/>
      <c r="I67" s="579"/>
      <c r="J67" s="579"/>
      <c r="K67" s="580"/>
      <c r="L67" s="580"/>
      <c r="M67" s="580"/>
      <c r="N67" s="578"/>
      <c r="O67" s="578"/>
      <c r="P67" s="580"/>
      <c r="Q67" s="580"/>
      <c r="R67" s="580">
        <f>VLOOKUP(B67,'MEMÓRIA MEDIÇÃO 11'!$A$4:$F$202,6,FALSE)</f>
        <v>0</v>
      </c>
      <c r="S67" s="578">
        <f t="shared" si="6"/>
        <v>0</v>
      </c>
      <c r="T67" s="578">
        <f t="shared" si="27"/>
        <v>50.8</v>
      </c>
      <c r="U67" s="578">
        <f t="shared" si="28"/>
        <v>48784.256000000001</v>
      </c>
      <c r="V67" s="346">
        <f t="shared" si="21"/>
        <v>0</v>
      </c>
      <c r="W67" s="346">
        <f t="shared" si="22"/>
        <v>0</v>
      </c>
      <c r="X67" s="346">
        <f t="shared" si="26"/>
        <v>0</v>
      </c>
      <c r="Y67" s="346">
        <f t="shared" si="23"/>
        <v>0</v>
      </c>
      <c r="Z67" s="346">
        <f t="shared" si="24"/>
        <v>0</v>
      </c>
      <c r="AA67" s="346">
        <f t="shared" si="29"/>
        <v>0</v>
      </c>
      <c r="AB67" s="346">
        <f t="shared" si="25"/>
        <v>0</v>
      </c>
      <c r="AC67" s="346">
        <f t="shared" si="10"/>
        <v>0</v>
      </c>
      <c r="AD67" s="346">
        <f t="shared" si="11"/>
        <v>0</v>
      </c>
      <c r="AE67" s="346">
        <f t="shared" si="12"/>
        <v>0</v>
      </c>
      <c r="AF67" s="346">
        <f t="shared" si="13"/>
        <v>0</v>
      </c>
      <c r="AG67" s="581">
        <f t="shared" si="14"/>
        <v>0</v>
      </c>
      <c r="AH67" s="582">
        <f t="shared" si="15"/>
        <v>48784.256000000001</v>
      </c>
    </row>
    <row r="68" spans="2:34" s="167" customFormat="1" ht="56.25" x14ac:dyDescent="0.25">
      <c r="B68" s="575" t="s">
        <v>170</v>
      </c>
      <c r="C68" s="583">
        <v>100689</v>
      </c>
      <c r="D68" s="577" t="s">
        <v>172</v>
      </c>
      <c r="E68" s="578" t="s">
        <v>166</v>
      </c>
      <c r="F68" s="578">
        <v>1069.74</v>
      </c>
      <c r="G68" s="578">
        <v>5</v>
      </c>
      <c r="H68" s="580"/>
      <c r="I68" s="579"/>
      <c r="J68" s="579"/>
      <c r="K68" s="580"/>
      <c r="L68" s="580"/>
      <c r="M68" s="580"/>
      <c r="N68" s="578"/>
      <c r="O68" s="578"/>
      <c r="P68" s="580"/>
      <c r="Q68" s="580"/>
      <c r="R68" s="580">
        <f>VLOOKUP(B68,'MEMÓRIA MEDIÇÃO 11'!$A$4:$F$202,6,FALSE)</f>
        <v>0</v>
      </c>
      <c r="S68" s="578">
        <f t="shared" si="6"/>
        <v>0</v>
      </c>
      <c r="T68" s="578">
        <f t="shared" si="27"/>
        <v>5</v>
      </c>
      <c r="U68" s="578">
        <f t="shared" si="28"/>
        <v>5348.7</v>
      </c>
      <c r="V68" s="346">
        <f t="shared" si="21"/>
        <v>0</v>
      </c>
      <c r="W68" s="346">
        <f t="shared" si="22"/>
        <v>0</v>
      </c>
      <c r="X68" s="346">
        <f t="shared" si="26"/>
        <v>0</v>
      </c>
      <c r="Y68" s="346">
        <f t="shared" si="23"/>
        <v>0</v>
      </c>
      <c r="Z68" s="346">
        <f t="shared" si="24"/>
        <v>0</v>
      </c>
      <c r="AA68" s="346">
        <f t="shared" si="29"/>
        <v>0</v>
      </c>
      <c r="AB68" s="346">
        <f t="shared" si="25"/>
        <v>0</v>
      </c>
      <c r="AC68" s="346">
        <f t="shared" si="10"/>
        <v>0</v>
      </c>
      <c r="AD68" s="346">
        <f t="shared" si="11"/>
        <v>0</v>
      </c>
      <c r="AE68" s="346">
        <f t="shared" si="12"/>
        <v>0</v>
      </c>
      <c r="AF68" s="346">
        <f t="shared" si="13"/>
        <v>0</v>
      </c>
      <c r="AG68" s="581">
        <f t="shared" si="14"/>
        <v>0</v>
      </c>
      <c r="AH68" s="582">
        <f t="shared" si="15"/>
        <v>5348.7</v>
      </c>
    </row>
    <row r="69" spans="2:34" s="167" customFormat="1" ht="33.75" x14ac:dyDescent="0.25">
      <c r="B69" s="575" t="s">
        <v>173</v>
      </c>
      <c r="C69" s="576" t="s">
        <v>174</v>
      </c>
      <c r="D69" s="577" t="s">
        <v>175</v>
      </c>
      <c r="E69" s="578" t="s">
        <v>5</v>
      </c>
      <c r="F69" s="578">
        <v>2030.34</v>
      </c>
      <c r="G69" s="578">
        <v>1</v>
      </c>
      <c r="H69" s="580"/>
      <c r="I69" s="579"/>
      <c r="J69" s="579"/>
      <c r="K69" s="580"/>
      <c r="L69" s="580"/>
      <c r="M69" s="580"/>
      <c r="N69" s="578"/>
      <c r="O69" s="578"/>
      <c r="P69" s="580"/>
      <c r="Q69" s="580"/>
      <c r="R69" s="580">
        <f>VLOOKUP(B69,'MEMÓRIA MEDIÇÃO 11'!$A$4:$F$202,6,FALSE)</f>
        <v>0</v>
      </c>
      <c r="S69" s="578">
        <f t="shared" si="6"/>
        <v>0</v>
      </c>
      <c r="T69" s="578">
        <f t="shared" si="27"/>
        <v>1</v>
      </c>
      <c r="U69" s="578">
        <f t="shared" si="28"/>
        <v>2030.34</v>
      </c>
      <c r="V69" s="346">
        <f t="shared" si="21"/>
        <v>0</v>
      </c>
      <c r="W69" s="346">
        <f t="shared" si="22"/>
        <v>0</v>
      </c>
      <c r="X69" s="346">
        <f t="shared" si="26"/>
        <v>0</v>
      </c>
      <c r="Y69" s="346">
        <f t="shared" si="23"/>
        <v>0</v>
      </c>
      <c r="Z69" s="346">
        <f t="shared" si="24"/>
        <v>0</v>
      </c>
      <c r="AA69" s="346">
        <f t="shared" si="29"/>
        <v>0</v>
      </c>
      <c r="AB69" s="346">
        <f t="shared" si="25"/>
        <v>0</v>
      </c>
      <c r="AC69" s="346">
        <f t="shared" si="10"/>
        <v>0</v>
      </c>
      <c r="AD69" s="346">
        <f t="shared" si="11"/>
        <v>0</v>
      </c>
      <c r="AE69" s="346">
        <f t="shared" si="12"/>
        <v>0</v>
      </c>
      <c r="AF69" s="346">
        <f t="shared" si="13"/>
        <v>0</v>
      </c>
      <c r="AG69" s="581">
        <f t="shared" si="14"/>
        <v>0</v>
      </c>
      <c r="AH69" s="582">
        <f t="shared" si="15"/>
        <v>2030.34</v>
      </c>
    </row>
    <row r="70" spans="2:34" s="167" customFormat="1" ht="33.75" x14ac:dyDescent="0.25">
      <c r="B70" s="575" t="s">
        <v>176</v>
      </c>
      <c r="C70" s="576" t="s">
        <v>177</v>
      </c>
      <c r="D70" s="577" t="s">
        <v>178</v>
      </c>
      <c r="E70" s="578" t="s">
        <v>5</v>
      </c>
      <c r="F70" s="578">
        <v>4697.45</v>
      </c>
      <c r="G70" s="578">
        <v>3</v>
      </c>
      <c r="H70" s="580"/>
      <c r="I70" s="579"/>
      <c r="J70" s="579"/>
      <c r="K70" s="580"/>
      <c r="L70" s="580"/>
      <c r="M70" s="580"/>
      <c r="N70" s="578"/>
      <c r="O70" s="578"/>
      <c r="P70" s="580"/>
      <c r="Q70" s="580"/>
      <c r="R70" s="580">
        <f>VLOOKUP(B70,'MEMÓRIA MEDIÇÃO 11'!$A$4:$F$202,6,FALSE)</f>
        <v>0</v>
      </c>
      <c r="S70" s="578">
        <f t="shared" si="6"/>
        <v>0</v>
      </c>
      <c r="T70" s="578">
        <f t="shared" si="27"/>
        <v>3</v>
      </c>
      <c r="U70" s="578">
        <f t="shared" si="28"/>
        <v>14092.349999999999</v>
      </c>
      <c r="V70" s="346">
        <f t="shared" si="21"/>
        <v>0</v>
      </c>
      <c r="W70" s="346">
        <f t="shared" si="22"/>
        <v>0</v>
      </c>
      <c r="X70" s="346">
        <f t="shared" si="26"/>
        <v>0</v>
      </c>
      <c r="Y70" s="346">
        <f t="shared" si="23"/>
        <v>0</v>
      </c>
      <c r="Z70" s="346">
        <f t="shared" si="24"/>
        <v>0</v>
      </c>
      <c r="AA70" s="346">
        <f t="shared" si="29"/>
        <v>0</v>
      </c>
      <c r="AB70" s="346">
        <f t="shared" si="25"/>
        <v>0</v>
      </c>
      <c r="AC70" s="346">
        <f t="shared" si="10"/>
        <v>0</v>
      </c>
      <c r="AD70" s="346">
        <f t="shared" si="11"/>
        <v>0</v>
      </c>
      <c r="AE70" s="346">
        <f t="shared" si="12"/>
        <v>0</v>
      </c>
      <c r="AF70" s="346">
        <f t="shared" si="13"/>
        <v>0</v>
      </c>
      <c r="AG70" s="581">
        <f t="shared" si="14"/>
        <v>0</v>
      </c>
      <c r="AH70" s="582">
        <f t="shared" si="15"/>
        <v>14092.349999999999</v>
      </c>
    </row>
    <row r="71" spans="2:34" s="167" customFormat="1" ht="33.75" x14ac:dyDescent="0.25">
      <c r="B71" s="575" t="s">
        <v>179</v>
      </c>
      <c r="C71" s="583">
        <v>91341</v>
      </c>
      <c r="D71" s="577" t="s">
        <v>181</v>
      </c>
      <c r="E71" s="578" t="s">
        <v>17</v>
      </c>
      <c r="F71" s="578">
        <v>976.37</v>
      </c>
      <c r="G71" s="578">
        <v>12.96</v>
      </c>
      <c r="H71" s="580"/>
      <c r="I71" s="579"/>
      <c r="J71" s="579"/>
      <c r="K71" s="580"/>
      <c r="L71" s="580"/>
      <c r="M71" s="580"/>
      <c r="N71" s="578"/>
      <c r="O71" s="578"/>
      <c r="P71" s="580"/>
      <c r="Q71" s="580"/>
      <c r="R71" s="580">
        <f>VLOOKUP(B71,'MEMÓRIA MEDIÇÃO 11'!$A$4:$F$202,6,FALSE)</f>
        <v>0</v>
      </c>
      <c r="S71" s="578">
        <f t="shared" si="6"/>
        <v>0</v>
      </c>
      <c r="T71" s="578">
        <f t="shared" si="27"/>
        <v>12.96</v>
      </c>
      <c r="U71" s="578">
        <f t="shared" si="28"/>
        <v>12653.755200000001</v>
      </c>
      <c r="V71" s="346">
        <f t="shared" si="21"/>
        <v>0</v>
      </c>
      <c r="W71" s="346">
        <f t="shared" si="22"/>
        <v>0</v>
      </c>
      <c r="X71" s="346">
        <f t="shared" si="26"/>
        <v>0</v>
      </c>
      <c r="Y71" s="346">
        <f t="shared" si="23"/>
        <v>0</v>
      </c>
      <c r="Z71" s="346">
        <f t="shared" si="24"/>
        <v>0</v>
      </c>
      <c r="AA71" s="346">
        <f t="shared" si="29"/>
        <v>0</v>
      </c>
      <c r="AB71" s="346">
        <f t="shared" si="25"/>
        <v>0</v>
      </c>
      <c r="AC71" s="346">
        <f t="shared" si="10"/>
        <v>0</v>
      </c>
      <c r="AD71" s="346">
        <f t="shared" si="11"/>
        <v>0</v>
      </c>
      <c r="AE71" s="346">
        <f t="shared" si="12"/>
        <v>0</v>
      </c>
      <c r="AF71" s="346">
        <f t="shared" si="13"/>
        <v>0</v>
      </c>
      <c r="AG71" s="581">
        <f t="shared" si="14"/>
        <v>0</v>
      </c>
      <c r="AH71" s="582">
        <f t="shared" si="15"/>
        <v>12653.755200000001</v>
      </c>
    </row>
    <row r="72" spans="2:34" s="167" customFormat="1" ht="33.75" x14ac:dyDescent="0.25">
      <c r="B72" s="575" t="s">
        <v>182</v>
      </c>
      <c r="C72" s="583">
        <v>100702</v>
      </c>
      <c r="D72" s="577" t="s">
        <v>184</v>
      </c>
      <c r="E72" s="578" t="s">
        <v>17</v>
      </c>
      <c r="F72" s="578">
        <v>579.9</v>
      </c>
      <c r="G72" s="578">
        <v>19.96</v>
      </c>
      <c r="H72" s="580"/>
      <c r="I72" s="579"/>
      <c r="J72" s="579"/>
      <c r="K72" s="580"/>
      <c r="L72" s="580"/>
      <c r="M72" s="580"/>
      <c r="N72" s="578"/>
      <c r="O72" s="578"/>
      <c r="P72" s="580"/>
      <c r="Q72" s="580"/>
      <c r="R72" s="580">
        <f>VLOOKUP(B72,'MEMÓRIA MEDIÇÃO 11'!$A$4:$F$202,6,FALSE)</f>
        <v>0</v>
      </c>
      <c r="S72" s="578">
        <f t="shared" si="6"/>
        <v>0</v>
      </c>
      <c r="T72" s="578">
        <f t="shared" si="27"/>
        <v>19.96</v>
      </c>
      <c r="U72" s="578">
        <f t="shared" si="28"/>
        <v>11574.804</v>
      </c>
      <c r="V72" s="346">
        <f t="shared" si="21"/>
        <v>0</v>
      </c>
      <c r="W72" s="346">
        <f t="shared" si="22"/>
        <v>0</v>
      </c>
      <c r="X72" s="346">
        <f t="shared" si="26"/>
        <v>0</v>
      </c>
      <c r="Y72" s="346">
        <f t="shared" si="23"/>
        <v>0</v>
      </c>
      <c r="Z72" s="346">
        <f t="shared" si="24"/>
        <v>0</v>
      </c>
      <c r="AA72" s="346">
        <f t="shared" si="29"/>
        <v>0</v>
      </c>
      <c r="AB72" s="346">
        <f t="shared" si="25"/>
        <v>0</v>
      </c>
      <c r="AC72" s="346">
        <f t="shared" si="10"/>
        <v>0</v>
      </c>
      <c r="AD72" s="346">
        <f t="shared" si="11"/>
        <v>0</v>
      </c>
      <c r="AE72" s="346">
        <f t="shared" si="12"/>
        <v>0</v>
      </c>
      <c r="AF72" s="346">
        <f t="shared" si="13"/>
        <v>0</v>
      </c>
      <c r="AG72" s="581">
        <f t="shared" si="14"/>
        <v>0</v>
      </c>
      <c r="AH72" s="582">
        <f t="shared" si="15"/>
        <v>11574.804</v>
      </c>
    </row>
    <row r="73" spans="2:34" s="167" customFormat="1" ht="45" x14ac:dyDescent="0.25">
      <c r="B73" s="575" t="s">
        <v>185</v>
      </c>
      <c r="C73" s="583">
        <v>90831</v>
      </c>
      <c r="D73" s="577" t="s">
        <v>187</v>
      </c>
      <c r="E73" s="578" t="s">
        <v>166</v>
      </c>
      <c r="F73" s="578">
        <v>137.30000000000001</v>
      </c>
      <c r="G73" s="578">
        <v>8</v>
      </c>
      <c r="H73" s="580"/>
      <c r="I73" s="579"/>
      <c r="J73" s="579"/>
      <c r="K73" s="580"/>
      <c r="L73" s="580"/>
      <c r="M73" s="580"/>
      <c r="N73" s="578"/>
      <c r="O73" s="578"/>
      <c r="P73" s="580"/>
      <c r="Q73" s="580"/>
      <c r="R73" s="580">
        <f>VLOOKUP(B73,'MEMÓRIA MEDIÇÃO 11'!$A$4:$F$202,6,FALSE)</f>
        <v>0</v>
      </c>
      <c r="S73" s="578">
        <f t="shared" si="6"/>
        <v>0</v>
      </c>
      <c r="T73" s="578">
        <f t="shared" si="27"/>
        <v>8</v>
      </c>
      <c r="U73" s="578">
        <f t="shared" si="28"/>
        <v>1098.4000000000001</v>
      </c>
      <c r="V73" s="346">
        <f t="shared" si="21"/>
        <v>0</v>
      </c>
      <c r="W73" s="346">
        <f t="shared" si="22"/>
        <v>0</v>
      </c>
      <c r="X73" s="346">
        <f t="shared" si="26"/>
        <v>0</v>
      </c>
      <c r="Y73" s="346">
        <f t="shared" si="23"/>
        <v>0</v>
      </c>
      <c r="Z73" s="346">
        <f t="shared" si="24"/>
        <v>0</v>
      </c>
      <c r="AA73" s="346">
        <f t="shared" si="29"/>
        <v>0</v>
      </c>
      <c r="AB73" s="346">
        <f t="shared" si="25"/>
        <v>0</v>
      </c>
      <c r="AC73" s="346">
        <f t="shared" si="10"/>
        <v>0</v>
      </c>
      <c r="AD73" s="346">
        <f t="shared" si="11"/>
        <v>0</v>
      </c>
      <c r="AE73" s="346">
        <f t="shared" si="12"/>
        <v>0</v>
      </c>
      <c r="AF73" s="346">
        <f t="shared" si="13"/>
        <v>0</v>
      </c>
      <c r="AG73" s="581">
        <f t="shared" si="14"/>
        <v>0</v>
      </c>
      <c r="AH73" s="582">
        <f t="shared" si="15"/>
        <v>1098.4000000000001</v>
      </c>
    </row>
    <row r="74" spans="2:34" s="167" customFormat="1" x14ac:dyDescent="0.25">
      <c r="B74" s="584">
        <v>1.8</v>
      </c>
      <c r="C74" s="585" t="s">
        <v>189</v>
      </c>
      <c r="D74" s="577"/>
      <c r="E74" s="589"/>
      <c r="F74" s="578"/>
      <c r="G74" s="578"/>
      <c r="H74" s="580"/>
      <c r="I74" s="579"/>
      <c r="J74" s="579"/>
      <c r="K74" s="580"/>
      <c r="L74" s="580"/>
      <c r="M74" s="580"/>
      <c r="N74" s="578"/>
      <c r="O74" s="578"/>
      <c r="P74" s="580"/>
      <c r="Q74" s="580"/>
      <c r="R74" s="580">
        <f>VLOOKUP(B74,'MEMÓRIA MEDIÇÃO 11'!$A$4:$F$202,6,FALSE)</f>
        <v>0</v>
      </c>
      <c r="S74" s="578">
        <f t="shared" si="6"/>
        <v>0</v>
      </c>
      <c r="T74" s="578"/>
      <c r="U74" s="578"/>
      <c r="V74" s="346">
        <f t="shared" si="21"/>
        <v>0</v>
      </c>
      <c r="W74" s="346">
        <f t="shared" si="22"/>
        <v>0</v>
      </c>
      <c r="X74" s="346">
        <f t="shared" si="26"/>
        <v>0</v>
      </c>
      <c r="Y74" s="346">
        <f t="shared" si="23"/>
        <v>0</v>
      </c>
      <c r="Z74" s="346">
        <f t="shared" si="24"/>
        <v>0</v>
      </c>
      <c r="AA74" s="346">
        <f t="shared" si="29"/>
        <v>0</v>
      </c>
      <c r="AB74" s="346">
        <f t="shared" si="25"/>
        <v>0</v>
      </c>
      <c r="AC74" s="346">
        <f t="shared" si="10"/>
        <v>0</v>
      </c>
      <c r="AD74" s="346">
        <f t="shared" si="11"/>
        <v>0</v>
      </c>
      <c r="AE74" s="346">
        <f t="shared" si="12"/>
        <v>0</v>
      </c>
      <c r="AF74" s="346">
        <f t="shared" si="13"/>
        <v>0</v>
      </c>
      <c r="AG74" s="581">
        <f t="shared" si="14"/>
        <v>0</v>
      </c>
      <c r="AH74" s="582">
        <f t="shared" si="15"/>
        <v>0</v>
      </c>
    </row>
    <row r="75" spans="2:34" s="167" customFormat="1" ht="22.5" x14ac:dyDescent="0.25">
      <c r="B75" s="575" t="s">
        <v>190</v>
      </c>
      <c r="C75" s="583">
        <v>88485</v>
      </c>
      <c r="D75" s="577" t="s">
        <v>192</v>
      </c>
      <c r="E75" s="589" t="s">
        <v>17</v>
      </c>
      <c r="F75" s="578">
        <v>2.74</v>
      </c>
      <c r="G75" s="578">
        <v>1666.99</v>
      </c>
      <c r="H75" s="580"/>
      <c r="I75" s="579"/>
      <c r="J75" s="579"/>
      <c r="K75" s="580"/>
      <c r="L75" s="580"/>
      <c r="M75" s="580"/>
      <c r="N75" s="578"/>
      <c r="O75" s="578"/>
      <c r="P75" s="580"/>
      <c r="Q75" s="580"/>
      <c r="R75" s="580">
        <f>VLOOKUP(B75,'MEMÓRIA MEDIÇÃO 11'!$A$4:$F$202,6,FALSE)</f>
        <v>0</v>
      </c>
      <c r="S75" s="578">
        <f t="shared" si="6"/>
        <v>0</v>
      </c>
      <c r="T75" s="578">
        <f t="shared" ref="T75:T80" si="30">G75-S75</f>
        <v>1666.99</v>
      </c>
      <c r="U75" s="578">
        <f t="shared" ref="U75:U80" si="31">F75*G75</f>
        <v>4567.5526</v>
      </c>
      <c r="V75" s="346">
        <f t="shared" si="21"/>
        <v>0</v>
      </c>
      <c r="W75" s="346">
        <f t="shared" si="22"/>
        <v>0</v>
      </c>
      <c r="X75" s="346">
        <f t="shared" si="26"/>
        <v>0</v>
      </c>
      <c r="Y75" s="346">
        <f t="shared" si="23"/>
        <v>0</v>
      </c>
      <c r="Z75" s="346">
        <f t="shared" si="24"/>
        <v>0</v>
      </c>
      <c r="AA75" s="346">
        <f t="shared" si="29"/>
        <v>0</v>
      </c>
      <c r="AB75" s="346">
        <f t="shared" si="25"/>
        <v>0</v>
      </c>
      <c r="AC75" s="346">
        <f t="shared" si="10"/>
        <v>0</v>
      </c>
      <c r="AD75" s="346">
        <f t="shared" si="11"/>
        <v>0</v>
      </c>
      <c r="AE75" s="346">
        <f t="shared" si="12"/>
        <v>0</v>
      </c>
      <c r="AF75" s="346">
        <f t="shared" si="13"/>
        <v>0</v>
      </c>
      <c r="AG75" s="581">
        <f t="shared" si="14"/>
        <v>0</v>
      </c>
      <c r="AH75" s="582">
        <f t="shared" si="15"/>
        <v>4567.5526</v>
      </c>
    </row>
    <row r="76" spans="2:34" s="167" customFormat="1" ht="22.5" x14ac:dyDescent="0.25">
      <c r="B76" s="575" t="s">
        <v>193</v>
      </c>
      <c r="C76" s="583">
        <v>88495</v>
      </c>
      <c r="D76" s="577" t="s">
        <v>195</v>
      </c>
      <c r="E76" s="589" t="s">
        <v>17</v>
      </c>
      <c r="F76" s="578">
        <v>9.86</v>
      </c>
      <c r="G76" s="578">
        <v>1666.99</v>
      </c>
      <c r="H76" s="580"/>
      <c r="I76" s="579"/>
      <c r="J76" s="579"/>
      <c r="K76" s="580"/>
      <c r="L76" s="580"/>
      <c r="M76" s="580"/>
      <c r="N76" s="578"/>
      <c r="O76" s="578"/>
      <c r="P76" s="580"/>
      <c r="Q76" s="580"/>
      <c r="R76" s="580">
        <f>VLOOKUP(B76,'MEMÓRIA MEDIÇÃO 11'!$A$4:$F$202,6,FALSE)</f>
        <v>0</v>
      </c>
      <c r="S76" s="578">
        <f t="shared" si="6"/>
        <v>0</v>
      </c>
      <c r="T76" s="578">
        <f t="shared" si="30"/>
        <v>1666.99</v>
      </c>
      <c r="U76" s="578">
        <f t="shared" si="31"/>
        <v>16436.521399999998</v>
      </c>
      <c r="V76" s="346">
        <f t="shared" si="21"/>
        <v>0</v>
      </c>
      <c r="W76" s="346">
        <f t="shared" si="22"/>
        <v>0</v>
      </c>
      <c r="X76" s="346">
        <f t="shared" si="26"/>
        <v>0</v>
      </c>
      <c r="Y76" s="346">
        <f t="shared" si="23"/>
        <v>0</v>
      </c>
      <c r="Z76" s="346">
        <f t="shared" si="24"/>
        <v>0</v>
      </c>
      <c r="AA76" s="346">
        <f t="shared" si="29"/>
        <v>0</v>
      </c>
      <c r="AB76" s="346">
        <f t="shared" si="25"/>
        <v>0</v>
      </c>
      <c r="AC76" s="346">
        <f t="shared" si="10"/>
        <v>0</v>
      </c>
      <c r="AD76" s="346">
        <f t="shared" si="11"/>
        <v>0</v>
      </c>
      <c r="AE76" s="346">
        <f t="shared" si="12"/>
        <v>0</v>
      </c>
      <c r="AF76" s="346">
        <f t="shared" si="13"/>
        <v>0</v>
      </c>
      <c r="AG76" s="581">
        <f t="shared" si="14"/>
        <v>0</v>
      </c>
      <c r="AH76" s="582">
        <f t="shared" si="15"/>
        <v>16436.521399999998</v>
      </c>
    </row>
    <row r="77" spans="2:34" s="167" customFormat="1" ht="22.5" x14ac:dyDescent="0.25">
      <c r="B77" s="575" t="s">
        <v>196</v>
      </c>
      <c r="C77" s="583">
        <v>88489</v>
      </c>
      <c r="D77" s="577" t="s">
        <v>198</v>
      </c>
      <c r="E77" s="589" t="s">
        <v>17</v>
      </c>
      <c r="F77" s="578">
        <v>12.16</v>
      </c>
      <c r="G77" s="578">
        <v>1666.99</v>
      </c>
      <c r="H77" s="580"/>
      <c r="I77" s="579"/>
      <c r="J77" s="579"/>
      <c r="K77" s="580"/>
      <c r="L77" s="580"/>
      <c r="M77" s="580"/>
      <c r="N77" s="578"/>
      <c r="O77" s="578"/>
      <c r="P77" s="580"/>
      <c r="Q77" s="580"/>
      <c r="R77" s="580">
        <f>VLOOKUP(B77,'MEMÓRIA MEDIÇÃO 11'!$A$4:$F$202,6,FALSE)</f>
        <v>0</v>
      </c>
      <c r="S77" s="578">
        <f t="shared" si="6"/>
        <v>0</v>
      </c>
      <c r="T77" s="578">
        <f t="shared" si="30"/>
        <v>1666.99</v>
      </c>
      <c r="U77" s="578">
        <f t="shared" si="31"/>
        <v>20270.598399999999</v>
      </c>
      <c r="V77" s="346">
        <f t="shared" si="21"/>
        <v>0</v>
      </c>
      <c r="W77" s="346">
        <f t="shared" si="22"/>
        <v>0</v>
      </c>
      <c r="X77" s="346">
        <f t="shared" si="26"/>
        <v>0</v>
      </c>
      <c r="Y77" s="346">
        <f t="shared" si="23"/>
        <v>0</v>
      </c>
      <c r="Z77" s="346">
        <f t="shared" si="24"/>
        <v>0</v>
      </c>
      <c r="AA77" s="346">
        <f t="shared" si="29"/>
        <v>0</v>
      </c>
      <c r="AB77" s="346">
        <f t="shared" si="25"/>
        <v>0</v>
      </c>
      <c r="AC77" s="346">
        <f t="shared" si="10"/>
        <v>0</v>
      </c>
      <c r="AD77" s="346">
        <f t="shared" si="11"/>
        <v>0</v>
      </c>
      <c r="AE77" s="346">
        <f t="shared" si="12"/>
        <v>0</v>
      </c>
      <c r="AF77" s="346">
        <f t="shared" si="13"/>
        <v>0</v>
      </c>
      <c r="AG77" s="581">
        <f t="shared" si="14"/>
        <v>0</v>
      </c>
      <c r="AH77" s="582">
        <f t="shared" si="15"/>
        <v>20270.598399999999</v>
      </c>
    </row>
    <row r="78" spans="2:34" s="167" customFormat="1" ht="22.5" x14ac:dyDescent="0.25">
      <c r="B78" s="575" t="s">
        <v>199</v>
      </c>
      <c r="C78" s="583">
        <v>88484</v>
      </c>
      <c r="D78" s="577" t="s">
        <v>201</v>
      </c>
      <c r="E78" s="589" t="s">
        <v>17</v>
      </c>
      <c r="F78" s="578">
        <v>3.1</v>
      </c>
      <c r="G78" s="578">
        <v>634.5</v>
      </c>
      <c r="H78" s="580"/>
      <c r="I78" s="579"/>
      <c r="J78" s="579"/>
      <c r="K78" s="580"/>
      <c r="L78" s="580"/>
      <c r="M78" s="580"/>
      <c r="N78" s="578"/>
      <c r="O78" s="578"/>
      <c r="P78" s="580"/>
      <c r="Q78" s="580"/>
      <c r="R78" s="580">
        <f>VLOOKUP(B78,'MEMÓRIA MEDIÇÃO 11'!$A$4:$F$202,6,FALSE)</f>
        <v>0</v>
      </c>
      <c r="S78" s="578">
        <f t="shared" si="6"/>
        <v>0</v>
      </c>
      <c r="T78" s="578">
        <f t="shared" si="30"/>
        <v>634.5</v>
      </c>
      <c r="U78" s="578">
        <f t="shared" si="31"/>
        <v>1966.95</v>
      </c>
      <c r="V78" s="346">
        <f t="shared" ref="V78:V109" si="32">F78*H78</f>
        <v>0</v>
      </c>
      <c r="W78" s="346">
        <f t="shared" ref="W78:W109" si="33">F78*I78</f>
        <v>0</v>
      </c>
      <c r="X78" s="346">
        <f t="shared" si="26"/>
        <v>0</v>
      </c>
      <c r="Y78" s="346">
        <f t="shared" ref="Y78:Y109" si="34">TRUNC(F78*K78,2)</f>
        <v>0</v>
      </c>
      <c r="Z78" s="346">
        <f t="shared" ref="Z78:Z109" si="35">TRUNC(F78*L78,2)</f>
        <v>0</v>
      </c>
      <c r="AA78" s="346">
        <f t="shared" si="29"/>
        <v>0</v>
      </c>
      <c r="AB78" s="346">
        <f t="shared" si="25"/>
        <v>0</v>
      </c>
      <c r="AC78" s="346">
        <f t="shared" si="10"/>
        <v>0</v>
      </c>
      <c r="AD78" s="346">
        <f t="shared" si="11"/>
        <v>0</v>
      </c>
      <c r="AE78" s="346">
        <f t="shared" si="12"/>
        <v>0</v>
      </c>
      <c r="AF78" s="346">
        <f t="shared" si="13"/>
        <v>0</v>
      </c>
      <c r="AG78" s="581">
        <f t="shared" si="14"/>
        <v>0</v>
      </c>
      <c r="AH78" s="582">
        <f t="shared" si="15"/>
        <v>1966.95</v>
      </c>
    </row>
    <row r="79" spans="2:34" s="167" customFormat="1" ht="22.5" x14ac:dyDescent="0.25">
      <c r="B79" s="575" t="s">
        <v>202</v>
      </c>
      <c r="C79" s="583">
        <v>88494</v>
      </c>
      <c r="D79" s="577" t="s">
        <v>204</v>
      </c>
      <c r="E79" s="589" t="s">
        <v>17</v>
      </c>
      <c r="F79" s="578">
        <v>17.43</v>
      </c>
      <c r="G79" s="578">
        <v>634.5</v>
      </c>
      <c r="H79" s="580"/>
      <c r="I79" s="579"/>
      <c r="J79" s="579"/>
      <c r="K79" s="580"/>
      <c r="L79" s="580"/>
      <c r="M79" s="580"/>
      <c r="N79" s="578"/>
      <c r="O79" s="578"/>
      <c r="P79" s="580"/>
      <c r="Q79" s="580"/>
      <c r="R79" s="580">
        <f>VLOOKUP(B79,'MEMÓRIA MEDIÇÃO 11'!$A$4:$F$202,6,FALSE)</f>
        <v>0</v>
      </c>
      <c r="S79" s="578">
        <f t="shared" ref="S79:S142" si="36">H79+I79+J79+K79+L79+M79+N79+O79+P79+Q79+R79</f>
        <v>0</v>
      </c>
      <c r="T79" s="578">
        <f t="shared" si="30"/>
        <v>634.5</v>
      </c>
      <c r="U79" s="578">
        <f t="shared" si="31"/>
        <v>11059.334999999999</v>
      </c>
      <c r="V79" s="346">
        <f t="shared" si="32"/>
        <v>0</v>
      </c>
      <c r="W79" s="346">
        <f t="shared" si="33"/>
        <v>0</v>
      </c>
      <c r="X79" s="346">
        <f t="shared" si="26"/>
        <v>0</v>
      </c>
      <c r="Y79" s="346">
        <f t="shared" si="34"/>
        <v>0</v>
      </c>
      <c r="Z79" s="346">
        <f t="shared" si="35"/>
        <v>0</v>
      </c>
      <c r="AA79" s="346">
        <f t="shared" si="29"/>
        <v>0</v>
      </c>
      <c r="AB79" s="346">
        <f t="shared" ref="AB79:AB110" si="37">F79*N79</f>
        <v>0</v>
      </c>
      <c r="AC79" s="346">
        <f t="shared" ref="AC79:AC142" si="38">TRUNC(F79*O79,2)</f>
        <v>0</v>
      </c>
      <c r="AD79" s="346">
        <f t="shared" ref="AD79:AD142" si="39">TRUNC(F79*P79,2)</f>
        <v>0</v>
      </c>
      <c r="AE79" s="346">
        <f t="shared" ref="AE79:AE142" si="40">TRUNC(F79*Q79,2)</f>
        <v>0</v>
      </c>
      <c r="AF79" s="346">
        <f t="shared" ref="AF79:AF142" si="41">ROUND(R79*F79,2)</f>
        <v>0</v>
      </c>
      <c r="AG79" s="581">
        <f t="shared" ref="AG79:AG142" si="42">V79+W79+X79+Y79+Z79+AA79+AB79+AC79+AD79+AE79+AF79</f>
        <v>0</v>
      </c>
      <c r="AH79" s="582">
        <f t="shared" ref="AH79:AH142" si="43">U79-AG79</f>
        <v>11059.334999999999</v>
      </c>
    </row>
    <row r="80" spans="2:34" s="167" customFormat="1" ht="22.5" x14ac:dyDescent="0.25">
      <c r="B80" s="575" t="s">
        <v>205</v>
      </c>
      <c r="C80" s="583">
        <v>88488</v>
      </c>
      <c r="D80" s="577" t="s">
        <v>207</v>
      </c>
      <c r="E80" s="589" t="s">
        <v>17</v>
      </c>
      <c r="F80" s="578">
        <v>13.74</v>
      </c>
      <c r="G80" s="578">
        <v>634.5</v>
      </c>
      <c r="H80" s="580"/>
      <c r="I80" s="579"/>
      <c r="J80" s="579"/>
      <c r="K80" s="580"/>
      <c r="L80" s="580"/>
      <c r="M80" s="580"/>
      <c r="N80" s="578"/>
      <c r="O80" s="578"/>
      <c r="P80" s="580"/>
      <c r="Q80" s="580"/>
      <c r="R80" s="580">
        <f>VLOOKUP(B80,'MEMÓRIA MEDIÇÃO 11'!$A$4:$F$202,6,FALSE)</f>
        <v>0</v>
      </c>
      <c r="S80" s="578">
        <f t="shared" si="36"/>
        <v>0</v>
      </c>
      <c r="T80" s="578">
        <f t="shared" si="30"/>
        <v>634.5</v>
      </c>
      <c r="U80" s="578">
        <f t="shared" si="31"/>
        <v>8718.0300000000007</v>
      </c>
      <c r="V80" s="346">
        <f t="shared" si="32"/>
        <v>0</v>
      </c>
      <c r="W80" s="346">
        <f t="shared" si="33"/>
        <v>0</v>
      </c>
      <c r="X80" s="346">
        <f t="shared" si="26"/>
        <v>0</v>
      </c>
      <c r="Y80" s="346">
        <f t="shared" si="34"/>
        <v>0</v>
      </c>
      <c r="Z80" s="346">
        <f t="shared" si="35"/>
        <v>0</v>
      </c>
      <c r="AA80" s="346">
        <f t="shared" si="29"/>
        <v>0</v>
      </c>
      <c r="AB80" s="346">
        <f t="shared" si="37"/>
        <v>0</v>
      </c>
      <c r="AC80" s="346">
        <f t="shared" si="38"/>
        <v>0</v>
      </c>
      <c r="AD80" s="346">
        <f t="shared" si="39"/>
        <v>0</v>
      </c>
      <c r="AE80" s="346">
        <f t="shared" si="40"/>
        <v>0</v>
      </c>
      <c r="AF80" s="346">
        <f t="shared" si="41"/>
        <v>0</v>
      </c>
      <c r="AG80" s="581">
        <f t="shared" si="42"/>
        <v>0</v>
      </c>
      <c r="AH80" s="582">
        <f t="shared" si="43"/>
        <v>8718.0300000000007</v>
      </c>
    </row>
    <row r="81" spans="2:34" s="167" customFormat="1" ht="14.45" customHeight="1" x14ac:dyDescent="0.25">
      <c r="B81" s="584" t="s">
        <v>208</v>
      </c>
      <c r="C81" s="585" t="s">
        <v>209</v>
      </c>
      <c r="D81" s="577"/>
      <c r="E81" s="589"/>
      <c r="F81" s="578"/>
      <c r="G81" s="578"/>
      <c r="H81" s="580"/>
      <c r="I81" s="579"/>
      <c r="J81" s="579"/>
      <c r="K81" s="580"/>
      <c r="L81" s="580"/>
      <c r="M81" s="580"/>
      <c r="N81" s="578"/>
      <c r="O81" s="578"/>
      <c r="P81" s="580"/>
      <c r="Q81" s="580"/>
      <c r="R81" s="580">
        <f>VLOOKUP(B81,'MEMÓRIA MEDIÇÃO 11'!$A$4:$F$202,6,FALSE)</f>
        <v>0</v>
      </c>
      <c r="S81" s="578">
        <f t="shared" si="36"/>
        <v>0</v>
      </c>
      <c r="T81" s="578"/>
      <c r="U81" s="578"/>
      <c r="V81" s="346">
        <f t="shared" si="32"/>
        <v>0</v>
      </c>
      <c r="W81" s="346">
        <f t="shared" si="33"/>
        <v>0</v>
      </c>
      <c r="X81" s="346">
        <f t="shared" si="26"/>
        <v>0</v>
      </c>
      <c r="Y81" s="346">
        <f t="shared" si="34"/>
        <v>0</v>
      </c>
      <c r="Z81" s="346">
        <f t="shared" si="35"/>
        <v>0</v>
      </c>
      <c r="AA81" s="346">
        <f t="shared" si="29"/>
        <v>0</v>
      </c>
      <c r="AB81" s="346">
        <f t="shared" si="37"/>
        <v>0</v>
      </c>
      <c r="AC81" s="346">
        <f t="shared" si="38"/>
        <v>0</v>
      </c>
      <c r="AD81" s="346">
        <f t="shared" si="39"/>
        <v>0</v>
      </c>
      <c r="AE81" s="346">
        <f t="shared" si="40"/>
        <v>0</v>
      </c>
      <c r="AF81" s="346">
        <f t="shared" si="41"/>
        <v>0</v>
      </c>
      <c r="AG81" s="581">
        <f t="shared" si="42"/>
        <v>0</v>
      </c>
      <c r="AH81" s="582">
        <f t="shared" si="43"/>
        <v>0</v>
      </c>
    </row>
    <row r="82" spans="2:34" s="167" customFormat="1" ht="45" x14ac:dyDescent="0.25">
      <c r="B82" s="575" t="s">
        <v>210</v>
      </c>
      <c r="C82" s="583">
        <v>87894</v>
      </c>
      <c r="D82" s="577" t="s">
        <v>212</v>
      </c>
      <c r="E82" s="589" t="s">
        <v>17</v>
      </c>
      <c r="F82" s="578">
        <v>5.72</v>
      </c>
      <c r="G82" s="578">
        <v>495.11</v>
      </c>
      <c r="H82" s="580"/>
      <c r="I82" s="579"/>
      <c r="J82" s="579"/>
      <c r="K82" s="580"/>
      <c r="L82" s="580"/>
      <c r="M82" s="580"/>
      <c r="N82" s="580">
        <f>'MEMORIAL DE CALCULO 07'!K421</f>
        <v>320.44</v>
      </c>
      <c r="O82" s="580">
        <f>'MEMORIAL DE CALCULO 08'!K424</f>
        <v>100</v>
      </c>
      <c r="P82" s="580">
        <f>'MEMORIAL DE CALCULO 09)'!K428</f>
        <v>45.930999999999997</v>
      </c>
      <c r="Q82" s="580"/>
      <c r="R82" s="580">
        <f>VLOOKUP(B82,'MEMÓRIA MEDIÇÃO 11'!$A$4:$F$202,6,FALSE)</f>
        <v>0</v>
      </c>
      <c r="S82" s="578">
        <f t="shared" si="36"/>
        <v>466.37099999999998</v>
      </c>
      <c r="T82" s="578">
        <f t="shared" ref="T82:T88" si="44">G82-S82</f>
        <v>28.739000000000033</v>
      </c>
      <c r="U82" s="578">
        <f t="shared" ref="U82:U88" si="45">F82*G82</f>
        <v>2832.0291999999999</v>
      </c>
      <c r="V82" s="346">
        <f t="shared" si="32"/>
        <v>0</v>
      </c>
      <c r="W82" s="346">
        <f t="shared" si="33"/>
        <v>0</v>
      </c>
      <c r="X82" s="346">
        <f t="shared" si="26"/>
        <v>0</v>
      </c>
      <c r="Y82" s="346">
        <f t="shared" si="34"/>
        <v>0</v>
      </c>
      <c r="Z82" s="346">
        <f t="shared" si="35"/>
        <v>0</v>
      </c>
      <c r="AA82" s="346">
        <f t="shared" si="29"/>
        <v>0</v>
      </c>
      <c r="AB82" s="346">
        <f t="shared" si="37"/>
        <v>1832.9168</v>
      </c>
      <c r="AC82" s="346">
        <f t="shared" si="38"/>
        <v>572</v>
      </c>
      <c r="AD82" s="346">
        <f t="shared" si="39"/>
        <v>262.72000000000003</v>
      </c>
      <c r="AE82" s="346">
        <f t="shared" si="40"/>
        <v>0</v>
      </c>
      <c r="AF82" s="346">
        <f t="shared" si="41"/>
        <v>0</v>
      </c>
      <c r="AG82" s="581">
        <f t="shared" si="42"/>
        <v>2667.6368000000002</v>
      </c>
      <c r="AH82" s="582">
        <f t="shared" si="43"/>
        <v>164.39239999999972</v>
      </c>
    </row>
    <row r="83" spans="2:34" s="167" customFormat="1" ht="56.25" x14ac:dyDescent="0.25">
      <c r="B83" s="575" t="s">
        <v>213</v>
      </c>
      <c r="C83" s="583">
        <v>104233</v>
      </c>
      <c r="D83" s="577" t="s">
        <v>215</v>
      </c>
      <c r="E83" s="589" t="s">
        <v>17</v>
      </c>
      <c r="F83" s="578">
        <v>31.53</v>
      </c>
      <c r="G83" s="578">
        <v>466.37</v>
      </c>
      <c r="H83" s="580"/>
      <c r="I83" s="579"/>
      <c r="J83" s="579"/>
      <c r="K83" s="580"/>
      <c r="L83" s="580"/>
      <c r="M83" s="580"/>
      <c r="N83" s="580"/>
      <c r="O83" s="580">
        <f>'MEMORIAL DE CALCULO 08'!K427</f>
        <v>278.39999999999998</v>
      </c>
      <c r="P83" s="580">
        <f>'MEMORIAL DE CALCULO 09)'!K430</f>
        <v>187.97049999999999</v>
      </c>
      <c r="Q83" s="580"/>
      <c r="R83" s="580">
        <f>VLOOKUP(B83,'MEMÓRIA MEDIÇÃO 11'!$A$4:$F$202,6,FALSE)</f>
        <v>0</v>
      </c>
      <c r="S83" s="578">
        <f t="shared" si="36"/>
        <v>466.37049999999999</v>
      </c>
      <c r="T83" s="578">
        <f t="shared" si="44"/>
        <v>-4.9999999998817657E-4</v>
      </c>
      <c r="U83" s="578">
        <f t="shared" si="45"/>
        <v>14704.6461</v>
      </c>
      <c r="V83" s="346">
        <f t="shared" si="32"/>
        <v>0</v>
      </c>
      <c r="W83" s="346">
        <f t="shared" si="33"/>
        <v>0</v>
      </c>
      <c r="X83" s="346">
        <f t="shared" si="26"/>
        <v>0</v>
      </c>
      <c r="Y83" s="346">
        <f t="shared" si="34"/>
        <v>0</v>
      </c>
      <c r="Z83" s="346">
        <f t="shared" si="35"/>
        <v>0</v>
      </c>
      <c r="AA83" s="346">
        <f t="shared" si="29"/>
        <v>0</v>
      </c>
      <c r="AB83" s="346">
        <f t="shared" si="37"/>
        <v>0</v>
      </c>
      <c r="AC83" s="346">
        <f t="shared" si="38"/>
        <v>8777.9500000000007</v>
      </c>
      <c r="AD83" s="346">
        <f t="shared" si="39"/>
        <v>5926.7</v>
      </c>
      <c r="AE83" s="346">
        <f t="shared" si="40"/>
        <v>0</v>
      </c>
      <c r="AF83" s="346">
        <f t="shared" si="41"/>
        <v>0</v>
      </c>
      <c r="AG83" s="581">
        <f t="shared" si="42"/>
        <v>14704.650000000001</v>
      </c>
      <c r="AH83" s="582">
        <f t="shared" si="43"/>
        <v>-3.9000000015221303E-3</v>
      </c>
    </row>
    <row r="84" spans="2:34" s="167" customFormat="1" ht="33.75" x14ac:dyDescent="0.25">
      <c r="B84" s="575" t="s">
        <v>216</v>
      </c>
      <c r="C84" s="576" t="s">
        <v>217</v>
      </c>
      <c r="D84" s="587" t="s">
        <v>218</v>
      </c>
      <c r="E84" s="589" t="s">
        <v>17</v>
      </c>
      <c r="F84" s="589">
        <v>154.75</v>
      </c>
      <c r="G84" s="578">
        <v>32.5</v>
      </c>
      <c r="H84" s="588"/>
      <c r="I84" s="588"/>
      <c r="J84" s="579"/>
      <c r="K84" s="588"/>
      <c r="L84" s="588"/>
      <c r="M84" s="588"/>
      <c r="N84" s="580"/>
      <c r="O84" s="580"/>
      <c r="P84" s="580"/>
      <c r="Q84" s="580"/>
      <c r="R84" s="580">
        <f>VLOOKUP(B84,'MEMÓRIA MEDIÇÃO 11'!$A$4:$F$202,6,FALSE)</f>
        <v>0</v>
      </c>
      <c r="S84" s="578">
        <f t="shared" si="36"/>
        <v>0</v>
      </c>
      <c r="T84" s="578">
        <f t="shared" si="44"/>
        <v>32.5</v>
      </c>
      <c r="U84" s="578">
        <f t="shared" si="45"/>
        <v>5029.375</v>
      </c>
      <c r="V84" s="346">
        <f t="shared" si="32"/>
        <v>0</v>
      </c>
      <c r="W84" s="346">
        <f t="shared" si="33"/>
        <v>0</v>
      </c>
      <c r="X84" s="346">
        <f t="shared" si="26"/>
        <v>0</v>
      </c>
      <c r="Y84" s="346">
        <f t="shared" si="34"/>
        <v>0</v>
      </c>
      <c r="Z84" s="346">
        <f t="shared" si="35"/>
        <v>0</v>
      </c>
      <c r="AA84" s="346">
        <f t="shared" si="29"/>
        <v>0</v>
      </c>
      <c r="AB84" s="346">
        <f t="shared" si="37"/>
        <v>0</v>
      </c>
      <c r="AC84" s="346">
        <f t="shared" si="38"/>
        <v>0</v>
      </c>
      <c r="AD84" s="346">
        <f t="shared" si="39"/>
        <v>0</v>
      </c>
      <c r="AE84" s="346">
        <f t="shared" si="40"/>
        <v>0</v>
      </c>
      <c r="AF84" s="346">
        <f t="shared" si="41"/>
        <v>0</v>
      </c>
      <c r="AG84" s="581">
        <f t="shared" si="42"/>
        <v>0</v>
      </c>
      <c r="AH84" s="582">
        <f t="shared" si="43"/>
        <v>5029.375</v>
      </c>
    </row>
    <row r="85" spans="2:34" s="167" customFormat="1" ht="33.75" x14ac:dyDescent="0.25">
      <c r="B85" s="575" t="s">
        <v>219</v>
      </c>
      <c r="C85" s="576" t="s">
        <v>220</v>
      </c>
      <c r="D85" s="577" t="s">
        <v>221</v>
      </c>
      <c r="E85" s="589" t="s">
        <v>222</v>
      </c>
      <c r="F85" s="578">
        <v>228.6</v>
      </c>
      <c r="G85" s="578">
        <v>29.5</v>
      </c>
      <c r="H85" s="580"/>
      <c r="I85" s="580"/>
      <c r="J85" s="579"/>
      <c r="K85" s="580"/>
      <c r="L85" s="580"/>
      <c r="M85" s="580"/>
      <c r="N85" s="578"/>
      <c r="O85" s="578"/>
      <c r="P85" s="580"/>
      <c r="Q85" s="580"/>
      <c r="R85" s="580">
        <f>VLOOKUP(B85,'MEMÓRIA MEDIÇÃO 11'!$A$4:$F$202,6,FALSE)</f>
        <v>0</v>
      </c>
      <c r="S85" s="578">
        <f t="shared" si="36"/>
        <v>0</v>
      </c>
      <c r="T85" s="578">
        <f t="shared" si="44"/>
        <v>29.5</v>
      </c>
      <c r="U85" s="578">
        <f t="shared" si="45"/>
        <v>6743.7</v>
      </c>
      <c r="V85" s="346">
        <f t="shared" si="32"/>
        <v>0</v>
      </c>
      <c r="W85" s="346">
        <f t="shared" si="33"/>
        <v>0</v>
      </c>
      <c r="X85" s="346">
        <f t="shared" si="26"/>
        <v>0</v>
      </c>
      <c r="Y85" s="346">
        <f t="shared" si="34"/>
        <v>0</v>
      </c>
      <c r="Z85" s="346">
        <f t="shared" si="35"/>
        <v>0</v>
      </c>
      <c r="AA85" s="346">
        <f t="shared" si="29"/>
        <v>0</v>
      </c>
      <c r="AB85" s="346">
        <f t="shared" si="37"/>
        <v>0</v>
      </c>
      <c r="AC85" s="346">
        <f t="shared" si="38"/>
        <v>0</v>
      </c>
      <c r="AD85" s="346">
        <f t="shared" si="39"/>
        <v>0</v>
      </c>
      <c r="AE85" s="346">
        <f t="shared" si="40"/>
        <v>0</v>
      </c>
      <c r="AF85" s="346">
        <f t="shared" si="41"/>
        <v>0</v>
      </c>
      <c r="AG85" s="581">
        <f t="shared" si="42"/>
        <v>0</v>
      </c>
      <c r="AH85" s="582">
        <f t="shared" si="43"/>
        <v>6743.7</v>
      </c>
    </row>
    <row r="86" spans="2:34" s="167" customFormat="1" ht="22.5" x14ac:dyDescent="0.25">
      <c r="B86" s="575" t="s">
        <v>223</v>
      </c>
      <c r="C86" s="583">
        <v>88485</v>
      </c>
      <c r="D86" s="577" t="s">
        <v>192</v>
      </c>
      <c r="E86" s="589" t="s">
        <v>17</v>
      </c>
      <c r="F86" s="578">
        <v>2.74</v>
      </c>
      <c r="G86" s="578">
        <v>404.37</v>
      </c>
      <c r="H86" s="580"/>
      <c r="I86" s="580"/>
      <c r="J86" s="579"/>
      <c r="K86" s="580"/>
      <c r="L86" s="580"/>
      <c r="M86" s="580"/>
      <c r="N86" s="578"/>
      <c r="O86" s="578"/>
      <c r="P86" s="580"/>
      <c r="Q86" s="580"/>
      <c r="R86" s="580">
        <f>VLOOKUP(B86,'MEMÓRIA MEDIÇÃO 11'!$A$4:$F$202,6,FALSE)</f>
        <v>0</v>
      </c>
      <c r="S86" s="578">
        <f t="shared" si="36"/>
        <v>0</v>
      </c>
      <c r="T86" s="578">
        <f t="shared" si="44"/>
        <v>404.37</v>
      </c>
      <c r="U86" s="578">
        <f t="shared" si="45"/>
        <v>1107.9738000000002</v>
      </c>
      <c r="V86" s="346">
        <f t="shared" si="32"/>
        <v>0</v>
      </c>
      <c r="W86" s="346">
        <f t="shared" si="33"/>
        <v>0</v>
      </c>
      <c r="X86" s="346">
        <f t="shared" si="26"/>
        <v>0</v>
      </c>
      <c r="Y86" s="346">
        <f t="shared" si="34"/>
        <v>0</v>
      </c>
      <c r="Z86" s="346">
        <f t="shared" si="35"/>
        <v>0</v>
      </c>
      <c r="AA86" s="346">
        <f t="shared" si="29"/>
        <v>0</v>
      </c>
      <c r="AB86" s="346">
        <f t="shared" si="37"/>
        <v>0</v>
      </c>
      <c r="AC86" s="346">
        <f t="shared" si="38"/>
        <v>0</v>
      </c>
      <c r="AD86" s="346">
        <f t="shared" si="39"/>
        <v>0</v>
      </c>
      <c r="AE86" s="346">
        <f t="shared" si="40"/>
        <v>0</v>
      </c>
      <c r="AF86" s="346">
        <f t="shared" si="41"/>
        <v>0</v>
      </c>
      <c r="AG86" s="581">
        <f t="shared" si="42"/>
        <v>0</v>
      </c>
      <c r="AH86" s="582">
        <f t="shared" si="43"/>
        <v>1107.9738000000002</v>
      </c>
    </row>
    <row r="87" spans="2:34" s="167" customFormat="1" ht="22.5" x14ac:dyDescent="0.25">
      <c r="B87" s="575" t="s">
        <v>224</v>
      </c>
      <c r="C87" s="583">
        <v>96130</v>
      </c>
      <c r="D87" s="577" t="s">
        <v>226</v>
      </c>
      <c r="E87" s="589" t="s">
        <v>17</v>
      </c>
      <c r="F87" s="578">
        <v>17.11</v>
      </c>
      <c r="G87" s="578">
        <v>404.37</v>
      </c>
      <c r="H87" s="580"/>
      <c r="I87" s="580"/>
      <c r="J87" s="579"/>
      <c r="K87" s="580"/>
      <c r="L87" s="580"/>
      <c r="M87" s="580"/>
      <c r="N87" s="578"/>
      <c r="O87" s="578"/>
      <c r="P87" s="580"/>
      <c r="Q87" s="580"/>
      <c r="R87" s="580">
        <f>VLOOKUP(B87,'MEMÓRIA MEDIÇÃO 11'!$A$4:$F$202,6,FALSE)</f>
        <v>0</v>
      </c>
      <c r="S87" s="578">
        <f t="shared" si="36"/>
        <v>0</v>
      </c>
      <c r="T87" s="578">
        <f t="shared" si="44"/>
        <v>404.37</v>
      </c>
      <c r="U87" s="578">
        <f t="shared" si="45"/>
        <v>6918.7707</v>
      </c>
      <c r="V87" s="346">
        <f t="shared" si="32"/>
        <v>0</v>
      </c>
      <c r="W87" s="346">
        <f t="shared" si="33"/>
        <v>0</v>
      </c>
      <c r="X87" s="346">
        <f t="shared" si="26"/>
        <v>0</v>
      </c>
      <c r="Y87" s="346">
        <f t="shared" si="34"/>
        <v>0</v>
      </c>
      <c r="Z87" s="346">
        <f t="shared" si="35"/>
        <v>0</v>
      </c>
      <c r="AA87" s="346">
        <f t="shared" si="29"/>
        <v>0</v>
      </c>
      <c r="AB87" s="346">
        <f t="shared" si="37"/>
        <v>0</v>
      </c>
      <c r="AC87" s="346">
        <f t="shared" si="38"/>
        <v>0</v>
      </c>
      <c r="AD87" s="346">
        <f t="shared" si="39"/>
        <v>0</v>
      </c>
      <c r="AE87" s="346">
        <f t="shared" si="40"/>
        <v>0</v>
      </c>
      <c r="AF87" s="346">
        <f t="shared" si="41"/>
        <v>0</v>
      </c>
      <c r="AG87" s="581">
        <f t="shared" si="42"/>
        <v>0</v>
      </c>
      <c r="AH87" s="582">
        <f t="shared" si="43"/>
        <v>6918.7707</v>
      </c>
    </row>
    <row r="88" spans="2:34" s="167" customFormat="1" ht="22.5" x14ac:dyDescent="0.25">
      <c r="B88" s="575" t="s">
        <v>227</v>
      </c>
      <c r="C88" s="583">
        <v>88489</v>
      </c>
      <c r="D88" s="577" t="s">
        <v>198</v>
      </c>
      <c r="E88" s="589" t="s">
        <v>17</v>
      </c>
      <c r="F88" s="578">
        <v>12.16</v>
      </c>
      <c r="G88" s="578">
        <v>404.37</v>
      </c>
      <c r="H88" s="580"/>
      <c r="I88" s="580"/>
      <c r="J88" s="579"/>
      <c r="K88" s="580"/>
      <c r="L88" s="580"/>
      <c r="M88" s="580"/>
      <c r="N88" s="578"/>
      <c r="O88" s="578"/>
      <c r="P88" s="580"/>
      <c r="Q88" s="580"/>
      <c r="R88" s="580">
        <f>VLOOKUP(B88,'MEMÓRIA MEDIÇÃO 11'!$A$4:$F$202,6,FALSE)</f>
        <v>0</v>
      </c>
      <c r="S88" s="578">
        <f t="shared" si="36"/>
        <v>0</v>
      </c>
      <c r="T88" s="578">
        <f t="shared" si="44"/>
        <v>404.37</v>
      </c>
      <c r="U88" s="578">
        <f t="shared" si="45"/>
        <v>4917.1392000000005</v>
      </c>
      <c r="V88" s="346">
        <f t="shared" si="32"/>
        <v>0</v>
      </c>
      <c r="W88" s="346">
        <f t="shared" si="33"/>
        <v>0</v>
      </c>
      <c r="X88" s="346">
        <f t="shared" si="26"/>
        <v>0</v>
      </c>
      <c r="Y88" s="346">
        <f t="shared" si="34"/>
        <v>0</v>
      </c>
      <c r="Z88" s="346">
        <f t="shared" si="35"/>
        <v>0</v>
      </c>
      <c r="AA88" s="346">
        <f t="shared" si="29"/>
        <v>0</v>
      </c>
      <c r="AB88" s="346">
        <f t="shared" si="37"/>
        <v>0</v>
      </c>
      <c r="AC88" s="346">
        <f t="shared" si="38"/>
        <v>0</v>
      </c>
      <c r="AD88" s="346">
        <f t="shared" si="39"/>
        <v>0</v>
      </c>
      <c r="AE88" s="346">
        <f t="shared" si="40"/>
        <v>0</v>
      </c>
      <c r="AF88" s="346">
        <f t="shared" si="41"/>
        <v>0</v>
      </c>
      <c r="AG88" s="581">
        <f t="shared" si="42"/>
        <v>0</v>
      </c>
      <c r="AH88" s="582">
        <f t="shared" si="43"/>
        <v>4917.1392000000005</v>
      </c>
    </row>
    <row r="89" spans="2:34" s="167" customFormat="1" ht="14.45" customHeight="1" x14ac:dyDescent="0.25">
      <c r="B89" s="585">
        <v>1.1000000000000001</v>
      </c>
      <c r="C89" s="585" t="s">
        <v>229</v>
      </c>
      <c r="D89" s="577"/>
      <c r="E89" s="589"/>
      <c r="F89" s="578"/>
      <c r="G89" s="578"/>
      <c r="H89" s="580"/>
      <c r="I89" s="580"/>
      <c r="J89" s="579"/>
      <c r="K89" s="580"/>
      <c r="L89" s="580"/>
      <c r="M89" s="580"/>
      <c r="N89" s="578"/>
      <c r="O89" s="578"/>
      <c r="P89" s="580"/>
      <c r="Q89" s="580"/>
      <c r="R89" s="580">
        <f>VLOOKUP(B89,'MEMÓRIA MEDIÇÃO 11'!$A$4:$F$202,6,FALSE)</f>
        <v>0</v>
      </c>
      <c r="S89" s="578">
        <f t="shared" si="36"/>
        <v>0</v>
      </c>
      <c r="T89" s="578"/>
      <c r="U89" s="578"/>
      <c r="V89" s="346">
        <f t="shared" si="32"/>
        <v>0</v>
      </c>
      <c r="W89" s="346">
        <f t="shared" si="33"/>
        <v>0</v>
      </c>
      <c r="X89" s="346">
        <f t="shared" si="26"/>
        <v>0</v>
      </c>
      <c r="Y89" s="346">
        <f t="shared" si="34"/>
        <v>0</v>
      </c>
      <c r="Z89" s="346">
        <f t="shared" si="35"/>
        <v>0</v>
      </c>
      <c r="AA89" s="346">
        <f t="shared" si="29"/>
        <v>0</v>
      </c>
      <c r="AB89" s="346">
        <f t="shared" si="37"/>
        <v>0</v>
      </c>
      <c r="AC89" s="346">
        <f t="shared" si="38"/>
        <v>0</v>
      </c>
      <c r="AD89" s="346">
        <f t="shared" si="39"/>
        <v>0</v>
      </c>
      <c r="AE89" s="346">
        <f t="shared" si="40"/>
        <v>0</v>
      </c>
      <c r="AF89" s="346">
        <f t="shared" si="41"/>
        <v>0</v>
      </c>
      <c r="AG89" s="581">
        <f t="shared" si="42"/>
        <v>0</v>
      </c>
      <c r="AH89" s="582">
        <f t="shared" si="43"/>
        <v>0</v>
      </c>
    </row>
    <row r="90" spans="2:34" s="167" customFormat="1" ht="33.75" x14ac:dyDescent="0.25">
      <c r="B90" s="575" t="s">
        <v>230</v>
      </c>
      <c r="C90" s="583">
        <v>92868</v>
      </c>
      <c r="D90" s="577" t="s">
        <v>232</v>
      </c>
      <c r="E90" s="590" t="s">
        <v>166</v>
      </c>
      <c r="F90" s="590">
        <v>13.45</v>
      </c>
      <c r="G90" s="578">
        <v>121</v>
      </c>
      <c r="H90" s="580"/>
      <c r="I90" s="580"/>
      <c r="J90" s="579"/>
      <c r="K90" s="580"/>
      <c r="L90" s="580"/>
      <c r="M90" s="580"/>
      <c r="N90" s="578"/>
      <c r="O90" s="578"/>
      <c r="P90" s="580"/>
      <c r="Q90" s="580">
        <v>121</v>
      </c>
      <c r="R90" s="580">
        <f>VLOOKUP(B90,'MEMÓRIA MEDIÇÃO 11'!$A$4:$F$202,6,FALSE)</f>
        <v>0</v>
      </c>
      <c r="S90" s="578">
        <f t="shared" si="36"/>
        <v>121</v>
      </c>
      <c r="T90" s="578">
        <f t="shared" ref="T90:T117" si="46">G90-S90</f>
        <v>0</v>
      </c>
      <c r="U90" s="578">
        <f t="shared" ref="U90:U117" si="47">F90*G90</f>
        <v>1627.4499999999998</v>
      </c>
      <c r="V90" s="346">
        <f t="shared" si="32"/>
        <v>0</v>
      </c>
      <c r="W90" s="346">
        <f t="shared" si="33"/>
        <v>0</v>
      </c>
      <c r="X90" s="346">
        <f t="shared" si="26"/>
        <v>0</v>
      </c>
      <c r="Y90" s="346">
        <f t="shared" si="34"/>
        <v>0</v>
      </c>
      <c r="Z90" s="346">
        <f t="shared" si="35"/>
        <v>0</v>
      </c>
      <c r="AA90" s="346">
        <f t="shared" si="29"/>
        <v>0</v>
      </c>
      <c r="AB90" s="346">
        <f t="shared" si="37"/>
        <v>0</v>
      </c>
      <c r="AC90" s="346">
        <f t="shared" si="38"/>
        <v>0</v>
      </c>
      <c r="AD90" s="346">
        <f t="shared" si="39"/>
        <v>0</v>
      </c>
      <c r="AE90" s="346">
        <f t="shared" si="40"/>
        <v>1627.45</v>
      </c>
      <c r="AF90" s="346">
        <f t="shared" si="41"/>
        <v>0</v>
      </c>
      <c r="AG90" s="581">
        <f t="shared" si="42"/>
        <v>1627.45</v>
      </c>
      <c r="AH90" s="582">
        <f t="shared" si="43"/>
        <v>0</v>
      </c>
    </row>
    <row r="91" spans="2:34" s="167" customFormat="1" ht="22.5" x14ac:dyDescent="0.25">
      <c r="B91" s="575" t="s">
        <v>233</v>
      </c>
      <c r="C91" s="583">
        <v>91937</v>
      </c>
      <c r="D91" s="577" t="s">
        <v>235</v>
      </c>
      <c r="E91" s="590" t="s">
        <v>166</v>
      </c>
      <c r="F91" s="590">
        <v>11.14</v>
      </c>
      <c r="G91" s="578">
        <v>76</v>
      </c>
      <c r="H91" s="580"/>
      <c r="I91" s="580"/>
      <c r="J91" s="579"/>
      <c r="K91" s="580"/>
      <c r="L91" s="580"/>
      <c r="M91" s="580"/>
      <c r="N91" s="578"/>
      <c r="O91" s="578"/>
      <c r="P91" s="580"/>
      <c r="Q91" s="580"/>
      <c r="R91" s="580">
        <f>VLOOKUP(B91,'MEMÓRIA MEDIÇÃO 11'!$A$4:$F$202,6,FALSE)</f>
        <v>0</v>
      </c>
      <c r="S91" s="578">
        <f t="shared" si="36"/>
        <v>0</v>
      </c>
      <c r="T91" s="578">
        <f t="shared" si="46"/>
        <v>76</v>
      </c>
      <c r="U91" s="578">
        <f t="shared" si="47"/>
        <v>846.6400000000001</v>
      </c>
      <c r="V91" s="346">
        <f t="shared" si="32"/>
        <v>0</v>
      </c>
      <c r="W91" s="346">
        <f t="shared" si="33"/>
        <v>0</v>
      </c>
      <c r="X91" s="346">
        <f t="shared" ref="X91:X122" si="48">F91*J91</f>
        <v>0</v>
      </c>
      <c r="Y91" s="346">
        <f t="shared" si="34"/>
        <v>0</v>
      </c>
      <c r="Z91" s="346">
        <f t="shared" si="35"/>
        <v>0</v>
      </c>
      <c r="AA91" s="346">
        <f t="shared" si="29"/>
        <v>0</v>
      </c>
      <c r="AB91" s="346">
        <f t="shared" si="37"/>
        <v>0</v>
      </c>
      <c r="AC91" s="346">
        <f t="shared" si="38"/>
        <v>0</v>
      </c>
      <c r="AD91" s="346">
        <f t="shared" si="39"/>
        <v>0</v>
      </c>
      <c r="AE91" s="346">
        <f t="shared" si="40"/>
        <v>0</v>
      </c>
      <c r="AF91" s="346">
        <f t="shared" si="41"/>
        <v>0</v>
      </c>
      <c r="AG91" s="581">
        <f t="shared" si="42"/>
        <v>0</v>
      </c>
      <c r="AH91" s="582">
        <f t="shared" si="43"/>
        <v>846.6400000000001</v>
      </c>
    </row>
    <row r="92" spans="2:34" s="167" customFormat="1" ht="33.75" x14ac:dyDescent="0.25">
      <c r="B92" s="575" t="s">
        <v>236</v>
      </c>
      <c r="C92" s="583">
        <v>91924</v>
      </c>
      <c r="D92" s="577" t="s">
        <v>238</v>
      </c>
      <c r="E92" s="590" t="s">
        <v>37</v>
      </c>
      <c r="F92" s="590">
        <v>2.7</v>
      </c>
      <c r="G92" s="578">
        <v>1253.8</v>
      </c>
      <c r="H92" s="580"/>
      <c r="I92" s="580"/>
      <c r="J92" s="579"/>
      <c r="K92" s="580"/>
      <c r="L92" s="580"/>
      <c r="M92" s="580"/>
      <c r="N92" s="578"/>
      <c r="O92" s="578"/>
      <c r="P92" s="580"/>
      <c r="Q92" s="580"/>
      <c r="R92" s="580">
        <f>VLOOKUP(B92,'MEMÓRIA MEDIÇÃO 11'!$A$4:$F$202,6,FALSE)</f>
        <v>0</v>
      </c>
      <c r="S92" s="578">
        <f t="shared" si="36"/>
        <v>0</v>
      </c>
      <c r="T92" s="578">
        <f t="shared" si="46"/>
        <v>1253.8</v>
      </c>
      <c r="U92" s="578">
        <f t="shared" si="47"/>
        <v>3385.26</v>
      </c>
      <c r="V92" s="346">
        <f t="shared" si="32"/>
        <v>0</v>
      </c>
      <c r="W92" s="346">
        <f t="shared" si="33"/>
        <v>0</v>
      </c>
      <c r="X92" s="346">
        <f t="shared" si="48"/>
        <v>0</v>
      </c>
      <c r="Y92" s="346">
        <f t="shared" si="34"/>
        <v>0</v>
      </c>
      <c r="Z92" s="346">
        <f t="shared" si="35"/>
        <v>0</v>
      </c>
      <c r="AA92" s="346">
        <f t="shared" si="29"/>
        <v>0</v>
      </c>
      <c r="AB92" s="346">
        <f t="shared" si="37"/>
        <v>0</v>
      </c>
      <c r="AC92" s="346">
        <f t="shared" si="38"/>
        <v>0</v>
      </c>
      <c r="AD92" s="346">
        <f t="shared" si="39"/>
        <v>0</v>
      </c>
      <c r="AE92" s="346">
        <f t="shared" si="40"/>
        <v>0</v>
      </c>
      <c r="AF92" s="346">
        <f t="shared" si="41"/>
        <v>0</v>
      </c>
      <c r="AG92" s="581">
        <f t="shared" si="42"/>
        <v>0</v>
      </c>
      <c r="AH92" s="582">
        <f t="shared" si="43"/>
        <v>3385.26</v>
      </c>
    </row>
    <row r="93" spans="2:34" s="167" customFormat="1" ht="33.75" x14ac:dyDescent="0.25">
      <c r="B93" s="575" t="s">
        <v>239</v>
      </c>
      <c r="C93" s="583">
        <v>91926</v>
      </c>
      <c r="D93" s="577" t="s">
        <v>241</v>
      </c>
      <c r="E93" s="590" t="s">
        <v>37</v>
      </c>
      <c r="F93" s="590">
        <v>3.98</v>
      </c>
      <c r="G93" s="578">
        <v>1496.3</v>
      </c>
      <c r="H93" s="580"/>
      <c r="I93" s="580"/>
      <c r="J93" s="579"/>
      <c r="K93" s="580"/>
      <c r="L93" s="580"/>
      <c r="M93" s="580"/>
      <c r="N93" s="578"/>
      <c r="O93" s="578"/>
      <c r="P93" s="580"/>
      <c r="Q93" s="580"/>
      <c r="R93" s="580">
        <f>VLOOKUP(B93,'MEMÓRIA MEDIÇÃO 11'!$A$4:$F$202,6,FALSE)</f>
        <v>0</v>
      </c>
      <c r="S93" s="578">
        <f t="shared" si="36"/>
        <v>0</v>
      </c>
      <c r="T93" s="578">
        <f t="shared" si="46"/>
        <v>1496.3</v>
      </c>
      <c r="U93" s="578">
        <f t="shared" si="47"/>
        <v>5955.2739999999994</v>
      </c>
      <c r="V93" s="346">
        <f t="shared" si="32"/>
        <v>0</v>
      </c>
      <c r="W93" s="346">
        <f t="shared" si="33"/>
        <v>0</v>
      </c>
      <c r="X93" s="346">
        <f t="shared" si="48"/>
        <v>0</v>
      </c>
      <c r="Y93" s="346">
        <f t="shared" si="34"/>
        <v>0</v>
      </c>
      <c r="Z93" s="346">
        <f t="shared" si="35"/>
        <v>0</v>
      </c>
      <c r="AA93" s="346">
        <f t="shared" si="29"/>
        <v>0</v>
      </c>
      <c r="AB93" s="346">
        <f t="shared" si="37"/>
        <v>0</v>
      </c>
      <c r="AC93" s="346">
        <f t="shared" si="38"/>
        <v>0</v>
      </c>
      <c r="AD93" s="346">
        <f t="shared" si="39"/>
        <v>0</v>
      </c>
      <c r="AE93" s="346">
        <f t="shared" si="40"/>
        <v>0</v>
      </c>
      <c r="AF93" s="346">
        <f t="shared" si="41"/>
        <v>0</v>
      </c>
      <c r="AG93" s="581">
        <f t="shared" si="42"/>
        <v>0</v>
      </c>
      <c r="AH93" s="582">
        <f t="shared" si="43"/>
        <v>5955.2739999999994</v>
      </c>
    </row>
    <row r="94" spans="2:34" s="167" customFormat="1" ht="33.75" x14ac:dyDescent="0.25">
      <c r="B94" s="575" t="s">
        <v>242</v>
      </c>
      <c r="C94" s="583">
        <v>91928</v>
      </c>
      <c r="D94" s="587" t="s">
        <v>244</v>
      </c>
      <c r="E94" s="590" t="s">
        <v>37</v>
      </c>
      <c r="F94" s="590">
        <v>6.23</v>
      </c>
      <c r="G94" s="578">
        <v>284.60000000000002</v>
      </c>
      <c r="H94" s="588"/>
      <c r="I94" s="588"/>
      <c r="J94" s="579"/>
      <c r="K94" s="588"/>
      <c r="L94" s="588"/>
      <c r="M94" s="588"/>
      <c r="N94" s="588"/>
      <c r="O94" s="588"/>
      <c r="P94" s="588"/>
      <c r="Q94" s="588"/>
      <c r="R94" s="580">
        <f>VLOOKUP(B94,'MEMÓRIA MEDIÇÃO 11'!$A$4:$F$202,6,FALSE)</f>
        <v>0</v>
      </c>
      <c r="S94" s="578">
        <f t="shared" si="36"/>
        <v>0</v>
      </c>
      <c r="T94" s="578">
        <f t="shared" si="46"/>
        <v>284.60000000000002</v>
      </c>
      <c r="U94" s="578">
        <f t="shared" si="47"/>
        <v>1773.0580000000002</v>
      </c>
      <c r="V94" s="346">
        <f t="shared" si="32"/>
        <v>0</v>
      </c>
      <c r="W94" s="346">
        <f t="shared" si="33"/>
        <v>0</v>
      </c>
      <c r="X94" s="346">
        <f t="shared" si="48"/>
        <v>0</v>
      </c>
      <c r="Y94" s="346">
        <f t="shared" si="34"/>
        <v>0</v>
      </c>
      <c r="Z94" s="346">
        <f t="shared" si="35"/>
        <v>0</v>
      </c>
      <c r="AA94" s="346">
        <f t="shared" si="29"/>
        <v>0</v>
      </c>
      <c r="AB94" s="346">
        <f t="shared" si="37"/>
        <v>0</v>
      </c>
      <c r="AC94" s="346">
        <f t="shared" si="38"/>
        <v>0</v>
      </c>
      <c r="AD94" s="346">
        <f t="shared" si="39"/>
        <v>0</v>
      </c>
      <c r="AE94" s="346">
        <f t="shared" si="40"/>
        <v>0</v>
      </c>
      <c r="AF94" s="346">
        <f t="shared" si="41"/>
        <v>0</v>
      </c>
      <c r="AG94" s="581">
        <f t="shared" si="42"/>
        <v>0</v>
      </c>
      <c r="AH94" s="582">
        <f t="shared" si="43"/>
        <v>1773.0580000000002</v>
      </c>
    </row>
    <row r="95" spans="2:34" s="167" customFormat="1" ht="33.75" x14ac:dyDescent="0.25">
      <c r="B95" s="575" t="s">
        <v>245</v>
      </c>
      <c r="C95" s="583">
        <v>91931</v>
      </c>
      <c r="D95" s="577" t="s">
        <v>247</v>
      </c>
      <c r="E95" s="590" t="s">
        <v>37</v>
      </c>
      <c r="F95" s="590">
        <v>9.51</v>
      </c>
      <c r="G95" s="578">
        <v>224</v>
      </c>
      <c r="H95" s="580"/>
      <c r="I95" s="580"/>
      <c r="J95" s="579"/>
      <c r="K95" s="580"/>
      <c r="L95" s="580"/>
      <c r="M95" s="580"/>
      <c r="N95" s="578"/>
      <c r="O95" s="578"/>
      <c r="P95" s="580"/>
      <c r="Q95" s="580"/>
      <c r="R95" s="580">
        <f>VLOOKUP(B95,'MEMÓRIA MEDIÇÃO 11'!$A$4:$F$202,6,FALSE)</f>
        <v>0</v>
      </c>
      <c r="S95" s="578">
        <f t="shared" si="36"/>
        <v>0</v>
      </c>
      <c r="T95" s="578">
        <f t="shared" si="46"/>
        <v>224</v>
      </c>
      <c r="U95" s="578">
        <f t="shared" si="47"/>
        <v>2130.2399999999998</v>
      </c>
      <c r="V95" s="346">
        <f t="shared" si="32"/>
        <v>0</v>
      </c>
      <c r="W95" s="346">
        <f t="shared" si="33"/>
        <v>0</v>
      </c>
      <c r="X95" s="346">
        <f t="shared" si="48"/>
        <v>0</v>
      </c>
      <c r="Y95" s="346">
        <f t="shared" si="34"/>
        <v>0</v>
      </c>
      <c r="Z95" s="346">
        <f t="shared" si="35"/>
        <v>0</v>
      </c>
      <c r="AA95" s="346">
        <f t="shared" si="29"/>
        <v>0</v>
      </c>
      <c r="AB95" s="346">
        <f t="shared" si="37"/>
        <v>0</v>
      </c>
      <c r="AC95" s="346">
        <f t="shared" si="38"/>
        <v>0</v>
      </c>
      <c r="AD95" s="346">
        <f t="shared" si="39"/>
        <v>0</v>
      </c>
      <c r="AE95" s="346">
        <f t="shared" si="40"/>
        <v>0</v>
      </c>
      <c r="AF95" s="346">
        <f t="shared" si="41"/>
        <v>0</v>
      </c>
      <c r="AG95" s="581">
        <f t="shared" si="42"/>
        <v>0</v>
      </c>
      <c r="AH95" s="582">
        <f t="shared" si="43"/>
        <v>2130.2399999999998</v>
      </c>
    </row>
    <row r="96" spans="2:34" s="167" customFormat="1" ht="22.5" x14ac:dyDescent="0.25">
      <c r="B96" s="575" t="s">
        <v>248</v>
      </c>
      <c r="C96" s="583">
        <v>39773</v>
      </c>
      <c r="D96" s="577" t="s">
        <v>250</v>
      </c>
      <c r="E96" s="590" t="s">
        <v>166</v>
      </c>
      <c r="F96" s="590">
        <v>101.17</v>
      </c>
      <c r="G96" s="578">
        <v>2</v>
      </c>
      <c r="H96" s="580"/>
      <c r="I96" s="580"/>
      <c r="J96" s="579"/>
      <c r="K96" s="580"/>
      <c r="L96" s="580"/>
      <c r="M96" s="580"/>
      <c r="N96" s="578"/>
      <c r="O96" s="578"/>
      <c r="P96" s="580"/>
      <c r="Q96" s="580"/>
      <c r="R96" s="580">
        <f>VLOOKUP(B96,'MEMÓRIA MEDIÇÃO 11'!$A$4:$F$202,6,FALSE)</f>
        <v>0</v>
      </c>
      <c r="S96" s="578">
        <f t="shared" si="36"/>
        <v>0</v>
      </c>
      <c r="T96" s="578">
        <f t="shared" si="46"/>
        <v>2</v>
      </c>
      <c r="U96" s="578">
        <f t="shared" si="47"/>
        <v>202.34</v>
      </c>
      <c r="V96" s="346">
        <f t="shared" si="32"/>
        <v>0</v>
      </c>
      <c r="W96" s="346">
        <f t="shared" si="33"/>
        <v>0</v>
      </c>
      <c r="X96" s="346">
        <f t="shared" si="48"/>
        <v>0</v>
      </c>
      <c r="Y96" s="346">
        <f t="shared" si="34"/>
        <v>0</v>
      </c>
      <c r="Z96" s="346">
        <f t="shared" si="35"/>
        <v>0</v>
      </c>
      <c r="AA96" s="346">
        <f t="shared" si="29"/>
        <v>0</v>
      </c>
      <c r="AB96" s="346">
        <f t="shared" si="37"/>
        <v>0</v>
      </c>
      <c r="AC96" s="346">
        <f t="shared" si="38"/>
        <v>0</v>
      </c>
      <c r="AD96" s="346">
        <f t="shared" si="39"/>
        <v>0</v>
      </c>
      <c r="AE96" s="346">
        <f t="shared" si="40"/>
        <v>0</v>
      </c>
      <c r="AF96" s="346">
        <f t="shared" si="41"/>
        <v>0</v>
      </c>
      <c r="AG96" s="581">
        <f t="shared" si="42"/>
        <v>0</v>
      </c>
      <c r="AH96" s="582">
        <f t="shared" si="43"/>
        <v>202.34</v>
      </c>
    </row>
    <row r="97" spans="2:34" s="167" customFormat="1" ht="22.5" x14ac:dyDescent="0.25">
      <c r="B97" s="575" t="s">
        <v>251</v>
      </c>
      <c r="C97" s="583">
        <v>101890</v>
      </c>
      <c r="D97" s="577" t="s">
        <v>253</v>
      </c>
      <c r="E97" s="590" t="s">
        <v>166</v>
      </c>
      <c r="F97" s="590">
        <v>15.35</v>
      </c>
      <c r="G97" s="578">
        <v>19</v>
      </c>
      <c r="H97" s="580"/>
      <c r="I97" s="580"/>
      <c r="J97" s="579"/>
      <c r="K97" s="580"/>
      <c r="L97" s="580"/>
      <c r="M97" s="580"/>
      <c r="N97" s="578"/>
      <c r="O97" s="578"/>
      <c r="P97" s="580"/>
      <c r="Q97" s="580"/>
      <c r="R97" s="580">
        <f>VLOOKUP(B97,'MEMÓRIA MEDIÇÃO 11'!$A$4:$F$202,6,FALSE)</f>
        <v>0</v>
      </c>
      <c r="S97" s="578">
        <f t="shared" si="36"/>
        <v>0</v>
      </c>
      <c r="T97" s="578">
        <f t="shared" si="46"/>
        <v>19</v>
      </c>
      <c r="U97" s="578">
        <f t="shared" si="47"/>
        <v>291.64999999999998</v>
      </c>
      <c r="V97" s="346">
        <f t="shared" si="32"/>
        <v>0</v>
      </c>
      <c r="W97" s="346">
        <f t="shared" si="33"/>
        <v>0</v>
      </c>
      <c r="X97" s="346">
        <f t="shared" si="48"/>
        <v>0</v>
      </c>
      <c r="Y97" s="346">
        <f t="shared" si="34"/>
        <v>0</v>
      </c>
      <c r="Z97" s="346">
        <f t="shared" si="35"/>
        <v>0</v>
      </c>
      <c r="AA97" s="346">
        <f t="shared" si="29"/>
        <v>0</v>
      </c>
      <c r="AB97" s="346">
        <f t="shared" si="37"/>
        <v>0</v>
      </c>
      <c r="AC97" s="346">
        <f t="shared" si="38"/>
        <v>0</v>
      </c>
      <c r="AD97" s="346">
        <f t="shared" si="39"/>
        <v>0</v>
      </c>
      <c r="AE97" s="346">
        <f t="shared" si="40"/>
        <v>0</v>
      </c>
      <c r="AF97" s="346">
        <f t="shared" si="41"/>
        <v>0</v>
      </c>
      <c r="AG97" s="581">
        <f t="shared" si="42"/>
        <v>0</v>
      </c>
      <c r="AH97" s="582">
        <f t="shared" si="43"/>
        <v>291.64999999999998</v>
      </c>
    </row>
    <row r="98" spans="2:34" s="167" customFormat="1" ht="22.5" x14ac:dyDescent="0.25">
      <c r="B98" s="575" t="s">
        <v>254</v>
      </c>
      <c r="C98" s="583">
        <v>93670</v>
      </c>
      <c r="D98" s="577" t="s">
        <v>256</v>
      </c>
      <c r="E98" s="590" t="s">
        <v>166</v>
      </c>
      <c r="F98" s="590">
        <v>73.97</v>
      </c>
      <c r="G98" s="578">
        <v>1</v>
      </c>
      <c r="H98" s="580"/>
      <c r="I98" s="580"/>
      <c r="J98" s="579"/>
      <c r="K98" s="580"/>
      <c r="L98" s="580"/>
      <c r="M98" s="580"/>
      <c r="N98" s="578"/>
      <c r="O98" s="578"/>
      <c r="P98" s="580"/>
      <c r="Q98" s="580"/>
      <c r="R98" s="580">
        <f>VLOOKUP(B98,'MEMÓRIA MEDIÇÃO 11'!$A$4:$F$202,6,FALSE)</f>
        <v>0</v>
      </c>
      <c r="S98" s="578">
        <f t="shared" si="36"/>
        <v>0</v>
      </c>
      <c r="T98" s="578">
        <f t="shared" si="46"/>
        <v>1</v>
      </c>
      <c r="U98" s="578">
        <f t="shared" si="47"/>
        <v>73.97</v>
      </c>
      <c r="V98" s="346">
        <f t="shared" si="32"/>
        <v>0</v>
      </c>
      <c r="W98" s="346">
        <f t="shared" si="33"/>
        <v>0</v>
      </c>
      <c r="X98" s="346">
        <f t="shared" si="48"/>
        <v>0</v>
      </c>
      <c r="Y98" s="346">
        <f t="shared" si="34"/>
        <v>0</v>
      </c>
      <c r="Z98" s="346">
        <f t="shared" si="35"/>
        <v>0</v>
      </c>
      <c r="AA98" s="346">
        <f t="shared" ref="AA98:AA129" si="49">M98*F98</f>
        <v>0</v>
      </c>
      <c r="AB98" s="346">
        <f t="shared" si="37"/>
        <v>0</v>
      </c>
      <c r="AC98" s="346">
        <f t="shared" si="38"/>
        <v>0</v>
      </c>
      <c r="AD98" s="346">
        <f t="shared" si="39"/>
        <v>0</v>
      </c>
      <c r="AE98" s="346">
        <f t="shared" si="40"/>
        <v>0</v>
      </c>
      <c r="AF98" s="346">
        <f t="shared" si="41"/>
        <v>0</v>
      </c>
      <c r="AG98" s="581">
        <f t="shared" si="42"/>
        <v>0</v>
      </c>
      <c r="AH98" s="582">
        <f t="shared" si="43"/>
        <v>73.97</v>
      </c>
    </row>
    <row r="99" spans="2:34" s="167" customFormat="1" ht="22.5" x14ac:dyDescent="0.25">
      <c r="B99" s="575" t="s">
        <v>257</v>
      </c>
      <c r="C99" s="583">
        <v>93671</v>
      </c>
      <c r="D99" s="577" t="s">
        <v>259</v>
      </c>
      <c r="E99" s="590" t="s">
        <v>166</v>
      </c>
      <c r="F99" s="590">
        <v>77.569999999999993</v>
      </c>
      <c r="G99" s="578">
        <v>1</v>
      </c>
      <c r="H99" s="580"/>
      <c r="I99" s="580"/>
      <c r="J99" s="579"/>
      <c r="K99" s="580"/>
      <c r="L99" s="580"/>
      <c r="M99" s="580"/>
      <c r="N99" s="578"/>
      <c r="O99" s="578"/>
      <c r="P99" s="580"/>
      <c r="Q99" s="580"/>
      <c r="R99" s="580">
        <f>VLOOKUP(B99,'MEMÓRIA MEDIÇÃO 11'!$A$4:$F$202,6,FALSE)</f>
        <v>0</v>
      </c>
      <c r="S99" s="578">
        <f t="shared" si="36"/>
        <v>0</v>
      </c>
      <c r="T99" s="578">
        <f t="shared" si="46"/>
        <v>1</v>
      </c>
      <c r="U99" s="578">
        <f t="shared" si="47"/>
        <v>77.569999999999993</v>
      </c>
      <c r="V99" s="346">
        <f t="shared" si="32"/>
        <v>0</v>
      </c>
      <c r="W99" s="346">
        <f t="shared" si="33"/>
        <v>0</v>
      </c>
      <c r="X99" s="346">
        <f t="shared" si="48"/>
        <v>0</v>
      </c>
      <c r="Y99" s="346">
        <f t="shared" si="34"/>
        <v>0</v>
      </c>
      <c r="Z99" s="346">
        <f t="shared" si="35"/>
        <v>0</v>
      </c>
      <c r="AA99" s="346">
        <f t="shared" si="49"/>
        <v>0</v>
      </c>
      <c r="AB99" s="346">
        <f t="shared" si="37"/>
        <v>0</v>
      </c>
      <c r="AC99" s="346">
        <f t="shared" si="38"/>
        <v>0</v>
      </c>
      <c r="AD99" s="346">
        <f t="shared" si="39"/>
        <v>0</v>
      </c>
      <c r="AE99" s="346">
        <f t="shared" si="40"/>
        <v>0</v>
      </c>
      <c r="AF99" s="346">
        <f t="shared" si="41"/>
        <v>0</v>
      </c>
      <c r="AG99" s="581">
        <f t="shared" si="42"/>
        <v>0</v>
      </c>
      <c r="AH99" s="582">
        <f t="shared" si="43"/>
        <v>77.569999999999993</v>
      </c>
    </row>
    <row r="100" spans="2:34" s="167" customFormat="1" ht="22.5" x14ac:dyDescent="0.25">
      <c r="B100" s="575" t="s">
        <v>260</v>
      </c>
      <c r="C100" s="583">
        <v>39466</v>
      </c>
      <c r="D100" s="577" t="s">
        <v>262</v>
      </c>
      <c r="E100" s="590" t="s">
        <v>166</v>
      </c>
      <c r="F100" s="590">
        <v>74.81</v>
      </c>
      <c r="G100" s="578">
        <v>6</v>
      </c>
      <c r="H100" s="580"/>
      <c r="I100" s="580"/>
      <c r="J100" s="579"/>
      <c r="K100" s="580"/>
      <c r="L100" s="580"/>
      <c r="M100" s="580"/>
      <c r="N100" s="578"/>
      <c r="O100" s="578"/>
      <c r="P100" s="580"/>
      <c r="Q100" s="580"/>
      <c r="R100" s="580">
        <f>VLOOKUP(B100,'MEMÓRIA MEDIÇÃO 11'!$A$4:$F$202,6,FALSE)</f>
        <v>0</v>
      </c>
      <c r="S100" s="578">
        <f t="shared" si="36"/>
        <v>0</v>
      </c>
      <c r="T100" s="578">
        <f t="shared" si="46"/>
        <v>6</v>
      </c>
      <c r="U100" s="578">
        <f t="shared" si="47"/>
        <v>448.86</v>
      </c>
      <c r="V100" s="346">
        <f t="shared" si="32"/>
        <v>0</v>
      </c>
      <c r="W100" s="346">
        <f t="shared" si="33"/>
        <v>0</v>
      </c>
      <c r="X100" s="346">
        <f t="shared" si="48"/>
        <v>0</v>
      </c>
      <c r="Y100" s="346">
        <f t="shared" si="34"/>
        <v>0</v>
      </c>
      <c r="Z100" s="346">
        <f t="shared" si="35"/>
        <v>0</v>
      </c>
      <c r="AA100" s="346">
        <f t="shared" si="49"/>
        <v>0</v>
      </c>
      <c r="AB100" s="346">
        <f t="shared" si="37"/>
        <v>0</v>
      </c>
      <c r="AC100" s="346">
        <f t="shared" si="38"/>
        <v>0</v>
      </c>
      <c r="AD100" s="346">
        <f t="shared" si="39"/>
        <v>0</v>
      </c>
      <c r="AE100" s="346">
        <f t="shared" si="40"/>
        <v>0</v>
      </c>
      <c r="AF100" s="346">
        <f t="shared" si="41"/>
        <v>0</v>
      </c>
      <c r="AG100" s="581">
        <f t="shared" si="42"/>
        <v>0</v>
      </c>
      <c r="AH100" s="582">
        <f t="shared" si="43"/>
        <v>448.86</v>
      </c>
    </row>
    <row r="101" spans="2:34" s="167" customFormat="1" ht="22.5" x14ac:dyDescent="0.25">
      <c r="B101" s="575" t="s">
        <v>263</v>
      </c>
      <c r="C101" s="583">
        <v>39445</v>
      </c>
      <c r="D101" s="577" t="s">
        <v>265</v>
      </c>
      <c r="E101" s="590" t="s">
        <v>166</v>
      </c>
      <c r="F101" s="590">
        <v>136.80000000000001</v>
      </c>
      <c r="G101" s="578">
        <v>1</v>
      </c>
      <c r="H101" s="580"/>
      <c r="I101" s="580"/>
      <c r="J101" s="579"/>
      <c r="K101" s="580"/>
      <c r="L101" s="580"/>
      <c r="M101" s="580"/>
      <c r="N101" s="578"/>
      <c r="O101" s="578"/>
      <c r="P101" s="580"/>
      <c r="Q101" s="580"/>
      <c r="R101" s="580">
        <f>VLOOKUP(B101,'MEMÓRIA MEDIÇÃO 11'!$A$4:$F$202,6,FALSE)</f>
        <v>0</v>
      </c>
      <c r="S101" s="578">
        <f t="shared" si="36"/>
        <v>0</v>
      </c>
      <c r="T101" s="578">
        <f t="shared" si="46"/>
        <v>1</v>
      </c>
      <c r="U101" s="578">
        <f t="shared" si="47"/>
        <v>136.80000000000001</v>
      </c>
      <c r="V101" s="346">
        <f t="shared" si="32"/>
        <v>0</v>
      </c>
      <c r="W101" s="346">
        <f t="shared" si="33"/>
        <v>0</v>
      </c>
      <c r="X101" s="346">
        <f t="shared" si="48"/>
        <v>0</v>
      </c>
      <c r="Y101" s="346">
        <f t="shared" si="34"/>
        <v>0</v>
      </c>
      <c r="Z101" s="346">
        <f t="shared" si="35"/>
        <v>0</v>
      </c>
      <c r="AA101" s="346">
        <f t="shared" si="49"/>
        <v>0</v>
      </c>
      <c r="AB101" s="346">
        <f t="shared" si="37"/>
        <v>0</v>
      </c>
      <c r="AC101" s="346">
        <f t="shared" si="38"/>
        <v>0</v>
      </c>
      <c r="AD101" s="346">
        <f t="shared" si="39"/>
        <v>0</v>
      </c>
      <c r="AE101" s="346">
        <f t="shared" si="40"/>
        <v>0</v>
      </c>
      <c r="AF101" s="346">
        <f t="shared" si="41"/>
        <v>0</v>
      </c>
      <c r="AG101" s="581">
        <f t="shared" si="42"/>
        <v>0</v>
      </c>
      <c r="AH101" s="582">
        <f t="shared" si="43"/>
        <v>136.80000000000001</v>
      </c>
    </row>
    <row r="102" spans="2:34" s="167" customFormat="1" ht="22.5" x14ac:dyDescent="0.25">
      <c r="B102" s="575" t="s">
        <v>266</v>
      </c>
      <c r="C102" s="583">
        <v>39446</v>
      </c>
      <c r="D102" s="577" t="s">
        <v>268</v>
      </c>
      <c r="E102" s="590" t="s">
        <v>166</v>
      </c>
      <c r="F102" s="590">
        <v>139.25</v>
      </c>
      <c r="G102" s="578">
        <v>1</v>
      </c>
      <c r="H102" s="580"/>
      <c r="I102" s="580"/>
      <c r="J102" s="579"/>
      <c r="K102" s="580"/>
      <c r="L102" s="580"/>
      <c r="M102" s="580"/>
      <c r="N102" s="578"/>
      <c r="O102" s="578"/>
      <c r="P102" s="580"/>
      <c r="Q102" s="580"/>
      <c r="R102" s="580">
        <f>VLOOKUP(B102,'MEMÓRIA MEDIÇÃO 11'!$A$4:$F$202,6,FALSE)</f>
        <v>0</v>
      </c>
      <c r="S102" s="578">
        <f t="shared" si="36"/>
        <v>0</v>
      </c>
      <c r="T102" s="578">
        <f t="shared" si="46"/>
        <v>1</v>
      </c>
      <c r="U102" s="578">
        <f t="shared" si="47"/>
        <v>139.25</v>
      </c>
      <c r="V102" s="346">
        <f t="shared" si="32"/>
        <v>0</v>
      </c>
      <c r="W102" s="346">
        <f t="shared" si="33"/>
        <v>0</v>
      </c>
      <c r="X102" s="346">
        <f t="shared" si="48"/>
        <v>0</v>
      </c>
      <c r="Y102" s="346">
        <f t="shared" si="34"/>
        <v>0</v>
      </c>
      <c r="Z102" s="346">
        <f t="shared" si="35"/>
        <v>0</v>
      </c>
      <c r="AA102" s="346">
        <f t="shared" si="49"/>
        <v>0</v>
      </c>
      <c r="AB102" s="346">
        <f t="shared" si="37"/>
        <v>0</v>
      </c>
      <c r="AC102" s="346">
        <f t="shared" si="38"/>
        <v>0</v>
      </c>
      <c r="AD102" s="346">
        <f t="shared" si="39"/>
        <v>0</v>
      </c>
      <c r="AE102" s="346">
        <f t="shared" si="40"/>
        <v>0</v>
      </c>
      <c r="AF102" s="346">
        <f t="shared" si="41"/>
        <v>0</v>
      </c>
      <c r="AG102" s="581">
        <f t="shared" si="42"/>
        <v>0</v>
      </c>
      <c r="AH102" s="582">
        <f t="shared" si="43"/>
        <v>139.25</v>
      </c>
    </row>
    <row r="103" spans="2:34" s="167" customFormat="1" ht="33.75" x14ac:dyDescent="0.25">
      <c r="B103" s="575" t="s">
        <v>269</v>
      </c>
      <c r="C103" s="583">
        <v>91953</v>
      </c>
      <c r="D103" s="577" t="s">
        <v>271</v>
      </c>
      <c r="E103" s="590" t="s">
        <v>166</v>
      </c>
      <c r="F103" s="590">
        <v>25.8</v>
      </c>
      <c r="G103" s="578">
        <v>24</v>
      </c>
      <c r="H103" s="580"/>
      <c r="I103" s="580"/>
      <c r="J103" s="579"/>
      <c r="K103" s="580"/>
      <c r="L103" s="580"/>
      <c r="M103" s="580"/>
      <c r="N103" s="578"/>
      <c r="O103" s="578"/>
      <c r="P103" s="580"/>
      <c r="Q103" s="580"/>
      <c r="R103" s="580">
        <f>VLOOKUP(B103,'MEMÓRIA MEDIÇÃO 11'!$A$4:$F$202,6,FALSE)</f>
        <v>0</v>
      </c>
      <c r="S103" s="578">
        <f t="shared" si="36"/>
        <v>0</v>
      </c>
      <c r="T103" s="578">
        <f t="shared" si="46"/>
        <v>24</v>
      </c>
      <c r="U103" s="578">
        <f t="shared" si="47"/>
        <v>619.20000000000005</v>
      </c>
      <c r="V103" s="346">
        <f t="shared" si="32"/>
        <v>0</v>
      </c>
      <c r="W103" s="346">
        <f t="shared" si="33"/>
        <v>0</v>
      </c>
      <c r="X103" s="346">
        <f t="shared" si="48"/>
        <v>0</v>
      </c>
      <c r="Y103" s="346">
        <f t="shared" si="34"/>
        <v>0</v>
      </c>
      <c r="Z103" s="346">
        <f t="shared" si="35"/>
        <v>0</v>
      </c>
      <c r="AA103" s="346">
        <f t="shared" si="49"/>
        <v>0</v>
      </c>
      <c r="AB103" s="346">
        <f t="shared" si="37"/>
        <v>0</v>
      </c>
      <c r="AC103" s="346">
        <f t="shared" si="38"/>
        <v>0</v>
      </c>
      <c r="AD103" s="346">
        <f t="shared" si="39"/>
        <v>0</v>
      </c>
      <c r="AE103" s="346">
        <f t="shared" si="40"/>
        <v>0</v>
      </c>
      <c r="AF103" s="346">
        <f t="shared" si="41"/>
        <v>0</v>
      </c>
      <c r="AG103" s="581">
        <f t="shared" si="42"/>
        <v>0</v>
      </c>
      <c r="AH103" s="582">
        <f t="shared" si="43"/>
        <v>619.20000000000005</v>
      </c>
    </row>
    <row r="104" spans="2:34" s="167" customFormat="1" ht="33.75" x14ac:dyDescent="0.25">
      <c r="B104" s="575" t="s">
        <v>272</v>
      </c>
      <c r="C104" s="583">
        <v>91967</v>
      </c>
      <c r="D104" s="577" t="s">
        <v>274</v>
      </c>
      <c r="E104" s="590" t="s">
        <v>166</v>
      </c>
      <c r="F104" s="590">
        <v>53.44</v>
      </c>
      <c r="G104" s="578">
        <v>1</v>
      </c>
      <c r="H104" s="580"/>
      <c r="I104" s="580"/>
      <c r="J104" s="579"/>
      <c r="K104" s="580"/>
      <c r="L104" s="580"/>
      <c r="M104" s="580"/>
      <c r="N104" s="578"/>
      <c r="O104" s="578"/>
      <c r="P104" s="580"/>
      <c r="Q104" s="580"/>
      <c r="R104" s="580">
        <f>VLOOKUP(B104,'MEMÓRIA MEDIÇÃO 11'!$A$4:$F$202,6,FALSE)</f>
        <v>0</v>
      </c>
      <c r="S104" s="578">
        <f t="shared" si="36"/>
        <v>0</v>
      </c>
      <c r="T104" s="578">
        <f t="shared" si="46"/>
        <v>1</v>
      </c>
      <c r="U104" s="578">
        <f t="shared" si="47"/>
        <v>53.44</v>
      </c>
      <c r="V104" s="346">
        <f t="shared" si="32"/>
        <v>0</v>
      </c>
      <c r="W104" s="346">
        <f t="shared" si="33"/>
        <v>0</v>
      </c>
      <c r="X104" s="346">
        <f t="shared" si="48"/>
        <v>0</v>
      </c>
      <c r="Y104" s="346">
        <f t="shared" si="34"/>
        <v>0</v>
      </c>
      <c r="Z104" s="346">
        <f t="shared" si="35"/>
        <v>0</v>
      </c>
      <c r="AA104" s="346">
        <f t="shared" si="49"/>
        <v>0</v>
      </c>
      <c r="AB104" s="346">
        <f t="shared" si="37"/>
        <v>0</v>
      </c>
      <c r="AC104" s="346">
        <f t="shared" si="38"/>
        <v>0</v>
      </c>
      <c r="AD104" s="346">
        <f t="shared" si="39"/>
        <v>0</v>
      </c>
      <c r="AE104" s="346">
        <f t="shared" si="40"/>
        <v>0</v>
      </c>
      <c r="AF104" s="346">
        <f t="shared" si="41"/>
        <v>0</v>
      </c>
      <c r="AG104" s="581">
        <f t="shared" si="42"/>
        <v>0</v>
      </c>
      <c r="AH104" s="582">
        <f t="shared" si="43"/>
        <v>53.44</v>
      </c>
    </row>
    <row r="105" spans="2:34" s="167" customFormat="1" ht="33.75" x14ac:dyDescent="0.25">
      <c r="B105" s="575" t="s">
        <v>275</v>
      </c>
      <c r="C105" s="583">
        <v>92000</v>
      </c>
      <c r="D105" s="577" t="s">
        <v>277</v>
      </c>
      <c r="E105" s="590" t="s">
        <v>166</v>
      </c>
      <c r="F105" s="590">
        <v>27.19</v>
      </c>
      <c r="G105" s="578">
        <v>54</v>
      </c>
      <c r="H105" s="580"/>
      <c r="I105" s="580"/>
      <c r="J105" s="579"/>
      <c r="K105" s="580"/>
      <c r="L105" s="580"/>
      <c r="M105" s="580"/>
      <c r="N105" s="578"/>
      <c r="O105" s="578"/>
      <c r="P105" s="580"/>
      <c r="Q105" s="580"/>
      <c r="R105" s="580">
        <f>VLOOKUP(B105,'MEMÓRIA MEDIÇÃO 11'!$A$4:$F$202,6,FALSE)</f>
        <v>0</v>
      </c>
      <c r="S105" s="578">
        <f t="shared" si="36"/>
        <v>0</v>
      </c>
      <c r="T105" s="578">
        <f t="shared" si="46"/>
        <v>54</v>
      </c>
      <c r="U105" s="578">
        <f t="shared" si="47"/>
        <v>1468.26</v>
      </c>
      <c r="V105" s="346">
        <f t="shared" si="32"/>
        <v>0</v>
      </c>
      <c r="W105" s="346">
        <f t="shared" si="33"/>
        <v>0</v>
      </c>
      <c r="X105" s="346">
        <f t="shared" si="48"/>
        <v>0</v>
      </c>
      <c r="Y105" s="346">
        <f t="shared" si="34"/>
        <v>0</v>
      </c>
      <c r="Z105" s="346">
        <f t="shared" si="35"/>
        <v>0</v>
      </c>
      <c r="AA105" s="346">
        <f t="shared" si="49"/>
        <v>0</v>
      </c>
      <c r="AB105" s="346">
        <f t="shared" si="37"/>
        <v>0</v>
      </c>
      <c r="AC105" s="346">
        <f t="shared" si="38"/>
        <v>0</v>
      </c>
      <c r="AD105" s="346">
        <f t="shared" si="39"/>
        <v>0</v>
      </c>
      <c r="AE105" s="346">
        <f t="shared" si="40"/>
        <v>0</v>
      </c>
      <c r="AF105" s="346">
        <f t="shared" si="41"/>
        <v>0</v>
      </c>
      <c r="AG105" s="581">
        <f t="shared" si="42"/>
        <v>0</v>
      </c>
      <c r="AH105" s="582">
        <f t="shared" si="43"/>
        <v>1468.26</v>
      </c>
    </row>
    <row r="106" spans="2:34" s="167" customFormat="1" ht="33.75" x14ac:dyDescent="0.25">
      <c r="B106" s="575" t="s">
        <v>278</v>
      </c>
      <c r="C106" s="583">
        <v>92008</v>
      </c>
      <c r="D106" s="577" t="s">
        <v>280</v>
      </c>
      <c r="E106" s="590" t="s">
        <v>166</v>
      </c>
      <c r="F106" s="590">
        <v>42.35</v>
      </c>
      <c r="G106" s="578">
        <v>11</v>
      </c>
      <c r="H106" s="580"/>
      <c r="I106" s="580"/>
      <c r="J106" s="579"/>
      <c r="K106" s="580"/>
      <c r="L106" s="580"/>
      <c r="M106" s="580"/>
      <c r="N106" s="578"/>
      <c r="O106" s="578"/>
      <c r="P106" s="580"/>
      <c r="Q106" s="580"/>
      <c r="R106" s="580">
        <f>VLOOKUP(B106,'MEMÓRIA MEDIÇÃO 11'!$A$4:$F$202,6,FALSE)</f>
        <v>0</v>
      </c>
      <c r="S106" s="578">
        <f t="shared" si="36"/>
        <v>0</v>
      </c>
      <c r="T106" s="578">
        <f t="shared" si="46"/>
        <v>11</v>
      </c>
      <c r="U106" s="578">
        <f t="shared" si="47"/>
        <v>465.85</v>
      </c>
      <c r="V106" s="346">
        <f t="shared" si="32"/>
        <v>0</v>
      </c>
      <c r="W106" s="346">
        <f t="shared" si="33"/>
        <v>0</v>
      </c>
      <c r="X106" s="346">
        <f t="shared" si="48"/>
        <v>0</v>
      </c>
      <c r="Y106" s="346">
        <f t="shared" si="34"/>
        <v>0</v>
      </c>
      <c r="Z106" s="346">
        <f t="shared" si="35"/>
        <v>0</v>
      </c>
      <c r="AA106" s="346">
        <f t="shared" si="49"/>
        <v>0</v>
      </c>
      <c r="AB106" s="346">
        <f t="shared" si="37"/>
        <v>0</v>
      </c>
      <c r="AC106" s="346">
        <f t="shared" si="38"/>
        <v>0</v>
      </c>
      <c r="AD106" s="346">
        <f t="shared" si="39"/>
        <v>0</v>
      </c>
      <c r="AE106" s="346">
        <f t="shared" si="40"/>
        <v>0</v>
      </c>
      <c r="AF106" s="346">
        <f t="shared" si="41"/>
        <v>0</v>
      </c>
      <c r="AG106" s="581">
        <f t="shared" si="42"/>
        <v>0</v>
      </c>
      <c r="AH106" s="582">
        <f t="shared" si="43"/>
        <v>465.85</v>
      </c>
    </row>
    <row r="107" spans="2:34" s="167" customFormat="1" ht="33.75" x14ac:dyDescent="0.25">
      <c r="B107" s="575" t="s">
        <v>281</v>
      </c>
      <c r="C107" s="583">
        <v>91959</v>
      </c>
      <c r="D107" s="587" t="s">
        <v>283</v>
      </c>
      <c r="E107" s="590" t="s">
        <v>166</v>
      </c>
      <c r="F107" s="590">
        <v>39.619999999999997</v>
      </c>
      <c r="G107" s="578">
        <v>2</v>
      </c>
      <c r="H107" s="588"/>
      <c r="I107" s="588"/>
      <c r="J107" s="579"/>
      <c r="K107" s="588"/>
      <c r="L107" s="588"/>
      <c r="M107" s="588"/>
      <c r="N107" s="588"/>
      <c r="O107" s="588"/>
      <c r="P107" s="588"/>
      <c r="Q107" s="588"/>
      <c r="R107" s="580">
        <f>VLOOKUP(B107,'MEMÓRIA MEDIÇÃO 11'!$A$4:$F$202,6,FALSE)</f>
        <v>0</v>
      </c>
      <c r="S107" s="578">
        <f t="shared" si="36"/>
        <v>0</v>
      </c>
      <c r="T107" s="578">
        <f t="shared" si="46"/>
        <v>2</v>
      </c>
      <c r="U107" s="578">
        <f t="shared" si="47"/>
        <v>79.239999999999995</v>
      </c>
      <c r="V107" s="346">
        <f t="shared" si="32"/>
        <v>0</v>
      </c>
      <c r="W107" s="346">
        <f t="shared" si="33"/>
        <v>0</v>
      </c>
      <c r="X107" s="346">
        <f t="shared" si="48"/>
        <v>0</v>
      </c>
      <c r="Y107" s="346">
        <f t="shared" si="34"/>
        <v>0</v>
      </c>
      <c r="Z107" s="346">
        <f t="shared" si="35"/>
        <v>0</v>
      </c>
      <c r="AA107" s="346">
        <f t="shared" si="49"/>
        <v>0</v>
      </c>
      <c r="AB107" s="346">
        <f t="shared" si="37"/>
        <v>0</v>
      </c>
      <c r="AC107" s="346">
        <f t="shared" si="38"/>
        <v>0</v>
      </c>
      <c r="AD107" s="346">
        <f t="shared" si="39"/>
        <v>0</v>
      </c>
      <c r="AE107" s="346">
        <f t="shared" si="40"/>
        <v>0</v>
      </c>
      <c r="AF107" s="346">
        <f t="shared" si="41"/>
        <v>0</v>
      </c>
      <c r="AG107" s="581">
        <f t="shared" si="42"/>
        <v>0</v>
      </c>
      <c r="AH107" s="582">
        <f t="shared" si="43"/>
        <v>79.239999999999995</v>
      </c>
    </row>
    <row r="108" spans="2:34" s="167" customFormat="1" ht="33.75" x14ac:dyDescent="0.25">
      <c r="B108" s="575" t="s">
        <v>284</v>
      </c>
      <c r="C108" s="583">
        <v>91834</v>
      </c>
      <c r="D108" s="587" t="s">
        <v>286</v>
      </c>
      <c r="E108" s="590" t="s">
        <v>37</v>
      </c>
      <c r="F108" s="590">
        <v>9.77</v>
      </c>
      <c r="G108" s="578">
        <v>830.48</v>
      </c>
      <c r="H108" s="588"/>
      <c r="I108" s="588"/>
      <c r="J108" s="579"/>
      <c r="K108" s="588"/>
      <c r="L108" s="588"/>
      <c r="M108" s="579">
        <f>'MEMORIAL DE CALCULO 06'!K413</f>
        <v>150</v>
      </c>
      <c r="N108" s="588"/>
      <c r="O108" s="579">
        <f>'MEMORIAL DE CALCULO 08'!K434</f>
        <v>200</v>
      </c>
      <c r="P108" s="588"/>
      <c r="Q108" s="588"/>
      <c r="R108" s="580">
        <f>VLOOKUP(B108,'MEMÓRIA MEDIÇÃO 11'!$A$4:$F$202,6,FALSE)</f>
        <v>0</v>
      </c>
      <c r="S108" s="578">
        <f t="shared" si="36"/>
        <v>350</v>
      </c>
      <c r="T108" s="578">
        <f t="shared" si="46"/>
        <v>480.48</v>
      </c>
      <c r="U108" s="578">
        <f>F108*G108</f>
        <v>8113.7896000000001</v>
      </c>
      <c r="V108" s="346">
        <f t="shared" si="32"/>
        <v>0</v>
      </c>
      <c r="W108" s="346">
        <f t="shared" si="33"/>
        <v>0</v>
      </c>
      <c r="X108" s="346">
        <f t="shared" si="48"/>
        <v>0</v>
      </c>
      <c r="Y108" s="346">
        <f t="shared" si="34"/>
        <v>0</v>
      </c>
      <c r="Z108" s="346">
        <f t="shared" si="35"/>
        <v>0</v>
      </c>
      <c r="AA108" s="346">
        <f t="shared" si="49"/>
        <v>1465.5</v>
      </c>
      <c r="AB108" s="346">
        <f t="shared" si="37"/>
        <v>0</v>
      </c>
      <c r="AC108" s="346">
        <f t="shared" si="38"/>
        <v>1954</v>
      </c>
      <c r="AD108" s="346">
        <f t="shared" si="39"/>
        <v>0</v>
      </c>
      <c r="AE108" s="346">
        <f t="shared" si="40"/>
        <v>0</v>
      </c>
      <c r="AF108" s="346">
        <f t="shared" si="41"/>
        <v>0</v>
      </c>
      <c r="AG108" s="581">
        <f t="shared" si="42"/>
        <v>3419.5</v>
      </c>
      <c r="AH108" s="582">
        <f t="shared" si="43"/>
        <v>4694.2896000000001</v>
      </c>
    </row>
    <row r="109" spans="2:34" s="167" customFormat="1" ht="33.75" x14ac:dyDescent="0.25">
      <c r="B109" s="575" t="s">
        <v>287</v>
      </c>
      <c r="C109" s="583">
        <v>91868</v>
      </c>
      <c r="D109" s="577" t="s">
        <v>289</v>
      </c>
      <c r="E109" s="590" t="s">
        <v>37</v>
      </c>
      <c r="F109" s="590">
        <v>13.05</v>
      </c>
      <c r="G109" s="578">
        <v>55.97</v>
      </c>
      <c r="H109" s="580"/>
      <c r="I109" s="580"/>
      <c r="J109" s="579"/>
      <c r="K109" s="580"/>
      <c r="L109" s="580"/>
      <c r="M109" s="580"/>
      <c r="N109" s="578"/>
      <c r="O109" s="580">
        <f>'MEMORIAL DE CALCULO 08'!K436</f>
        <v>55.97</v>
      </c>
      <c r="P109" s="580"/>
      <c r="Q109" s="580"/>
      <c r="R109" s="580">
        <f>VLOOKUP(B109,'MEMÓRIA MEDIÇÃO 11'!$A$4:$F$202,6,FALSE)</f>
        <v>0</v>
      </c>
      <c r="S109" s="578">
        <f t="shared" si="36"/>
        <v>55.97</v>
      </c>
      <c r="T109" s="578">
        <f t="shared" si="46"/>
        <v>0</v>
      </c>
      <c r="U109" s="578">
        <f t="shared" si="47"/>
        <v>730.4085</v>
      </c>
      <c r="V109" s="346">
        <f t="shared" si="32"/>
        <v>0</v>
      </c>
      <c r="W109" s="346">
        <f t="shared" si="33"/>
        <v>0</v>
      </c>
      <c r="X109" s="346">
        <f t="shared" si="48"/>
        <v>0</v>
      </c>
      <c r="Y109" s="346">
        <f t="shared" si="34"/>
        <v>0</v>
      </c>
      <c r="Z109" s="346">
        <f t="shared" si="35"/>
        <v>0</v>
      </c>
      <c r="AA109" s="346">
        <f t="shared" si="49"/>
        <v>0</v>
      </c>
      <c r="AB109" s="346">
        <f t="shared" si="37"/>
        <v>0</v>
      </c>
      <c r="AC109" s="346">
        <f t="shared" si="38"/>
        <v>730.4</v>
      </c>
      <c r="AD109" s="346">
        <f t="shared" si="39"/>
        <v>0</v>
      </c>
      <c r="AE109" s="346">
        <f t="shared" si="40"/>
        <v>0</v>
      </c>
      <c r="AF109" s="346">
        <f t="shared" si="41"/>
        <v>0</v>
      </c>
      <c r="AG109" s="581">
        <f t="shared" si="42"/>
        <v>730.4</v>
      </c>
      <c r="AH109" s="582">
        <f t="shared" si="43"/>
        <v>8.5000000000263753E-3</v>
      </c>
    </row>
    <row r="110" spans="2:34" s="167" customFormat="1" ht="33.75" x14ac:dyDescent="0.25">
      <c r="B110" s="575" t="s">
        <v>290</v>
      </c>
      <c r="C110" s="583">
        <v>91867</v>
      </c>
      <c r="D110" s="577" t="s">
        <v>292</v>
      </c>
      <c r="E110" s="590" t="s">
        <v>37</v>
      </c>
      <c r="F110" s="590">
        <v>9.18</v>
      </c>
      <c r="G110" s="578">
        <v>36.19</v>
      </c>
      <c r="H110" s="580"/>
      <c r="I110" s="580"/>
      <c r="J110" s="579"/>
      <c r="K110" s="580"/>
      <c r="L110" s="580"/>
      <c r="M110" s="580"/>
      <c r="N110" s="578"/>
      <c r="O110" s="580">
        <f>'MEMORIAL DE CALCULO 08'!K438</f>
        <v>36.19</v>
      </c>
      <c r="P110" s="580"/>
      <c r="Q110" s="580"/>
      <c r="R110" s="580">
        <f>VLOOKUP(B110,'MEMÓRIA MEDIÇÃO 11'!$A$4:$F$202,6,FALSE)</f>
        <v>0</v>
      </c>
      <c r="S110" s="578">
        <f t="shared" si="36"/>
        <v>36.19</v>
      </c>
      <c r="T110" s="578">
        <f t="shared" si="46"/>
        <v>0</v>
      </c>
      <c r="U110" s="578">
        <f t="shared" si="47"/>
        <v>332.2242</v>
      </c>
      <c r="V110" s="346">
        <f t="shared" ref="V110:V141" si="50">F110*H110</f>
        <v>0</v>
      </c>
      <c r="W110" s="346">
        <f t="shared" ref="W110:W141" si="51">F110*I110</f>
        <v>0</v>
      </c>
      <c r="X110" s="346">
        <f t="shared" si="48"/>
        <v>0</v>
      </c>
      <c r="Y110" s="346">
        <f t="shared" ref="Y110:Y141" si="52">TRUNC(F110*K110,2)</f>
        <v>0</v>
      </c>
      <c r="Z110" s="346">
        <f t="shared" ref="Z110:Z141" si="53">TRUNC(F110*L110,2)</f>
        <v>0</v>
      </c>
      <c r="AA110" s="346">
        <f t="shared" si="49"/>
        <v>0</v>
      </c>
      <c r="AB110" s="346">
        <f t="shared" si="37"/>
        <v>0</v>
      </c>
      <c r="AC110" s="346">
        <f t="shared" si="38"/>
        <v>332.22</v>
      </c>
      <c r="AD110" s="346">
        <f t="shared" si="39"/>
        <v>0</v>
      </c>
      <c r="AE110" s="346">
        <f t="shared" si="40"/>
        <v>0</v>
      </c>
      <c r="AF110" s="346">
        <f t="shared" si="41"/>
        <v>0</v>
      </c>
      <c r="AG110" s="581">
        <f t="shared" si="42"/>
        <v>332.22</v>
      </c>
      <c r="AH110" s="582">
        <f t="shared" si="43"/>
        <v>4.1999999999688953E-3</v>
      </c>
    </row>
    <row r="111" spans="2:34" s="167" customFormat="1" ht="22.5" x14ac:dyDescent="0.25">
      <c r="B111" s="575" t="s">
        <v>293</v>
      </c>
      <c r="C111" s="583">
        <v>101654</v>
      </c>
      <c r="D111" s="577" t="s">
        <v>295</v>
      </c>
      <c r="E111" s="590" t="s">
        <v>166</v>
      </c>
      <c r="F111" s="590">
        <v>289.93</v>
      </c>
      <c r="G111" s="578">
        <v>15</v>
      </c>
      <c r="H111" s="580"/>
      <c r="I111" s="580"/>
      <c r="J111" s="579"/>
      <c r="K111" s="580"/>
      <c r="L111" s="580"/>
      <c r="M111" s="580"/>
      <c r="N111" s="578"/>
      <c r="O111" s="578"/>
      <c r="P111" s="580"/>
      <c r="Q111" s="580"/>
      <c r="R111" s="580">
        <f>VLOOKUP(B111,'MEMÓRIA MEDIÇÃO 11'!$A$4:$F$202,6,FALSE)</f>
        <v>0</v>
      </c>
      <c r="S111" s="578">
        <f t="shared" si="36"/>
        <v>0</v>
      </c>
      <c r="T111" s="578">
        <f t="shared" si="46"/>
        <v>15</v>
      </c>
      <c r="U111" s="578">
        <f t="shared" si="47"/>
        <v>4348.95</v>
      </c>
      <c r="V111" s="346">
        <f t="shared" si="50"/>
        <v>0</v>
      </c>
      <c r="W111" s="346">
        <f t="shared" si="51"/>
        <v>0</v>
      </c>
      <c r="X111" s="346">
        <f t="shared" si="48"/>
        <v>0</v>
      </c>
      <c r="Y111" s="346">
        <f t="shared" si="52"/>
        <v>0</v>
      </c>
      <c r="Z111" s="346">
        <f t="shared" si="53"/>
        <v>0</v>
      </c>
      <c r="AA111" s="346">
        <f t="shared" si="49"/>
        <v>0</v>
      </c>
      <c r="AB111" s="346">
        <f t="shared" ref="AB111:AB142" si="54">F111*N111</f>
        <v>0</v>
      </c>
      <c r="AC111" s="346">
        <f t="shared" si="38"/>
        <v>0</v>
      </c>
      <c r="AD111" s="346">
        <f t="shared" si="39"/>
        <v>0</v>
      </c>
      <c r="AE111" s="346">
        <f t="shared" si="40"/>
        <v>0</v>
      </c>
      <c r="AF111" s="346">
        <f t="shared" si="41"/>
        <v>0</v>
      </c>
      <c r="AG111" s="581">
        <f t="shared" si="42"/>
        <v>0</v>
      </c>
      <c r="AH111" s="582">
        <f t="shared" si="43"/>
        <v>4348.95</v>
      </c>
    </row>
    <row r="112" spans="2:34" s="167" customFormat="1" ht="22.5" x14ac:dyDescent="0.25">
      <c r="B112" s="575" t="s">
        <v>296</v>
      </c>
      <c r="C112" s="583">
        <v>103782</v>
      </c>
      <c r="D112" s="577" t="s">
        <v>298</v>
      </c>
      <c r="E112" s="590" t="s">
        <v>166</v>
      </c>
      <c r="F112" s="590">
        <v>33.380000000000003</v>
      </c>
      <c r="G112" s="578">
        <v>76</v>
      </c>
      <c r="H112" s="580"/>
      <c r="I112" s="580"/>
      <c r="J112" s="579"/>
      <c r="K112" s="580"/>
      <c r="L112" s="580"/>
      <c r="M112" s="580"/>
      <c r="N112" s="578"/>
      <c r="O112" s="578"/>
      <c r="P112" s="580"/>
      <c r="Q112" s="580"/>
      <c r="R112" s="580">
        <f>VLOOKUP(B112,'MEMÓRIA MEDIÇÃO 11'!$A$4:$F$202,6,FALSE)</f>
        <v>0</v>
      </c>
      <c r="S112" s="578">
        <f t="shared" si="36"/>
        <v>0</v>
      </c>
      <c r="T112" s="578">
        <f t="shared" si="46"/>
        <v>76</v>
      </c>
      <c r="U112" s="578">
        <f t="shared" si="47"/>
        <v>2536.88</v>
      </c>
      <c r="V112" s="346">
        <f t="shared" si="50"/>
        <v>0</v>
      </c>
      <c r="W112" s="346">
        <f t="shared" si="51"/>
        <v>0</v>
      </c>
      <c r="X112" s="346">
        <f t="shared" si="48"/>
        <v>0</v>
      </c>
      <c r="Y112" s="346">
        <f t="shared" si="52"/>
        <v>0</v>
      </c>
      <c r="Z112" s="346">
        <f t="shared" si="53"/>
        <v>0</v>
      </c>
      <c r="AA112" s="346">
        <f t="shared" si="49"/>
        <v>0</v>
      </c>
      <c r="AB112" s="346">
        <f t="shared" si="54"/>
        <v>0</v>
      </c>
      <c r="AC112" s="346">
        <f t="shared" si="38"/>
        <v>0</v>
      </c>
      <c r="AD112" s="346">
        <f t="shared" si="39"/>
        <v>0</v>
      </c>
      <c r="AE112" s="346">
        <f t="shared" si="40"/>
        <v>0</v>
      </c>
      <c r="AF112" s="346">
        <f t="shared" si="41"/>
        <v>0</v>
      </c>
      <c r="AG112" s="581">
        <f t="shared" si="42"/>
        <v>0</v>
      </c>
      <c r="AH112" s="582">
        <f t="shared" si="43"/>
        <v>2536.88</v>
      </c>
    </row>
    <row r="113" spans="2:34" s="167" customFormat="1" ht="33.75" x14ac:dyDescent="0.25">
      <c r="B113" s="575" t="s">
        <v>299</v>
      </c>
      <c r="C113" s="583">
        <v>101509</v>
      </c>
      <c r="D113" s="577" t="s">
        <v>301</v>
      </c>
      <c r="E113" s="590" t="s">
        <v>166</v>
      </c>
      <c r="F113" s="590">
        <v>1759.39</v>
      </c>
      <c r="G113" s="578">
        <v>1</v>
      </c>
      <c r="H113" s="580"/>
      <c r="I113" s="580"/>
      <c r="J113" s="579"/>
      <c r="K113" s="580"/>
      <c r="L113" s="580"/>
      <c r="M113" s="580"/>
      <c r="N113" s="578"/>
      <c r="O113" s="578"/>
      <c r="P113" s="580"/>
      <c r="Q113" s="580"/>
      <c r="R113" s="580">
        <f>VLOOKUP(B113,'MEMÓRIA MEDIÇÃO 11'!$A$4:$F$202,6,FALSE)</f>
        <v>0</v>
      </c>
      <c r="S113" s="578">
        <f t="shared" si="36"/>
        <v>0</v>
      </c>
      <c r="T113" s="578">
        <f t="shared" si="46"/>
        <v>1</v>
      </c>
      <c r="U113" s="578">
        <f t="shared" si="47"/>
        <v>1759.39</v>
      </c>
      <c r="V113" s="346">
        <f t="shared" si="50"/>
        <v>0</v>
      </c>
      <c r="W113" s="346">
        <f t="shared" si="51"/>
        <v>0</v>
      </c>
      <c r="X113" s="346">
        <f t="shared" si="48"/>
        <v>0</v>
      </c>
      <c r="Y113" s="346">
        <f t="shared" si="52"/>
        <v>0</v>
      </c>
      <c r="Z113" s="346">
        <f t="shared" si="53"/>
        <v>0</v>
      </c>
      <c r="AA113" s="346">
        <f t="shared" si="49"/>
        <v>0</v>
      </c>
      <c r="AB113" s="346">
        <f t="shared" si="54"/>
        <v>0</v>
      </c>
      <c r="AC113" s="346">
        <f t="shared" si="38"/>
        <v>0</v>
      </c>
      <c r="AD113" s="346">
        <f t="shared" si="39"/>
        <v>0</v>
      </c>
      <c r="AE113" s="346">
        <f t="shared" si="40"/>
        <v>0</v>
      </c>
      <c r="AF113" s="346">
        <f t="shared" si="41"/>
        <v>0</v>
      </c>
      <c r="AG113" s="581">
        <f t="shared" si="42"/>
        <v>0</v>
      </c>
      <c r="AH113" s="582">
        <f t="shared" si="43"/>
        <v>1759.39</v>
      </c>
    </row>
    <row r="114" spans="2:34" s="167" customFormat="1" ht="33.75" x14ac:dyDescent="0.25">
      <c r="B114" s="575" t="s">
        <v>302</v>
      </c>
      <c r="C114" s="583">
        <v>5044</v>
      </c>
      <c r="D114" s="577" t="s">
        <v>304</v>
      </c>
      <c r="E114" s="590" t="s">
        <v>166</v>
      </c>
      <c r="F114" s="590">
        <v>924.88</v>
      </c>
      <c r="G114" s="578">
        <v>1</v>
      </c>
      <c r="H114" s="580"/>
      <c r="I114" s="580"/>
      <c r="J114" s="579"/>
      <c r="K114" s="580"/>
      <c r="L114" s="580"/>
      <c r="M114" s="580"/>
      <c r="N114" s="578"/>
      <c r="O114" s="578"/>
      <c r="P114" s="580"/>
      <c r="Q114" s="580"/>
      <c r="R114" s="580">
        <f>VLOOKUP(B114,'MEMÓRIA MEDIÇÃO 11'!$A$4:$F$202,6,FALSE)</f>
        <v>0</v>
      </c>
      <c r="S114" s="578">
        <f t="shared" si="36"/>
        <v>0</v>
      </c>
      <c r="T114" s="578">
        <f t="shared" si="46"/>
        <v>1</v>
      </c>
      <c r="U114" s="578">
        <f t="shared" si="47"/>
        <v>924.88</v>
      </c>
      <c r="V114" s="346">
        <f t="shared" si="50"/>
        <v>0</v>
      </c>
      <c r="W114" s="346">
        <f t="shared" si="51"/>
        <v>0</v>
      </c>
      <c r="X114" s="346">
        <f t="shared" si="48"/>
        <v>0</v>
      </c>
      <c r="Y114" s="346">
        <f t="shared" si="52"/>
        <v>0</v>
      </c>
      <c r="Z114" s="346">
        <f t="shared" si="53"/>
        <v>0</v>
      </c>
      <c r="AA114" s="346">
        <f t="shared" si="49"/>
        <v>0</v>
      </c>
      <c r="AB114" s="346">
        <f t="shared" si="54"/>
        <v>0</v>
      </c>
      <c r="AC114" s="346">
        <f t="shared" si="38"/>
        <v>0</v>
      </c>
      <c r="AD114" s="346">
        <f t="shared" si="39"/>
        <v>0</v>
      </c>
      <c r="AE114" s="346">
        <f t="shared" si="40"/>
        <v>0</v>
      </c>
      <c r="AF114" s="346">
        <f t="shared" si="41"/>
        <v>0</v>
      </c>
      <c r="AG114" s="581">
        <f t="shared" si="42"/>
        <v>0</v>
      </c>
      <c r="AH114" s="582">
        <f t="shared" si="43"/>
        <v>924.88</v>
      </c>
    </row>
    <row r="115" spans="2:34" s="167" customFormat="1" ht="45" x14ac:dyDescent="0.25">
      <c r="B115" s="575" t="s">
        <v>305</v>
      </c>
      <c r="C115" s="583">
        <v>101879</v>
      </c>
      <c r="D115" s="577" t="s">
        <v>307</v>
      </c>
      <c r="E115" s="590" t="s">
        <v>166</v>
      </c>
      <c r="F115" s="590">
        <v>555.51</v>
      </c>
      <c r="G115" s="578">
        <v>2</v>
      </c>
      <c r="H115" s="580"/>
      <c r="I115" s="580"/>
      <c r="J115" s="579"/>
      <c r="K115" s="580"/>
      <c r="L115" s="580"/>
      <c r="M115" s="580"/>
      <c r="N115" s="578"/>
      <c r="O115" s="578"/>
      <c r="P115" s="580"/>
      <c r="Q115" s="580"/>
      <c r="R115" s="580">
        <f>VLOOKUP(B115,'MEMÓRIA MEDIÇÃO 11'!$A$4:$F$202,6,FALSE)</f>
        <v>0</v>
      </c>
      <c r="S115" s="578">
        <f t="shared" si="36"/>
        <v>0</v>
      </c>
      <c r="T115" s="578">
        <f t="shared" si="46"/>
        <v>2</v>
      </c>
      <c r="U115" s="578">
        <f t="shared" si="47"/>
        <v>1111.02</v>
      </c>
      <c r="V115" s="346">
        <f t="shared" si="50"/>
        <v>0</v>
      </c>
      <c r="W115" s="346">
        <f t="shared" si="51"/>
        <v>0</v>
      </c>
      <c r="X115" s="346">
        <f t="shared" si="48"/>
        <v>0</v>
      </c>
      <c r="Y115" s="346">
        <f t="shared" si="52"/>
        <v>0</v>
      </c>
      <c r="Z115" s="346">
        <f t="shared" si="53"/>
        <v>0</v>
      </c>
      <c r="AA115" s="346">
        <f t="shared" si="49"/>
        <v>0</v>
      </c>
      <c r="AB115" s="346">
        <f t="shared" si="54"/>
        <v>0</v>
      </c>
      <c r="AC115" s="346">
        <f t="shared" si="38"/>
        <v>0</v>
      </c>
      <c r="AD115" s="346">
        <f t="shared" si="39"/>
        <v>0</v>
      </c>
      <c r="AE115" s="346">
        <f t="shared" si="40"/>
        <v>0</v>
      </c>
      <c r="AF115" s="346">
        <f t="shared" si="41"/>
        <v>0</v>
      </c>
      <c r="AG115" s="581">
        <f t="shared" si="42"/>
        <v>0</v>
      </c>
      <c r="AH115" s="582">
        <f t="shared" si="43"/>
        <v>1111.02</v>
      </c>
    </row>
    <row r="116" spans="2:34" s="167" customFormat="1" ht="33.75" x14ac:dyDescent="0.25">
      <c r="B116" s="575" t="s">
        <v>308</v>
      </c>
      <c r="C116" s="583">
        <v>5044</v>
      </c>
      <c r="D116" s="577" t="s">
        <v>304</v>
      </c>
      <c r="E116" s="590" t="s">
        <v>166</v>
      </c>
      <c r="F116" s="590">
        <v>924.88</v>
      </c>
      <c r="G116" s="578">
        <v>1</v>
      </c>
      <c r="H116" s="580"/>
      <c r="I116" s="580"/>
      <c r="J116" s="579"/>
      <c r="K116" s="580"/>
      <c r="L116" s="580"/>
      <c r="M116" s="580"/>
      <c r="N116" s="578"/>
      <c r="O116" s="578"/>
      <c r="P116" s="580"/>
      <c r="Q116" s="580"/>
      <c r="R116" s="580">
        <f>VLOOKUP(B116,'MEMÓRIA MEDIÇÃO 11'!$A$4:$F$202,6,FALSE)</f>
        <v>0</v>
      </c>
      <c r="S116" s="578">
        <f t="shared" si="36"/>
        <v>0</v>
      </c>
      <c r="T116" s="578">
        <f t="shared" si="46"/>
        <v>1</v>
      </c>
      <c r="U116" s="578">
        <f t="shared" si="47"/>
        <v>924.88</v>
      </c>
      <c r="V116" s="346">
        <f t="shared" si="50"/>
        <v>0</v>
      </c>
      <c r="W116" s="346">
        <f t="shared" si="51"/>
        <v>0</v>
      </c>
      <c r="X116" s="346">
        <f t="shared" si="48"/>
        <v>0</v>
      </c>
      <c r="Y116" s="346">
        <f t="shared" si="52"/>
        <v>0</v>
      </c>
      <c r="Z116" s="346">
        <f t="shared" si="53"/>
        <v>0</v>
      </c>
      <c r="AA116" s="346">
        <f t="shared" si="49"/>
        <v>0</v>
      </c>
      <c r="AB116" s="346">
        <f t="shared" si="54"/>
        <v>0</v>
      </c>
      <c r="AC116" s="346">
        <f t="shared" si="38"/>
        <v>0</v>
      </c>
      <c r="AD116" s="346">
        <f t="shared" si="39"/>
        <v>0</v>
      </c>
      <c r="AE116" s="346">
        <f t="shared" si="40"/>
        <v>0</v>
      </c>
      <c r="AF116" s="346">
        <f t="shared" si="41"/>
        <v>0</v>
      </c>
      <c r="AG116" s="581">
        <f t="shared" si="42"/>
        <v>0</v>
      </c>
      <c r="AH116" s="582">
        <f t="shared" si="43"/>
        <v>924.88</v>
      </c>
    </row>
    <row r="117" spans="2:34" s="167" customFormat="1" ht="33.75" x14ac:dyDescent="0.25">
      <c r="B117" s="575" t="s">
        <v>309</v>
      </c>
      <c r="C117" s="583">
        <v>92023</v>
      </c>
      <c r="D117" s="577" t="s">
        <v>311</v>
      </c>
      <c r="E117" s="590" t="s">
        <v>166</v>
      </c>
      <c r="F117" s="590">
        <v>43.88</v>
      </c>
      <c r="G117" s="578">
        <v>5</v>
      </c>
      <c r="H117" s="580"/>
      <c r="I117" s="580"/>
      <c r="J117" s="579"/>
      <c r="K117" s="580"/>
      <c r="L117" s="580"/>
      <c r="M117" s="580"/>
      <c r="N117" s="578"/>
      <c r="O117" s="578"/>
      <c r="P117" s="580"/>
      <c r="Q117" s="580"/>
      <c r="R117" s="580">
        <f>VLOOKUP(B117,'MEMÓRIA MEDIÇÃO 11'!$A$4:$F$202,6,FALSE)</f>
        <v>0</v>
      </c>
      <c r="S117" s="578">
        <f t="shared" si="36"/>
        <v>0</v>
      </c>
      <c r="T117" s="578">
        <f t="shared" si="46"/>
        <v>5</v>
      </c>
      <c r="U117" s="578">
        <f t="shared" si="47"/>
        <v>219.4</v>
      </c>
      <c r="V117" s="346">
        <f t="shared" si="50"/>
        <v>0</v>
      </c>
      <c r="W117" s="346">
        <f t="shared" si="51"/>
        <v>0</v>
      </c>
      <c r="X117" s="346">
        <f t="shared" si="48"/>
        <v>0</v>
      </c>
      <c r="Y117" s="346">
        <f t="shared" si="52"/>
        <v>0</v>
      </c>
      <c r="Z117" s="346">
        <f t="shared" si="53"/>
        <v>0</v>
      </c>
      <c r="AA117" s="346">
        <f t="shared" si="49"/>
        <v>0</v>
      </c>
      <c r="AB117" s="346">
        <f t="shared" si="54"/>
        <v>0</v>
      </c>
      <c r="AC117" s="346">
        <f t="shared" si="38"/>
        <v>0</v>
      </c>
      <c r="AD117" s="346">
        <f t="shared" si="39"/>
        <v>0</v>
      </c>
      <c r="AE117" s="346">
        <f t="shared" si="40"/>
        <v>0</v>
      </c>
      <c r="AF117" s="346">
        <f t="shared" si="41"/>
        <v>0</v>
      </c>
      <c r="AG117" s="581">
        <f t="shared" si="42"/>
        <v>0</v>
      </c>
      <c r="AH117" s="582">
        <f t="shared" si="43"/>
        <v>219.4</v>
      </c>
    </row>
    <row r="118" spans="2:34" s="167" customFormat="1" x14ac:dyDescent="0.25">
      <c r="B118" s="584" t="s">
        <v>312</v>
      </c>
      <c r="C118" s="591" t="s">
        <v>313</v>
      </c>
      <c r="D118" s="577"/>
      <c r="E118" s="590"/>
      <c r="F118" s="590"/>
      <c r="G118" s="578"/>
      <c r="H118" s="580"/>
      <c r="I118" s="580"/>
      <c r="J118" s="579"/>
      <c r="K118" s="580"/>
      <c r="L118" s="580"/>
      <c r="M118" s="580"/>
      <c r="N118" s="578"/>
      <c r="O118" s="578"/>
      <c r="P118" s="580"/>
      <c r="Q118" s="580"/>
      <c r="R118" s="580">
        <f>VLOOKUP(B118,'MEMÓRIA MEDIÇÃO 11'!$A$4:$F$202,6,FALSE)</f>
        <v>0</v>
      </c>
      <c r="S118" s="578">
        <f t="shared" si="36"/>
        <v>0</v>
      </c>
      <c r="T118" s="578"/>
      <c r="U118" s="578"/>
      <c r="V118" s="346">
        <f t="shared" si="50"/>
        <v>0</v>
      </c>
      <c r="W118" s="346">
        <f t="shared" si="51"/>
        <v>0</v>
      </c>
      <c r="X118" s="346">
        <f t="shared" si="48"/>
        <v>0</v>
      </c>
      <c r="Y118" s="346">
        <f t="shared" si="52"/>
        <v>0</v>
      </c>
      <c r="Z118" s="346">
        <f t="shared" si="53"/>
        <v>0</v>
      </c>
      <c r="AA118" s="346">
        <f t="shared" si="49"/>
        <v>0</v>
      </c>
      <c r="AB118" s="346">
        <f t="shared" si="54"/>
        <v>0</v>
      </c>
      <c r="AC118" s="346">
        <f t="shared" si="38"/>
        <v>0</v>
      </c>
      <c r="AD118" s="346">
        <f t="shared" si="39"/>
        <v>0</v>
      </c>
      <c r="AE118" s="346">
        <f t="shared" si="40"/>
        <v>0</v>
      </c>
      <c r="AF118" s="346">
        <f t="shared" si="41"/>
        <v>0</v>
      </c>
      <c r="AG118" s="581">
        <f t="shared" si="42"/>
        <v>0</v>
      </c>
      <c r="AH118" s="582">
        <f t="shared" si="43"/>
        <v>0</v>
      </c>
    </row>
    <row r="119" spans="2:34" s="167" customFormat="1" ht="22.5" x14ac:dyDescent="0.25">
      <c r="B119" s="575" t="s">
        <v>314</v>
      </c>
      <c r="C119" s="583">
        <v>96620</v>
      </c>
      <c r="D119" s="577" t="s">
        <v>316</v>
      </c>
      <c r="E119" s="589" t="s">
        <v>41</v>
      </c>
      <c r="F119" s="590">
        <v>593.44000000000005</v>
      </c>
      <c r="G119" s="578">
        <v>35.340000000000003</v>
      </c>
      <c r="H119" s="580"/>
      <c r="I119" s="580"/>
      <c r="J119" s="579"/>
      <c r="K119" s="580"/>
      <c r="L119" s="580"/>
      <c r="M119" s="580"/>
      <c r="N119" s="580">
        <v>10.199999999999999</v>
      </c>
      <c r="O119" s="580">
        <f>'MEMORIAL DE CALCULO 08'!K441</f>
        <v>21.53</v>
      </c>
      <c r="P119" s="580"/>
      <c r="Q119" s="580"/>
      <c r="R119" s="580">
        <f>VLOOKUP(B119,'MEMÓRIA MEDIÇÃO 11'!$A$4:$F$202,6,FALSE)</f>
        <v>0</v>
      </c>
      <c r="S119" s="578">
        <f t="shared" si="36"/>
        <v>31.73</v>
      </c>
      <c r="T119" s="578">
        <f t="shared" ref="T119:T126" si="55">G119-S119</f>
        <v>3.610000000000003</v>
      </c>
      <c r="U119" s="578">
        <f t="shared" ref="U119:U126" si="56">F119*G119</f>
        <v>20972.169600000005</v>
      </c>
      <c r="V119" s="346">
        <f t="shared" si="50"/>
        <v>0</v>
      </c>
      <c r="W119" s="346">
        <f t="shared" si="51"/>
        <v>0</v>
      </c>
      <c r="X119" s="346">
        <f t="shared" si="48"/>
        <v>0</v>
      </c>
      <c r="Y119" s="346">
        <f t="shared" si="52"/>
        <v>0</v>
      </c>
      <c r="Z119" s="346">
        <f t="shared" si="53"/>
        <v>0</v>
      </c>
      <c r="AA119" s="346">
        <f t="shared" si="49"/>
        <v>0</v>
      </c>
      <c r="AB119" s="346">
        <f t="shared" si="54"/>
        <v>6053.0879999999997</v>
      </c>
      <c r="AC119" s="346">
        <f t="shared" si="38"/>
        <v>12776.76</v>
      </c>
      <c r="AD119" s="346">
        <f t="shared" si="39"/>
        <v>0</v>
      </c>
      <c r="AE119" s="346">
        <f t="shared" si="40"/>
        <v>0</v>
      </c>
      <c r="AF119" s="346">
        <f t="shared" si="41"/>
        <v>0</v>
      </c>
      <c r="AG119" s="581">
        <f t="shared" si="42"/>
        <v>18829.847999999998</v>
      </c>
      <c r="AH119" s="582">
        <f t="shared" si="43"/>
        <v>2142.3216000000066</v>
      </c>
    </row>
    <row r="120" spans="2:34" s="167" customFormat="1" ht="67.5" x14ac:dyDescent="0.25">
      <c r="B120" s="575" t="s">
        <v>317</v>
      </c>
      <c r="C120" s="583">
        <v>94439</v>
      </c>
      <c r="D120" s="577" t="s">
        <v>319</v>
      </c>
      <c r="E120" s="589" t="s">
        <v>17</v>
      </c>
      <c r="F120" s="590">
        <v>46.08</v>
      </c>
      <c r="G120" s="578">
        <v>722.78</v>
      </c>
      <c r="H120" s="580"/>
      <c r="I120" s="580"/>
      <c r="J120" s="579"/>
      <c r="K120" s="580"/>
      <c r="L120" s="580"/>
      <c r="M120" s="580"/>
      <c r="N120" s="578"/>
      <c r="O120" s="580">
        <f>'MEMORIAL DE CALCULO 08'!K443</f>
        <v>116.27</v>
      </c>
      <c r="P120" s="580"/>
      <c r="Q120" s="580"/>
      <c r="R120" s="580">
        <f>VLOOKUP(B120,'MEMÓRIA MEDIÇÃO 11'!$A$4:$F$202,6,FALSE)</f>
        <v>0</v>
      </c>
      <c r="S120" s="578">
        <f t="shared" si="36"/>
        <v>116.27</v>
      </c>
      <c r="T120" s="578">
        <f t="shared" si="55"/>
        <v>606.51</v>
      </c>
      <c r="U120" s="578">
        <f t="shared" si="56"/>
        <v>33305.702399999995</v>
      </c>
      <c r="V120" s="346">
        <f t="shared" si="50"/>
        <v>0</v>
      </c>
      <c r="W120" s="346">
        <f t="shared" si="51"/>
        <v>0</v>
      </c>
      <c r="X120" s="346">
        <f t="shared" si="48"/>
        <v>0</v>
      </c>
      <c r="Y120" s="346">
        <f t="shared" si="52"/>
        <v>0</v>
      </c>
      <c r="Z120" s="346">
        <f t="shared" si="53"/>
        <v>0</v>
      </c>
      <c r="AA120" s="346">
        <f t="shared" si="49"/>
        <v>0</v>
      </c>
      <c r="AB120" s="346">
        <f t="shared" si="54"/>
        <v>0</v>
      </c>
      <c r="AC120" s="346">
        <f t="shared" si="38"/>
        <v>5357.72</v>
      </c>
      <c r="AD120" s="346">
        <f t="shared" si="39"/>
        <v>0</v>
      </c>
      <c r="AE120" s="346">
        <f t="shared" si="40"/>
        <v>0</v>
      </c>
      <c r="AF120" s="346">
        <f t="shared" si="41"/>
        <v>0</v>
      </c>
      <c r="AG120" s="581">
        <f t="shared" si="42"/>
        <v>5357.72</v>
      </c>
      <c r="AH120" s="582">
        <f t="shared" si="43"/>
        <v>27947.982399999994</v>
      </c>
    </row>
    <row r="121" spans="2:34" s="167" customFormat="1" ht="33.75" x14ac:dyDescent="0.25">
      <c r="B121" s="575" t="s">
        <v>320</v>
      </c>
      <c r="C121" s="583">
        <v>87257</v>
      </c>
      <c r="D121" s="577" t="s">
        <v>322</v>
      </c>
      <c r="E121" s="589" t="s">
        <v>17</v>
      </c>
      <c r="F121" s="590">
        <v>95.14</v>
      </c>
      <c r="G121" s="578">
        <v>634.5</v>
      </c>
      <c r="H121" s="580"/>
      <c r="I121" s="580"/>
      <c r="J121" s="579"/>
      <c r="K121" s="580"/>
      <c r="L121" s="580"/>
      <c r="M121" s="580"/>
      <c r="N121" s="578"/>
      <c r="O121" s="578"/>
      <c r="P121" s="580"/>
      <c r="Q121" s="580"/>
      <c r="R121" s="580">
        <f>VLOOKUP(B121,'MEMÓRIA MEDIÇÃO 11'!$A$4:$F$202,6,FALSE)</f>
        <v>0</v>
      </c>
      <c r="S121" s="578">
        <f t="shared" si="36"/>
        <v>0</v>
      </c>
      <c r="T121" s="578">
        <f t="shared" si="55"/>
        <v>634.5</v>
      </c>
      <c r="U121" s="578">
        <f t="shared" si="56"/>
        <v>60366.33</v>
      </c>
      <c r="V121" s="346">
        <f t="shared" si="50"/>
        <v>0</v>
      </c>
      <c r="W121" s="346">
        <f t="shared" si="51"/>
        <v>0</v>
      </c>
      <c r="X121" s="346">
        <f t="shared" si="48"/>
        <v>0</v>
      </c>
      <c r="Y121" s="346">
        <f t="shared" si="52"/>
        <v>0</v>
      </c>
      <c r="Z121" s="346">
        <f t="shared" si="53"/>
        <v>0</v>
      </c>
      <c r="AA121" s="346">
        <f t="shared" si="49"/>
        <v>0</v>
      </c>
      <c r="AB121" s="346">
        <f t="shared" si="54"/>
        <v>0</v>
      </c>
      <c r="AC121" s="346">
        <f t="shared" si="38"/>
        <v>0</v>
      </c>
      <c r="AD121" s="346">
        <f t="shared" si="39"/>
        <v>0</v>
      </c>
      <c r="AE121" s="346">
        <f t="shared" si="40"/>
        <v>0</v>
      </c>
      <c r="AF121" s="346">
        <f t="shared" si="41"/>
        <v>0</v>
      </c>
      <c r="AG121" s="581">
        <f t="shared" si="42"/>
        <v>0</v>
      </c>
      <c r="AH121" s="582">
        <f t="shared" si="43"/>
        <v>60366.33</v>
      </c>
    </row>
    <row r="122" spans="2:34" s="167" customFormat="1" ht="33.75" x14ac:dyDescent="0.25">
      <c r="B122" s="575" t="s">
        <v>323</v>
      </c>
      <c r="C122" s="583">
        <v>92403</v>
      </c>
      <c r="D122" s="577" t="s">
        <v>325</v>
      </c>
      <c r="E122" s="589" t="s">
        <v>17</v>
      </c>
      <c r="F122" s="590">
        <v>51.12</v>
      </c>
      <c r="G122" s="578">
        <v>371.39499999999902</v>
      </c>
      <c r="H122" s="580"/>
      <c r="I122" s="580"/>
      <c r="J122" s="579"/>
      <c r="K122" s="580"/>
      <c r="L122" s="580"/>
      <c r="M122" s="580"/>
      <c r="N122" s="578"/>
      <c r="O122" s="578"/>
      <c r="P122" s="580"/>
      <c r="Q122" s="580"/>
      <c r="R122" s="580">
        <f>VLOOKUP(B122,'MEMÓRIA MEDIÇÃO 11'!$A$4:$F$202,6,FALSE)</f>
        <v>0</v>
      </c>
      <c r="S122" s="578">
        <f t="shared" si="36"/>
        <v>0</v>
      </c>
      <c r="T122" s="578">
        <f t="shared" si="55"/>
        <v>371.39499999999902</v>
      </c>
      <c r="U122" s="578">
        <f t="shared" si="56"/>
        <v>18985.712399999949</v>
      </c>
      <c r="V122" s="346">
        <f t="shared" si="50"/>
        <v>0</v>
      </c>
      <c r="W122" s="346">
        <f t="shared" si="51"/>
        <v>0</v>
      </c>
      <c r="X122" s="346">
        <f t="shared" si="48"/>
        <v>0</v>
      </c>
      <c r="Y122" s="346">
        <f t="shared" si="52"/>
        <v>0</v>
      </c>
      <c r="Z122" s="346">
        <f t="shared" si="53"/>
        <v>0</v>
      </c>
      <c r="AA122" s="346">
        <f t="shared" si="49"/>
        <v>0</v>
      </c>
      <c r="AB122" s="346">
        <f t="shared" si="54"/>
        <v>0</v>
      </c>
      <c r="AC122" s="346">
        <f t="shared" si="38"/>
        <v>0</v>
      </c>
      <c r="AD122" s="346">
        <f t="shared" si="39"/>
        <v>0</v>
      </c>
      <c r="AE122" s="346">
        <f t="shared" si="40"/>
        <v>0</v>
      </c>
      <c r="AF122" s="346">
        <f t="shared" si="41"/>
        <v>0</v>
      </c>
      <c r="AG122" s="581">
        <f t="shared" si="42"/>
        <v>0</v>
      </c>
      <c r="AH122" s="582">
        <f t="shared" si="43"/>
        <v>18985.712399999949</v>
      </c>
    </row>
    <row r="123" spans="2:34" s="167" customFormat="1" ht="56.25" x14ac:dyDescent="0.25">
      <c r="B123" s="575" t="s">
        <v>326</v>
      </c>
      <c r="C123" s="583">
        <v>94273</v>
      </c>
      <c r="D123" s="577" t="s">
        <v>328</v>
      </c>
      <c r="E123" s="589" t="s">
        <v>37</v>
      </c>
      <c r="F123" s="590">
        <v>47.25</v>
      </c>
      <c r="G123" s="578">
        <v>126.37</v>
      </c>
      <c r="H123" s="580"/>
      <c r="I123" s="580"/>
      <c r="J123" s="579"/>
      <c r="K123" s="580"/>
      <c r="L123" s="580"/>
      <c r="M123" s="580"/>
      <c r="N123" s="578"/>
      <c r="O123" s="578"/>
      <c r="P123" s="580"/>
      <c r="Q123" s="580"/>
      <c r="R123" s="580">
        <f>VLOOKUP(B123,'MEMÓRIA MEDIÇÃO 11'!$A$4:$F$202,6,FALSE)</f>
        <v>59.53</v>
      </c>
      <c r="S123" s="578">
        <f t="shared" si="36"/>
        <v>59.53</v>
      </c>
      <c r="T123" s="578">
        <f t="shared" si="55"/>
        <v>66.84</v>
      </c>
      <c r="U123" s="578">
        <f t="shared" si="56"/>
        <v>5970.9825000000001</v>
      </c>
      <c r="V123" s="346">
        <f t="shared" si="50"/>
        <v>0</v>
      </c>
      <c r="W123" s="346">
        <f t="shared" si="51"/>
        <v>0</v>
      </c>
      <c r="X123" s="346">
        <f t="shared" ref="X123:X154" si="57">F123*J123</f>
        <v>0</v>
      </c>
      <c r="Y123" s="346">
        <f t="shared" si="52"/>
        <v>0</v>
      </c>
      <c r="Z123" s="346">
        <f t="shared" si="53"/>
        <v>0</v>
      </c>
      <c r="AA123" s="346">
        <f t="shared" si="49"/>
        <v>0</v>
      </c>
      <c r="AB123" s="346">
        <f t="shared" si="54"/>
        <v>0</v>
      </c>
      <c r="AC123" s="346">
        <f t="shared" si="38"/>
        <v>0</v>
      </c>
      <c r="AD123" s="346">
        <f t="shared" si="39"/>
        <v>0</v>
      </c>
      <c r="AE123" s="346">
        <f t="shared" si="40"/>
        <v>0</v>
      </c>
      <c r="AF123" s="346">
        <f t="shared" si="41"/>
        <v>2812.79</v>
      </c>
      <c r="AG123" s="581">
        <f t="shared" si="42"/>
        <v>2812.79</v>
      </c>
      <c r="AH123" s="582">
        <f t="shared" si="43"/>
        <v>3158.1925000000001</v>
      </c>
    </row>
    <row r="124" spans="2:34" s="167" customFormat="1" ht="22.5" x14ac:dyDescent="0.25">
      <c r="B124" s="575" t="s">
        <v>329</v>
      </c>
      <c r="C124" s="583">
        <v>368</v>
      </c>
      <c r="D124" s="577" t="s">
        <v>331</v>
      </c>
      <c r="E124" s="589" t="s">
        <v>41</v>
      </c>
      <c r="F124" s="590">
        <v>70.77</v>
      </c>
      <c r="G124" s="578">
        <v>7.46</v>
      </c>
      <c r="H124" s="580"/>
      <c r="I124" s="580"/>
      <c r="J124" s="579"/>
      <c r="K124" s="580"/>
      <c r="L124" s="580"/>
      <c r="M124" s="580"/>
      <c r="N124" s="578"/>
      <c r="O124" s="578"/>
      <c r="P124" s="580"/>
      <c r="Q124" s="580"/>
      <c r="R124" s="580">
        <f>VLOOKUP(B124,'MEMÓRIA MEDIÇÃO 11'!$A$4:$F$202,6,FALSE)</f>
        <v>0</v>
      </c>
      <c r="S124" s="578">
        <f t="shared" si="36"/>
        <v>0</v>
      </c>
      <c r="T124" s="578">
        <f t="shared" si="55"/>
        <v>7.46</v>
      </c>
      <c r="U124" s="578">
        <f t="shared" si="56"/>
        <v>527.94420000000002</v>
      </c>
      <c r="V124" s="346">
        <f t="shared" si="50"/>
        <v>0</v>
      </c>
      <c r="W124" s="346">
        <f t="shared" si="51"/>
        <v>0</v>
      </c>
      <c r="X124" s="346">
        <f t="shared" si="57"/>
        <v>0</v>
      </c>
      <c r="Y124" s="346">
        <f t="shared" si="52"/>
        <v>0</v>
      </c>
      <c r="Z124" s="346">
        <f t="shared" si="53"/>
        <v>0</v>
      </c>
      <c r="AA124" s="346">
        <f t="shared" si="49"/>
        <v>0</v>
      </c>
      <c r="AB124" s="346">
        <f t="shared" si="54"/>
        <v>0</v>
      </c>
      <c r="AC124" s="346">
        <f t="shared" si="38"/>
        <v>0</v>
      </c>
      <c r="AD124" s="346">
        <f t="shared" si="39"/>
        <v>0</v>
      </c>
      <c r="AE124" s="346">
        <f t="shared" si="40"/>
        <v>0</v>
      </c>
      <c r="AF124" s="346">
        <f t="shared" si="41"/>
        <v>0</v>
      </c>
      <c r="AG124" s="581">
        <f t="shared" si="42"/>
        <v>0</v>
      </c>
      <c r="AH124" s="582">
        <f t="shared" si="43"/>
        <v>527.94420000000002</v>
      </c>
    </row>
    <row r="125" spans="2:34" s="167" customFormat="1" x14ac:dyDescent="0.25">
      <c r="B125" s="575" t="s">
        <v>332</v>
      </c>
      <c r="C125" s="583">
        <v>98504</v>
      </c>
      <c r="D125" s="577" t="s">
        <v>334</v>
      </c>
      <c r="E125" s="589" t="s">
        <v>17</v>
      </c>
      <c r="F125" s="590">
        <v>15.87</v>
      </c>
      <c r="G125" s="578">
        <v>25.6</v>
      </c>
      <c r="H125" s="580"/>
      <c r="I125" s="580"/>
      <c r="J125" s="579"/>
      <c r="K125" s="580"/>
      <c r="L125" s="580"/>
      <c r="M125" s="580"/>
      <c r="N125" s="578"/>
      <c r="O125" s="578"/>
      <c r="P125" s="580"/>
      <c r="Q125" s="580"/>
      <c r="R125" s="580">
        <f>VLOOKUP(B125,'MEMÓRIA MEDIÇÃO 11'!$A$4:$F$202,6,FALSE)</f>
        <v>0</v>
      </c>
      <c r="S125" s="578">
        <f t="shared" si="36"/>
        <v>0</v>
      </c>
      <c r="T125" s="578">
        <f t="shared" si="55"/>
        <v>25.6</v>
      </c>
      <c r="U125" s="578">
        <f t="shared" si="56"/>
        <v>406.27199999999999</v>
      </c>
      <c r="V125" s="346">
        <f t="shared" si="50"/>
        <v>0</v>
      </c>
      <c r="W125" s="346">
        <f t="shared" si="51"/>
        <v>0</v>
      </c>
      <c r="X125" s="346">
        <f t="shared" si="57"/>
        <v>0</v>
      </c>
      <c r="Y125" s="346">
        <f t="shared" si="52"/>
        <v>0</v>
      </c>
      <c r="Z125" s="346">
        <f t="shared" si="53"/>
        <v>0</v>
      </c>
      <c r="AA125" s="346">
        <f t="shared" si="49"/>
        <v>0</v>
      </c>
      <c r="AB125" s="346">
        <f t="shared" si="54"/>
        <v>0</v>
      </c>
      <c r="AC125" s="346">
        <f t="shared" si="38"/>
        <v>0</v>
      </c>
      <c r="AD125" s="346">
        <f t="shared" si="39"/>
        <v>0</v>
      </c>
      <c r="AE125" s="346">
        <f t="shared" si="40"/>
        <v>0</v>
      </c>
      <c r="AF125" s="346">
        <f t="shared" si="41"/>
        <v>0</v>
      </c>
      <c r="AG125" s="581">
        <f t="shared" si="42"/>
        <v>0</v>
      </c>
      <c r="AH125" s="582">
        <f t="shared" si="43"/>
        <v>406.27199999999999</v>
      </c>
    </row>
    <row r="126" spans="2:34" s="167" customFormat="1" ht="22.5" x14ac:dyDescent="0.25">
      <c r="B126" s="575" t="s">
        <v>335</v>
      </c>
      <c r="C126" s="583">
        <v>103913</v>
      </c>
      <c r="D126" s="577" t="s">
        <v>337</v>
      </c>
      <c r="E126" s="589" t="s">
        <v>17</v>
      </c>
      <c r="F126" s="590">
        <v>117.96</v>
      </c>
      <c r="G126" s="578">
        <v>39.6</v>
      </c>
      <c r="H126" s="580"/>
      <c r="I126" s="580"/>
      <c r="J126" s="579"/>
      <c r="K126" s="580"/>
      <c r="L126" s="580"/>
      <c r="M126" s="580"/>
      <c r="N126" s="578"/>
      <c r="O126" s="578"/>
      <c r="P126" s="580"/>
      <c r="Q126" s="580"/>
      <c r="R126" s="580">
        <f>VLOOKUP(B126,'MEMÓRIA MEDIÇÃO 11'!$A$4:$F$202,6,FALSE)</f>
        <v>0</v>
      </c>
      <c r="S126" s="578">
        <f t="shared" si="36"/>
        <v>0</v>
      </c>
      <c r="T126" s="578">
        <f t="shared" si="55"/>
        <v>39.6</v>
      </c>
      <c r="U126" s="578">
        <f t="shared" si="56"/>
        <v>4671.2160000000003</v>
      </c>
      <c r="V126" s="346">
        <f t="shared" si="50"/>
        <v>0</v>
      </c>
      <c r="W126" s="346">
        <f t="shared" si="51"/>
        <v>0</v>
      </c>
      <c r="X126" s="346">
        <f t="shared" si="57"/>
        <v>0</v>
      </c>
      <c r="Y126" s="346">
        <f t="shared" si="52"/>
        <v>0</v>
      </c>
      <c r="Z126" s="346">
        <f t="shared" si="53"/>
        <v>0</v>
      </c>
      <c r="AA126" s="346">
        <f t="shared" si="49"/>
        <v>0</v>
      </c>
      <c r="AB126" s="346">
        <f t="shared" si="54"/>
        <v>0</v>
      </c>
      <c r="AC126" s="346">
        <f t="shared" si="38"/>
        <v>0</v>
      </c>
      <c r="AD126" s="346">
        <f t="shared" si="39"/>
        <v>0</v>
      </c>
      <c r="AE126" s="346">
        <f t="shared" si="40"/>
        <v>0</v>
      </c>
      <c r="AF126" s="346">
        <f t="shared" si="41"/>
        <v>0</v>
      </c>
      <c r="AG126" s="581">
        <f t="shared" si="42"/>
        <v>0</v>
      </c>
      <c r="AH126" s="582">
        <f t="shared" si="43"/>
        <v>4671.2160000000003</v>
      </c>
    </row>
    <row r="127" spans="2:34" s="167" customFormat="1" x14ac:dyDescent="0.25">
      <c r="B127" s="584" t="s">
        <v>338</v>
      </c>
      <c r="C127" s="591" t="s">
        <v>339</v>
      </c>
      <c r="D127" s="577"/>
      <c r="E127" s="589"/>
      <c r="F127" s="590"/>
      <c r="G127" s="578"/>
      <c r="H127" s="580"/>
      <c r="I127" s="580"/>
      <c r="J127" s="579"/>
      <c r="K127" s="580"/>
      <c r="L127" s="580"/>
      <c r="M127" s="580"/>
      <c r="N127" s="578"/>
      <c r="O127" s="578"/>
      <c r="P127" s="580"/>
      <c r="Q127" s="580"/>
      <c r="R127" s="580">
        <f>VLOOKUP(B127,'MEMÓRIA MEDIÇÃO 11'!$A$4:$F$202,6,FALSE)</f>
        <v>0</v>
      </c>
      <c r="S127" s="578">
        <f t="shared" si="36"/>
        <v>0</v>
      </c>
      <c r="T127" s="578"/>
      <c r="U127" s="578"/>
      <c r="V127" s="346">
        <f t="shared" si="50"/>
        <v>0</v>
      </c>
      <c r="W127" s="346">
        <f t="shared" si="51"/>
        <v>0</v>
      </c>
      <c r="X127" s="346">
        <f t="shared" si="57"/>
        <v>0</v>
      </c>
      <c r="Y127" s="346">
        <f t="shared" si="52"/>
        <v>0</v>
      </c>
      <c r="Z127" s="346">
        <f t="shared" si="53"/>
        <v>0</v>
      </c>
      <c r="AA127" s="346">
        <f t="shared" si="49"/>
        <v>0</v>
      </c>
      <c r="AB127" s="346">
        <f t="shared" si="54"/>
        <v>0</v>
      </c>
      <c r="AC127" s="346">
        <f t="shared" si="38"/>
        <v>0</v>
      </c>
      <c r="AD127" s="346">
        <f t="shared" si="39"/>
        <v>0</v>
      </c>
      <c r="AE127" s="346">
        <f t="shared" si="40"/>
        <v>0</v>
      </c>
      <c r="AF127" s="346">
        <f t="shared" si="41"/>
        <v>0</v>
      </c>
      <c r="AG127" s="581">
        <f t="shared" si="42"/>
        <v>0</v>
      </c>
      <c r="AH127" s="582">
        <f t="shared" si="43"/>
        <v>0</v>
      </c>
    </row>
    <row r="128" spans="2:34" s="167" customFormat="1" ht="45" x14ac:dyDescent="0.25">
      <c r="B128" s="575" t="s">
        <v>340</v>
      </c>
      <c r="C128" s="583">
        <v>94207</v>
      </c>
      <c r="D128" s="577" t="s">
        <v>342</v>
      </c>
      <c r="E128" s="589" t="s">
        <v>17</v>
      </c>
      <c r="F128" s="590">
        <v>69.180000000000007</v>
      </c>
      <c r="G128" s="578">
        <v>629.87310000000002</v>
      </c>
      <c r="H128" s="580"/>
      <c r="I128" s="580"/>
      <c r="J128" s="579"/>
      <c r="K128" s="580"/>
      <c r="L128" s="580"/>
      <c r="M128" s="580"/>
      <c r="N128" s="578"/>
      <c r="O128" s="578"/>
      <c r="P128" s="580"/>
      <c r="Q128" s="580"/>
      <c r="R128" s="580">
        <f>VLOOKUP(B128,'MEMÓRIA MEDIÇÃO 11'!$A$4:$F$202,6,FALSE)</f>
        <v>471.51</v>
      </c>
      <c r="S128" s="578">
        <f t="shared" si="36"/>
        <v>471.51</v>
      </c>
      <c r="T128" s="578">
        <f t="shared" ref="T128:T136" si="58">G128-S128</f>
        <v>158.36310000000003</v>
      </c>
      <c r="U128" s="578">
        <f t="shared" ref="U128:U136" si="59">F128*G128</f>
        <v>43574.621058000004</v>
      </c>
      <c r="V128" s="346">
        <f t="shared" si="50"/>
        <v>0</v>
      </c>
      <c r="W128" s="346">
        <f t="shared" si="51"/>
        <v>0</v>
      </c>
      <c r="X128" s="346">
        <f t="shared" si="57"/>
        <v>0</v>
      </c>
      <c r="Y128" s="346">
        <f t="shared" si="52"/>
        <v>0</v>
      </c>
      <c r="Z128" s="346">
        <f t="shared" si="53"/>
        <v>0</v>
      </c>
      <c r="AA128" s="346">
        <f t="shared" si="49"/>
        <v>0</v>
      </c>
      <c r="AB128" s="346">
        <f t="shared" si="54"/>
        <v>0</v>
      </c>
      <c r="AC128" s="346">
        <f t="shared" si="38"/>
        <v>0</v>
      </c>
      <c r="AD128" s="346">
        <f t="shared" si="39"/>
        <v>0</v>
      </c>
      <c r="AE128" s="346">
        <f t="shared" si="40"/>
        <v>0</v>
      </c>
      <c r="AF128" s="346">
        <f t="shared" si="41"/>
        <v>32619.06</v>
      </c>
      <c r="AG128" s="581">
        <f t="shared" si="42"/>
        <v>32619.06</v>
      </c>
      <c r="AH128" s="582">
        <f t="shared" si="43"/>
        <v>10955.561058000003</v>
      </c>
    </row>
    <row r="129" spans="2:34" s="167" customFormat="1" ht="33.75" x14ac:dyDescent="0.25">
      <c r="B129" s="575" t="s">
        <v>343</v>
      </c>
      <c r="C129" s="583">
        <v>98546</v>
      </c>
      <c r="D129" s="577" t="s">
        <v>345</v>
      </c>
      <c r="E129" s="589" t="s">
        <v>17</v>
      </c>
      <c r="F129" s="590">
        <v>109.11</v>
      </c>
      <c r="G129" s="578">
        <v>201.28</v>
      </c>
      <c r="H129" s="580"/>
      <c r="I129" s="580"/>
      <c r="J129" s="579"/>
      <c r="K129" s="580"/>
      <c r="L129" s="580"/>
      <c r="M129" s="580"/>
      <c r="N129" s="578"/>
      <c r="O129" s="578"/>
      <c r="P129" s="580"/>
      <c r="Q129" s="580"/>
      <c r="R129" s="580">
        <f>VLOOKUP(B129,'MEMÓRIA MEDIÇÃO 11'!$A$4:$F$202,6,FALSE)</f>
        <v>100.66499999999999</v>
      </c>
      <c r="S129" s="578">
        <f t="shared" si="36"/>
        <v>100.66499999999999</v>
      </c>
      <c r="T129" s="578">
        <f t="shared" si="58"/>
        <v>100.61500000000001</v>
      </c>
      <c r="U129" s="578">
        <f t="shared" si="59"/>
        <v>21961.660800000001</v>
      </c>
      <c r="V129" s="346">
        <f t="shared" si="50"/>
        <v>0</v>
      </c>
      <c r="W129" s="346">
        <f t="shared" si="51"/>
        <v>0</v>
      </c>
      <c r="X129" s="346">
        <f t="shared" si="57"/>
        <v>0</v>
      </c>
      <c r="Y129" s="346">
        <f t="shared" si="52"/>
        <v>0</v>
      </c>
      <c r="Z129" s="346">
        <f t="shared" si="53"/>
        <v>0</v>
      </c>
      <c r="AA129" s="346">
        <f t="shared" si="49"/>
        <v>0</v>
      </c>
      <c r="AB129" s="346">
        <f t="shared" si="54"/>
        <v>0</v>
      </c>
      <c r="AC129" s="346">
        <f t="shared" si="38"/>
        <v>0</v>
      </c>
      <c r="AD129" s="346">
        <f t="shared" si="39"/>
        <v>0</v>
      </c>
      <c r="AE129" s="346">
        <f t="shared" si="40"/>
        <v>0</v>
      </c>
      <c r="AF129" s="346">
        <f t="shared" si="41"/>
        <v>10983.56</v>
      </c>
      <c r="AG129" s="581">
        <f t="shared" si="42"/>
        <v>10983.56</v>
      </c>
      <c r="AH129" s="582">
        <f t="shared" si="43"/>
        <v>10978.100800000002</v>
      </c>
    </row>
    <row r="130" spans="2:34" s="167" customFormat="1" ht="33.75" x14ac:dyDescent="0.25">
      <c r="B130" s="575" t="s">
        <v>346</v>
      </c>
      <c r="C130" s="583">
        <v>98565</v>
      </c>
      <c r="D130" s="577" t="s">
        <v>348</v>
      </c>
      <c r="E130" s="589" t="s">
        <v>17</v>
      </c>
      <c r="F130" s="590">
        <v>46.12</v>
      </c>
      <c r="G130" s="578">
        <v>402.57</v>
      </c>
      <c r="H130" s="580"/>
      <c r="I130" s="580"/>
      <c r="J130" s="579"/>
      <c r="K130" s="580"/>
      <c r="L130" s="580"/>
      <c r="M130" s="580"/>
      <c r="N130" s="578"/>
      <c r="O130" s="578"/>
      <c r="P130" s="580"/>
      <c r="Q130" s="580"/>
      <c r="R130" s="580">
        <f>VLOOKUP(B130,'MEMÓRIA MEDIÇÃO 11'!$A$4:$F$202,6,FALSE)</f>
        <v>0</v>
      </c>
      <c r="S130" s="578">
        <f t="shared" si="36"/>
        <v>0</v>
      </c>
      <c r="T130" s="578">
        <f t="shared" si="58"/>
        <v>402.57</v>
      </c>
      <c r="U130" s="578">
        <f t="shared" si="59"/>
        <v>18566.528399999999</v>
      </c>
      <c r="V130" s="346">
        <f t="shared" si="50"/>
        <v>0</v>
      </c>
      <c r="W130" s="346">
        <f t="shared" si="51"/>
        <v>0</v>
      </c>
      <c r="X130" s="346">
        <f t="shared" si="57"/>
        <v>0</v>
      </c>
      <c r="Y130" s="346">
        <f t="shared" si="52"/>
        <v>0</v>
      </c>
      <c r="Z130" s="346">
        <f t="shared" si="53"/>
        <v>0</v>
      </c>
      <c r="AA130" s="346">
        <f t="shared" ref="AA130:AA161" si="60">M130*F130</f>
        <v>0</v>
      </c>
      <c r="AB130" s="346">
        <f t="shared" si="54"/>
        <v>0</v>
      </c>
      <c r="AC130" s="346">
        <f t="shared" si="38"/>
        <v>0</v>
      </c>
      <c r="AD130" s="346">
        <f t="shared" si="39"/>
        <v>0</v>
      </c>
      <c r="AE130" s="346">
        <f t="shared" si="40"/>
        <v>0</v>
      </c>
      <c r="AF130" s="346">
        <f t="shared" si="41"/>
        <v>0</v>
      </c>
      <c r="AG130" s="581">
        <f t="shared" si="42"/>
        <v>0</v>
      </c>
      <c r="AH130" s="582">
        <f t="shared" si="43"/>
        <v>18566.528399999999</v>
      </c>
    </row>
    <row r="131" spans="2:34" s="167" customFormat="1" ht="45" x14ac:dyDescent="0.25">
      <c r="B131" s="575" t="s">
        <v>349</v>
      </c>
      <c r="C131" s="583">
        <v>100374</v>
      </c>
      <c r="D131" s="577" t="s">
        <v>351</v>
      </c>
      <c r="E131" s="589" t="s">
        <v>166</v>
      </c>
      <c r="F131" s="590">
        <v>2472.0700000000002</v>
      </c>
      <c r="G131" s="578">
        <v>10</v>
      </c>
      <c r="H131" s="580"/>
      <c r="I131" s="580"/>
      <c r="J131" s="579"/>
      <c r="K131" s="580"/>
      <c r="L131" s="580"/>
      <c r="M131" s="580"/>
      <c r="N131" s="578"/>
      <c r="O131" s="578"/>
      <c r="P131" s="580"/>
      <c r="Q131" s="580"/>
      <c r="R131" s="580">
        <f>VLOOKUP(B131,'MEMÓRIA MEDIÇÃO 11'!$A$4:$F$202,6,FALSE)</f>
        <v>10</v>
      </c>
      <c r="S131" s="578">
        <f t="shared" si="36"/>
        <v>10</v>
      </c>
      <c r="T131" s="578">
        <f t="shared" si="58"/>
        <v>0</v>
      </c>
      <c r="U131" s="578">
        <f t="shared" si="59"/>
        <v>24720.7</v>
      </c>
      <c r="V131" s="346">
        <f t="shared" si="50"/>
        <v>0</v>
      </c>
      <c r="W131" s="346">
        <f t="shared" si="51"/>
        <v>0</v>
      </c>
      <c r="X131" s="346">
        <f t="shared" si="57"/>
        <v>0</v>
      </c>
      <c r="Y131" s="346">
        <f t="shared" si="52"/>
        <v>0</v>
      </c>
      <c r="Z131" s="346">
        <f t="shared" si="53"/>
        <v>0</v>
      </c>
      <c r="AA131" s="346">
        <f t="shared" si="60"/>
        <v>0</v>
      </c>
      <c r="AB131" s="346">
        <f t="shared" si="54"/>
        <v>0</v>
      </c>
      <c r="AC131" s="346">
        <f t="shared" si="38"/>
        <v>0</v>
      </c>
      <c r="AD131" s="346">
        <f t="shared" si="39"/>
        <v>0</v>
      </c>
      <c r="AE131" s="346">
        <f t="shared" si="40"/>
        <v>0</v>
      </c>
      <c r="AF131" s="346">
        <f t="shared" si="41"/>
        <v>24720.7</v>
      </c>
      <c r="AG131" s="581">
        <f t="shared" si="42"/>
        <v>24720.7</v>
      </c>
      <c r="AH131" s="582">
        <f t="shared" si="43"/>
        <v>0</v>
      </c>
    </row>
    <row r="132" spans="2:34" s="167" customFormat="1" ht="45" x14ac:dyDescent="0.25">
      <c r="B132" s="575" t="s">
        <v>352</v>
      </c>
      <c r="C132" s="583">
        <v>100375</v>
      </c>
      <c r="D132" s="577" t="s">
        <v>354</v>
      </c>
      <c r="E132" s="589" t="s">
        <v>166</v>
      </c>
      <c r="F132" s="590">
        <v>2766.14</v>
      </c>
      <c r="G132" s="578">
        <v>10</v>
      </c>
      <c r="H132" s="580"/>
      <c r="I132" s="580"/>
      <c r="J132" s="579"/>
      <c r="K132" s="580"/>
      <c r="L132" s="580"/>
      <c r="M132" s="580"/>
      <c r="N132" s="578"/>
      <c r="O132" s="578"/>
      <c r="P132" s="580"/>
      <c r="Q132" s="580"/>
      <c r="R132" s="580">
        <f>VLOOKUP(B132,'MEMÓRIA MEDIÇÃO 11'!$A$4:$F$202,6,FALSE)</f>
        <v>10</v>
      </c>
      <c r="S132" s="578">
        <f t="shared" si="36"/>
        <v>10</v>
      </c>
      <c r="T132" s="578">
        <f t="shared" si="58"/>
        <v>0</v>
      </c>
      <c r="U132" s="578">
        <f t="shared" si="59"/>
        <v>27661.399999999998</v>
      </c>
      <c r="V132" s="346">
        <f t="shared" si="50"/>
        <v>0</v>
      </c>
      <c r="W132" s="346">
        <f t="shared" si="51"/>
        <v>0</v>
      </c>
      <c r="X132" s="346">
        <f t="shared" si="57"/>
        <v>0</v>
      </c>
      <c r="Y132" s="346">
        <f t="shared" si="52"/>
        <v>0</v>
      </c>
      <c r="Z132" s="346">
        <f t="shared" si="53"/>
        <v>0</v>
      </c>
      <c r="AA132" s="346">
        <f t="shared" si="60"/>
        <v>0</v>
      </c>
      <c r="AB132" s="346">
        <f t="shared" si="54"/>
        <v>0</v>
      </c>
      <c r="AC132" s="346">
        <f t="shared" si="38"/>
        <v>0</v>
      </c>
      <c r="AD132" s="346">
        <f t="shared" si="39"/>
        <v>0</v>
      </c>
      <c r="AE132" s="346">
        <f t="shared" si="40"/>
        <v>0</v>
      </c>
      <c r="AF132" s="346">
        <f t="shared" si="41"/>
        <v>27661.4</v>
      </c>
      <c r="AG132" s="581">
        <f t="shared" si="42"/>
        <v>27661.4</v>
      </c>
      <c r="AH132" s="582">
        <f t="shared" si="43"/>
        <v>0</v>
      </c>
    </row>
    <row r="133" spans="2:34" s="167" customFormat="1" ht="33.75" x14ac:dyDescent="0.25">
      <c r="B133" s="575" t="s">
        <v>355</v>
      </c>
      <c r="C133" s="583">
        <v>92544</v>
      </c>
      <c r="D133" s="577" t="s">
        <v>357</v>
      </c>
      <c r="E133" s="589" t="s">
        <v>17</v>
      </c>
      <c r="F133" s="590">
        <v>15.3</v>
      </c>
      <c r="G133" s="578">
        <v>629.87</v>
      </c>
      <c r="H133" s="580"/>
      <c r="I133" s="580"/>
      <c r="J133" s="579"/>
      <c r="K133" s="580"/>
      <c r="L133" s="580"/>
      <c r="M133" s="580"/>
      <c r="N133" s="578"/>
      <c r="O133" s="578"/>
      <c r="P133" s="580"/>
      <c r="Q133" s="580"/>
      <c r="R133" s="580">
        <f>VLOOKUP(B133,'MEMÓRIA MEDIÇÃO 11'!$A$4:$F$202,6,FALSE)</f>
        <v>471.51</v>
      </c>
      <c r="S133" s="578">
        <f t="shared" si="36"/>
        <v>471.51</v>
      </c>
      <c r="T133" s="578">
        <f t="shared" si="58"/>
        <v>158.36000000000001</v>
      </c>
      <c r="U133" s="578">
        <f t="shared" si="59"/>
        <v>9637.0110000000004</v>
      </c>
      <c r="V133" s="346">
        <f t="shared" si="50"/>
        <v>0</v>
      </c>
      <c r="W133" s="346">
        <f t="shared" si="51"/>
        <v>0</v>
      </c>
      <c r="X133" s="346">
        <f t="shared" si="57"/>
        <v>0</v>
      </c>
      <c r="Y133" s="346">
        <f t="shared" si="52"/>
        <v>0</v>
      </c>
      <c r="Z133" s="346">
        <f t="shared" si="53"/>
        <v>0</v>
      </c>
      <c r="AA133" s="346">
        <f t="shared" si="60"/>
        <v>0</v>
      </c>
      <c r="AB133" s="346">
        <f t="shared" si="54"/>
        <v>0</v>
      </c>
      <c r="AC133" s="346">
        <f t="shared" si="38"/>
        <v>0</v>
      </c>
      <c r="AD133" s="346">
        <f t="shared" si="39"/>
        <v>0</v>
      </c>
      <c r="AE133" s="346">
        <f t="shared" si="40"/>
        <v>0</v>
      </c>
      <c r="AF133" s="346">
        <f t="shared" si="41"/>
        <v>7214.1</v>
      </c>
      <c r="AG133" s="581">
        <f t="shared" si="42"/>
        <v>7214.1</v>
      </c>
      <c r="AH133" s="582">
        <f t="shared" si="43"/>
        <v>2422.9110000000001</v>
      </c>
    </row>
    <row r="134" spans="2:34" s="167" customFormat="1" ht="33.75" x14ac:dyDescent="0.25">
      <c r="B134" s="575" t="s">
        <v>358</v>
      </c>
      <c r="C134" s="583">
        <v>100435</v>
      </c>
      <c r="D134" s="577" t="s">
        <v>360</v>
      </c>
      <c r="E134" s="589" t="s">
        <v>37</v>
      </c>
      <c r="F134" s="590">
        <v>84.59</v>
      </c>
      <c r="G134" s="578">
        <v>113.1</v>
      </c>
      <c r="H134" s="580"/>
      <c r="I134" s="580"/>
      <c r="J134" s="579"/>
      <c r="K134" s="580"/>
      <c r="L134" s="580"/>
      <c r="M134" s="580"/>
      <c r="N134" s="578"/>
      <c r="O134" s="578"/>
      <c r="P134" s="580"/>
      <c r="Q134" s="580"/>
      <c r="R134" s="580">
        <f>VLOOKUP(B134,'MEMÓRIA MEDIÇÃO 11'!$A$4:$F$202,6,FALSE)</f>
        <v>0</v>
      </c>
      <c r="S134" s="578">
        <f t="shared" si="36"/>
        <v>0</v>
      </c>
      <c r="T134" s="578">
        <f t="shared" si="58"/>
        <v>113.1</v>
      </c>
      <c r="U134" s="578">
        <f t="shared" si="59"/>
        <v>9567.128999999999</v>
      </c>
      <c r="V134" s="346">
        <f t="shared" si="50"/>
        <v>0</v>
      </c>
      <c r="W134" s="346">
        <f t="shared" si="51"/>
        <v>0</v>
      </c>
      <c r="X134" s="346">
        <f t="shared" si="57"/>
        <v>0</v>
      </c>
      <c r="Y134" s="346">
        <f t="shared" si="52"/>
        <v>0</v>
      </c>
      <c r="Z134" s="346">
        <f t="shared" si="53"/>
        <v>0</v>
      </c>
      <c r="AA134" s="346">
        <f t="shared" si="60"/>
        <v>0</v>
      </c>
      <c r="AB134" s="346">
        <f t="shared" si="54"/>
        <v>0</v>
      </c>
      <c r="AC134" s="346">
        <f t="shared" si="38"/>
        <v>0</v>
      </c>
      <c r="AD134" s="346">
        <f t="shared" si="39"/>
        <v>0</v>
      </c>
      <c r="AE134" s="346">
        <f t="shared" si="40"/>
        <v>0</v>
      </c>
      <c r="AF134" s="346">
        <f t="shared" si="41"/>
        <v>0</v>
      </c>
      <c r="AG134" s="581">
        <f t="shared" si="42"/>
        <v>0</v>
      </c>
      <c r="AH134" s="582">
        <f t="shared" si="43"/>
        <v>9567.128999999999</v>
      </c>
    </row>
    <row r="135" spans="2:34" s="167" customFormat="1" ht="33.75" x14ac:dyDescent="0.25">
      <c r="B135" s="575" t="s">
        <v>361</v>
      </c>
      <c r="C135" s="583">
        <v>94229</v>
      </c>
      <c r="D135" s="577" t="s">
        <v>363</v>
      </c>
      <c r="E135" s="589" t="s">
        <v>37</v>
      </c>
      <c r="F135" s="590">
        <v>165.04</v>
      </c>
      <c r="G135" s="578">
        <v>106.23</v>
      </c>
      <c r="H135" s="580"/>
      <c r="I135" s="580"/>
      <c r="J135" s="579"/>
      <c r="K135" s="580"/>
      <c r="L135" s="580"/>
      <c r="M135" s="580"/>
      <c r="N135" s="578"/>
      <c r="O135" s="578"/>
      <c r="P135" s="580"/>
      <c r="Q135" s="580"/>
      <c r="R135" s="580">
        <f>VLOOKUP(B135,'MEMÓRIA MEDIÇÃO 11'!$A$4:$F$202,6,FALSE)</f>
        <v>0</v>
      </c>
      <c r="S135" s="578">
        <f t="shared" si="36"/>
        <v>0</v>
      </c>
      <c r="T135" s="578">
        <f t="shared" si="58"/>
        <v>106.23</v>
      </c>
      <c r="U135" s="578">
        <f t="shared" si="59"/>
        <v>17532.199199999999</v>
      </c>
      <c r="V135" s="346">
        <f t="shared" si="50"/>
        <v>0</v>
      </c>
      <c r="W135" s="346">
        <f t="shared" si="51"/>
        <v>0</v>
      </c>
      <c r="X135" s="346">
        <f t="shared" si="57"/>
        <v>0</v>
      </c>
      <c r="Y135" s="346">
        <f t="shared" si="52"/>
        <v>0</v>
      </c>
      <c r="Z135" s="346">
        <f t="shared" si="53"/>
        <v>0</v>
      </c>
      <c r="AA135" s="346">
        <f t="shared" si="60"/>
        <v>0</v>
      </c>
      <c r="AB135" s="346">
        <f t="shared" si="54"/>
        <v>0</v>
      </c>
      <c r="AC135" s="346">
        <f t="shared" si="38"/>
        <v>0</v>
      </c>
      <c r="AD135" s="346">
        <f t="shared" si="39"/>
        <v>0</v>
      </c>
      <c r="AE135" s="346">
        <f t="shared" si="40"/>
        <v>0</v>
      </c>
      <c r="AF135" s="346">
        <f t="shared" si="41"/>
        <v>0</v>
      </c>
      <c r="AG135" s="581">
        <f t="shared" si="42"/>
        <v>0</v>
      </c>
      <c r="AH135" s="582">
        <f t="shared" si="43"/>
        <v>17532.199199999999</v>
      </c>
    </row>
    <row r="136" spans="2:34" s="167" customFormat="1" ht="22.5" x14ac:dyDescent="0.25">
      <c r="B136" s="575" t="s">
        <v>364</v>
      </c>
      <c r="C136" s="583">
        <v>96113</v>
      </c>
      <c r="D136" s="577" t="s">
        <v>366</v>
      </c>
      <c r="E136" s="589" t="s">
        <v>17</v>
      </c>
      <c r="F136" s="590">
        <v>34.25</v>
      </c>
      <c r="G136" s="578">
        <v>634.5</v>
      </c>
      <c r="H136" s="580"/>
      <c r="I136" s="580"/>
      <c r="J136" s="579"/>
      <c r="K136" s="580"/>
      <c r="L136" s="580"/>
      <c r="M136" s="580"/>
      <c r="N136" s="578"/>
      <c r="O136" s="578"/>
      <c r="P136" s="580"/>
      <c r="Q136" s="580"/>
      <c r="R136" s="580">
        <f>VLOOKUP(B136,'MEMÓRIA MEDIÇÃO 11'!$A$4:$F$202,6,FALSE)</f>
        <v>0</v>
      </c>
      <c r="S136" s="578">
        <f t="shared" si="36"/>
        <v>0</v>
      </c>
      <c r="T136" s="578">
        <f t="shared" si="58"/>
        <v>634.5</v>
      </c>
      <c r="U136" s="578">
        <f t="shared" si="59"/>
        <v>21731.625</v>
      </c>
      <c r="V136" s="346">
        <f t="shared" si="50"/>
        <v>0</v>
      </c>
      <c r="W136" s="346">
        <f t="shared" si="51"/>
        <v>0</v>
      </c>
      <c r="X136" s="346">
        <f t="shared" si="57"/>
        <v>0</v>
      </c>
      <c r="Y136" s="346">
        <f t="shared" si="52"/>
        <v>0</v>
      </c>
      <c r="Z136" s="346">
        <f t="shared" si="53"/>
        <v>0</v>
      </c>
      <c r="AA136" s="346">
        <f t="shared" si="60"/>
        <v>0</v>
      </c>
      <c r="AB136" s="346">
        <f t="shared" si="54"/>
        <v>0</v>
      </c>
      <c r="AC136" s="346">
        <f t="shared" si="38"/>
        <v>0</v>
      </c>
      <c r="AD136" s="346">
        <f t="shared" si="39"/>
        <v>0</v>
      </c>
      <c r="AE136" s="346">
        <f t="shared" si="40"/>
        <v>0</v>
      </c>
      <c r="AF136" s="346">
        <f t="shared" si="41"/>
        <v>0</v>
      </c>
      <c r="AG136" s="581">
        <f t="shared" si="42"/>
        <v>0</v>
      </c>
      <c r="AH136" s="582">
        <f t="shared" si="43"/>
        <v>21731.625</v>
      </c>
    </row>
    <row r="137" spans="2:34" s="167" customFormat="1" ht="14.45" customHeight="1" x14ac:dyDescent="0.25">
      <c r="B137" s="584">
        <v>1.1299999999999999</v>
      </c>
      <c r="C137" s="585" t="s">
        <v>368</v>
      </c>
      <c r="D137" s="577"/>
      <c r="E137" s="589"/>
      <c r="F137" s="590"/>
      <c r="G137" s="578"/>
      <c r="H137" s="580"/>
      <c r="I137" s="580"/>
      <c r="J137" s="579"/>
      <c r="K137" s="580"/>
      <c r="L137" s="580"/>
      <c r="M137" s="580"/>
      <c r="N137" s="578"/>
      <c r="O137" s="578"/>
      <c r="P137" s="580"/>
      <c r="Q137" s="580"/>
      <c r="R137" s="580">
        <f>VLOOKUP(B137,'MEMÓRIA MEDIÇÃO 11'!$A$4:$F$202,6,FALSE)</f>
        <v>0</v>
      </c>
      <c r="S137" s="578">
        <f t="shared" si="36"/>
        <v>0</v>
      </c>
      <c r="T137" s="578"/>
      <c r="U137" s="578"/>
      <c r="V137" s="346">
        <f t="shared" si="50"/>
        <v>0</v>
      </c>
      <c r="W137" s="346">
        <f t="shared" si="51"/>
        <v>0</v>
      </c>
      <c r="X137" s="346">
        <f t="shared" si="57"/>
        <v>0</v>
      </c>
      <c r="Y137" s="346">
        <f t="shared" si="52"/>
        <v>0</v>
      </c>
      <c r="Z137" s="346">
        <f t="shared" si="53"/>
        <v>0</v>
      </c>
      <c r="AA137" s="346">
        <f t="shared" si="60"/>
        <v>0</v>
      </c>
      <c r="AB137" s="346">
        <f t="shared" si="54"/>
        <v>0</v>
      </c>
      <c r="AC137" s="346">
        <f t="shared" si="38"/>
        <v>0</v>
      </c>
      <c r="AD137" s="346">
        <f t="shared" si="39"/>
        <v>0</v>
      </c>
      <c r="AE137" s="346">
        <f t="shared" si="40"/>
        <v>0</v>
      </c>
      <c r="AF137" s="346">
        <f t="shared" si="41"/>
        <v>0</v>
      </c>
      <c r="AG137" s="581">
        <f t="shared" si="42"/>
        <v>0</v>
      </c>
      <c r="AH137" s="582">
        <f t="shared" si="43"/>
        <v>0</v>
      </c>
    </row>
    <row r="138" spans="2:34" s="167" customFormat="1" ht="56.25" x14ac:dyDescent="0.25">
      <c r="B138" s="575" t="s">
        <v>369</v>
      </c>
      <c r="C138" s="583">
        <v>91785</v>
      </c>
      <c r="D138" s="577" t="s">
        <v>371</v>
      </c>
      <c r="E138" s="589" t="s">
        <v>37</v>
      </c>
      <c r="F138" s="590">
        <v>39.15</v>
      </c>
      <c r="G138" s="578">
        <v>98.77</v>
      </c>
      <c r="H138" s="579"/>
      <c r="I138" s="580"/>
      <c r="J138" s="579"/>
      <c r="K138" s="580"/>
      <c r="L138" s="580"/>
      <c r="M138" s="580"/>
      <c r="N138" s="580"/>
      <c r="O138" s="580">
        <v>98.77</v>
      </c>
      <c r="P138" s="580"/>
      <c r="Q138" s="580"/>
      <c r="R138" s="580">
        <f>VLOOKUP(B138,'MEMÓRIA MEDIÇÃO 11'!$A$4:$F$202,6,FALSE)</f>
        <v>0</v>
      </c>
      <c r="S138" s="578">
        <f t="shared" si="36"/>
        <v>98.77</v>
      </c>
      <c r="T138" s="578">
        <f t="shared" ref="T138:T159" si="61">G138-S138</f>
        <v>0</v>
      </c>
      <c r="U138" s="578">
        <f t="shared" ref="U138:U159" si="62">F138*G138</f>
        <v>3866.8454999999999</v>
      </c>
      <c r="V138" s="346">
        <f t="shared" si="50"/>
        <v>0</v>
      </c>
      <c r="W138" s="346">
        <f t="shared" si="51"/>
        <v>0</v>
      </c>
      <c r="X138" s="346">
        <f t="shared" si="57"/>
        <v>0</v>
      </c>
      <c r="Y138" s="346">
        <f t="shared" si="52"/>
        <v>0</v>
      </c>
      <c r="Z138" s="346">
        <f t="shared" si="53"/>
        <v>0</v>
      </c>
      <c r="AA138" s="346">
        <f t="shared" si="60"/>
        <v>0</v>
      </c>
      <c r="AB138" s="346">
        <f t="shared" si="54"/>
        <v>0</v>
      </c>
      <c r="AC138" s="346">
        <f t="shared" si="38"/>
        <v>3866.84</v>
      </c>
      <c r="AD138" s="346">
        <f t="shared" si="39"/>
        <v>0</v>
      </c>
      <c r="AE138" s="346">
        <f t="shared" si="40"/>
        <v>0</v>
      </c>
      <c r="AF138" s="346">
        <f t="shared" si="41"/>
        <v>0</v>
      </c>
      <c r="AG138" s="581">
        <f t="shared" si="42"/>
        <v>3866.84</v>
      </c>
      <c r="AH138" s="582">
        <f t="shared" si="43"/>
        <v>5.4999999997562554E-3</v>
      </c>
    </row>
    <row r="139" spans="2:34" s="167" customFormat="1" ht="56.25" x14ac:dyDescent="0.25">
      <c r="B139" s="575" t="s">
        <v>372</v>
      </c>
      <c r="C139" s="583">
        <v>91784</v>
      </c>
      <c r="D139" s="577" t="s">
        <v>374</v>
      </c>
      <c r="E139" s="589" t="s">
        <v>37</v>
      </c>
      <c r="F139" s="590">
        <v>40.17</v>
      </c>
      <c r="G139" s="578">
        <v>62.17</v>
      </c>
      <c r="H139" s="579"/>
      <c r="I139" s="580"/>
      <c r="J139" s="579"/>
      <c r="K139" s="580"/>
      <c r="L139" s="580"/>
      <c r="M139" s="580"/>
      <c r="N139" s="580"/>
      <c r="O139" s="580">
        <v>62.17</v>
      </c>
      <c r="P139" s="580"/>
      <c r="Q139" s="580"/>
      <c r="R139" s="580">
        <f>VLOOKUP(B139,'MEMÓRIA MEDIÇÃO 11'!$A$4:$F$202,6,FALSE)</f>
        <v>0</v>
      </c>
      <c r="S139" s="578">
        <f t="shared" si="36"/>
        <v>62.17</v>
      </c>
      <c r="T139" s="578">
        <f t="shared" si="61"/>
        <v>0</v>
      </c>
      <c r="U139" s="578">
        <f t="shared" si="62"/>
        <v>2497.3689000000004</v>
      </c>
      <c r="V139" s="346">
        <f t="shared" si="50"/>
        <v>0</v>
      </c>
      <c r="W139" s="346">
        <f t="shared" si="51"/>
        <v>0</v>
      </c>
      <c r="X139" s="346">
        <f t="shared" si="57"/>
        <v>0</v>
      </c>
      <c r="Y139" s="346">
        <f t="shared" si="52"/>
        <v>0</v>
      </c>
      <c r="Z139" s="346">
        <f t="shared" si="53"/>
        <v>0</v>
      </c>
      <c r="AA139" s="346">
        <f t="shared" si="60"/>
        <v>0</v>
      </c>
      <c r="AB139" s="346">
        <f t="shared" si="54"/>
        <v>0</v>
      </c>
      <c r="AC139" s="346">
        <f t="shared" si="38"/>
        <v>2497.36</v>
      </c>
      <c r="AD139" s="346">
        <f t="shared" si="39"/>
        <v>0</v>
      </c>
      <c r="AE139" s="346">
        <f t="shared" si="40"/>
        <v>0</v>
      </c>
      <c r="AF139" s="346">
        <f t="shared" si="41"/>
        <v>0</v>
      </c>
      <c r="AG139" s="581">
        <f t="shared" si="42"/>
        <v>2497.36</v>
      </c>
      <c r="AH139" s="582">
        <f t="shared" si="43"/>
        <v>8.9000000002670276E-3</v>
      </c>
    </row>
    <row r="140" spans="2:34" s="167" customFormat="1" ht="56.25" x14ac:dyDescent="0.25">
      <c r="B140" s="575" t="s">
        <v>375</v>
      </c>
      <c r="C140" s="583">
        <v>91786</v>
      </c>
      <c r="D140" s="577" t="s">
        <v>377</v>
      </c>
      <c r="E140" s="589" t="s">
        <v>37</v>
      </c>
      <c r="F140" s="590">
        <v>30.41</v>
      </c>
      <c r="G140" s="578">
        <v>24.75</v>
      </c>
      <c r="H140" s="579"/>
      <c r="I140" s="580"/>
      <c r="J140" s="579"/>
      <c r="K140" s="580"/>
      <c r="L140" s="580"/>
      <c r="M140" s="580"/>
      <c r="N140" s="580"/>
      <c r="O140" s="580"/>
      <c r="P140" s="580"/>
      <c r="Q140" s="580"/>
      <c r="R140" s="580">
        <f>VLOOKUP(B140,'MEMÓRIA MEDIÇÃO 11'!$A$4:$F$202,6,FALSE)</f>
        <v>24.75</v>
      </c>
      <c r="S140" s="578">
        <f t="shared" si="36"/>
        <v>24.75</v>
      </c>
      <c r="T140" s="578">
        <f t="shared" si="61"/>
        <v>0</v>
      </c>
      <c r="U140" s="578">
        <f t="shared" si="62"/>
        <v>752.64750000000004</v>
      </c>
      <c r="V140" s="346">
        <f t="shared" si="50"/>
        <v>0</v>
      </c>
      <c r="W140" s="346">
        <f t="shared" si="51"/>
        <v>0</v>
      </c>
      <c r="X140" s="346">
        <f t="shared" si="57"/>
        <v>0</v>
      </c>
      <c r="Y140" s="346">
        <f t="shared" si="52"/>
        <v>0</v>
      </c>
      <c r="Z140" s="346">
        <f t="shared" si="53"/>
        <v>0</v>
      </c>
      <c r="AA140" s="346">
        <f t="shared" si="60"/>
        <v>0</v>
      </c>
      <c r="AB140" s="346">
        <f t="shared" si="54"/>
        <v>0</v>
      </c>
      <c r="AC140" s="346">
        <f t="shared" si="38"/>
        <v>0</v>
      </c>
      <c r="AD140" s="346">
        <f t="shared" si="39"/>
        <v>0</v>
      </c>
      <c r="AE140" s="346">
        <f t="shared" si="40"/>
        <v>0</v>
      </c>
      <c r="AF140" s="346">
        <f t="shared" si="41"/>
        <v>752.65</v>
      </c>
      <c r="AG140" s="581">
        <f t="shared" si="42"/>
        <v>752.65</v>
      </c>
      <c r="AH140" s="582">
        <f t="shared" si="43"/>
        <v>-2.4999999999408828E-3</v>
      </c>
    </row>
    <row r="141" spans="2:34" s="167" customFormat="1" ht="45" x14ac:dyDescent="0.25">
      <c r="B141" s="575" t="s">
        <v>378</v>
      </c>
      <c r="C141" s="583">
        <v>91787</v>
      </c>
      <c r="D141" s="577" t="s">
        <v>380</v>
      </c>
      <c r="E141" s="589" t="s">
        <v>37</v>
      </c>
      <c r="F141" s="590">
        <v>36.86</v>
      </c>
      <c r="G141" s="578">
        <v>25.92</v>
      </c>
      <c r="H141" s="579"/>
      <c r="I141" s="580"/>
      <c r="J141" s="579"/>
      <c r="K141" s="580"/>
      <c r="L141" s="580"/>
      <c r="M141" s="580"/>
      <c r="N141" s="580"/>
      <c r="O141" s="580"/>
      <c r="P141" s="580"/>
      <c r="Q141" s="580"/>
      <c r="R141" s="580">
        <f>VLOOKUP(B141,'MEMÓRIA MEDIÇÃO 11'!$A$4:$F$202,6,FALSE)</f>
        <v>25.92</v>
      </c>
      <c r="S141" s="578">
        <f t="shared" si="36"/>
        <v>25.92</v>
      </c>
      <c r="T141" s="578">
        <f t="shared" si="61"/>
        <v>0</v>
      </c>
      <c r="U141" s="578">
        <f t="shared" si="62"/>
        <v>955.41120000000001</v>
      </c>
      <c r="V141" s="346">
        <f t="shared" si="50"/>
        <v>0</v>
      </c>
      <c r="W141" s="346">
        <f t="shared" si="51"/>
        <v>0</v>
      </c>
      <c r="X141" s="346">
        <f t="shared" si="57"/>
        <v>0</v>
      </c>
      <c r="Y141" s="346">
        <f t="shared" si="52"/>
        <v>0</v>
      </c>
      <c r="Z141" s="346">
        <f t="shared" si="53"/>
        <v>0</v>
      </c>
      <c r="AA141" s="346">
        <f t="shared" si="60"/>
        <v>0</v>
      </c>
      <c r="AB141" s="346">
        <f t="shared" si="54"/>
        <v>0</v>
      </c>
      <c r="AC141" s="346">
        <f t="shared" si="38"/>
        <v>0</v>
      </c>
      <c r="AD141" s="346">
        <f t="shared" si="39"/>
        <v>0</v>
      </c>
      <c r="AE141" s="346">
        <f t="shared" si="40"/>
        <v>0</v>
      </c>
      <c r="AF141" s="346">
        <f t="shared" si="41"/>
        <v>955.41</v>
      </c>
      <c r="AG141" s="581">
        <f t="shared" si="42"/>
        <v>955.41</v>
      </c>
      <c r="AH141" s="582">
        <f t="shared" si="43"/>
        <v>1.2000000000398359E-3</v>
      </c>
    </row>
    <row r="142" spans="2:34" s="167" customFormat="1" ht="33.75" x14ac:dyDescent="0.25">
      <c r="B142" s="575" t="s">
        <v>381</v>
      </c>
      <c r="C142" s="583">
        <v>89987</v>
      </c>
      <c r="D142" s="577" t="s">
        <v>383</v>
      </c>
      <c r="E142" s="589" t="s">
        <v>166</v>
      </c>
      <c r="F142" s="590">
        <v>102.73</v>
      </c>
      <c r="G142" s="578">
        <v>10</v>
      </c>
      <c r="H142" s="579"/>
      <c r="I142" s="580"/>
      <c r="J142" s="579"/>
      <c r="K142" s="580"/>
      <c r="L142" s="580"/>
      <c r="M142" s="580"/>
      <c r="N142" s="580"/>
      <c r="O142" s="580"/>
      <c r="P142" s="580"/>
      <c r="Q142" s="580"/>
      <c r="R142" s="580">
        <f>VLOOKUP(B142,'MEMÓRIA MEDIÇÃO 11'!$A$4:$F$202,6,FALSE)</f>
        <v>10</v>
      </c>
      <c r="S142" s="578">
        <f t="shared" si="36"/>
        <v>10</v>
      </c>
      <c r="T142" s="578">
        <f t="shared" si="61"/>
        <v>0</v>
      </c>
      <c r="U142" s="578">
        <f t="shared" si="62"/>
        <v>1027.3</v>
      </c>
      <c r="V142" s="346">
        <f t="shared" ref="V142:V173" si="63">F142*H142</f>
        <v>0</v>
      </c>
      <c r="W142" s="346">
        <f t="shared" ref="W142:W173" si="64">F142*I142</f>
        <v>0</v>
      </c>
      <c r="X142" s="346">
        <f t="shared" si="57"/>
        <v>0</v>
      </c>
      <c r="Y142" s="346">
        <f t="shared" ref="Y142:Y173" si="65">TRUNC(F142*K142,2)</f>
        <v>0</v>
      </c>
      <c r="Z142" s="346">
        <f t="shared" ref="Z142:Z173" si="66">TRUNC(F142*L142,2)</f>
        <v>0</v>
      </c>
      <c r="AA142" s="346">
        <f t="shared" si="60"/>
        <v>0</v>
      </c>
      <c r="AB142" s="346">
        <f t="shared" si="54"/>
        <v>0</v>
      </c>
      <c r="AC142" s="346">
        <f t="shared" si="38"/>
        <v>0</v>
      </c>
      <c r="AD142" s="346">
        <f t="shared" si="39"/>
        <v>0</v>
      </c>
      <c r="AE142" s="346">
        <f t="shared" si="40"/>
        <v>0</v>
      </c>
      <c r="AF142" s="346">
        <f t="shared" si="41"/>
        <v>1027.3</v>
      </c>
      <c r="AG142" s="581">
        <f t="shared" si="42"/>
        <v>1027.3</v>
      </c>
      <c r="AH142" s="582">
        <f t="shared" si="43"/>
        <v>0</v>
      </c>
    </row>
    <row r="143" spans="2:34" s="167" customFormat="1" ht="22.5" x14ac:dyDescent="0.25">
      <c r="B143" s="575" t="s">
        <v>384</v>
      </c>
      <c r="C143" s="583">
        <v>94490</v>
      </c>
      <c r="D143" s="577" t="s">
        <v>386</v>
      </c>
      <c r="E143" s="589" t="s">
        <v>166</v>
      </c>
      <c r="F143" s="590">
        <v>29.96</v>
      </c>
      <c r="G143" s="578">
        <v>2</v>
      </c>
      <c r="H143" s="579"/>
      <c r="I143" s="580"/>
      <c r="J143" s="579"/>
      <c r="K143" s="580"/>
      <c r="L143" s="580"/>
      <c r="M143" s="580"/>
      <c r="N143" s="580"/>
      <c r="O143" s="580"/>
      <c r="P143" s="580"/>
      <c r="Q143" s="580"/>
      <c r="R143" s="580">
        <f>VLOOKUP(B143,'MEMÓRIA MEDIÇÃO 11'!$A$4:$F$202,6,FALSE)</f>
        <v>0</v>
      </c>
      <c r="S143" s="578">
        <f t="shared" ref="S143:S206" si="67">H143+I143+J143+K143+L143+M143+N143+O143+P143+Q143+R143</f>
        <v>0</v>
      </c>
      <c r="T143" s="578">
        <f t="shared" si="61"/>
        <v>2</v>
      </c>
      <c r="U143" s="578">
        <f t="shared" si="62"/>
        <v>59.92</v>
      </c>
      <c r="V143" s="346">
        <f t="shared" si="63"/>
        <v>0</v>
      </c>
      <c r="W143" s="346">
        <f t="shared" si="64"/>
        <v>0</v>
      </c>
      <c r="X143" s="346">
        <f t="shared" si="57"/>
        <v>0</v>
      </c>
      <c r="Y143" s="346">
        <f t="shared" si="65"/>
        <v>0</v>
      </c>
      <c r="Z143" s="346">
        <f t="shared" si="66"/>
        <v>0</v>
      </c>
      <c r="AA143" s="346">
        <f t="shared" si="60"/>
        <v>0</v>
      </c>
      <c r="AB143" s="346">
        <f t="shared" ref="AB143:AB174" si="68">F143*N143</f>
        <v>0</v>
      </c>
      <c r="AC143" s="346">
        <f t="shared" ref="AC143:AC195" si="69">TRUNC(F143*O143,2)</f>
        <v>0</v>
      </c>
      <c r="AD143" s="346">
        <f t="shared" ref="AD143:AD195" si="70">TRUNC(F143*P143,2)</f>
        <v>0</v>
      </c>
      <c r="AE143" s="346">
        <f t="shared" ref="AE143:AE195" si="71">TRUNC(F143*Q143,2)</f>
        <v>0</v>
      </c>
      <c r="AF143" s="346">
        <f t="shared" ref="AF143:AF206" si="72">ROUND(R143*F143,2)</f>
        <v>0</v>
      </c>
      <c r="AG143" s="581">
        <f t="shared" ref="AG143:AG206" si="73">V143+W143+X143+Y143+Z143+AA143+AB143+AC143+AD143+AE143+AF143</f>
        <v>0</v>
      </c>
      <c r="AH143" s="582">
        <f t="shared" ref="AH143:AH195" si="74">U143-AG143</f>
        <v>59.92</v>
      </c>
    </row>
    <row r="144" spans="2:34" s="167" customFormat="1" ht="33.75" x14ac:dyDescent="0.25">
      <c r="B144" s="575" t="s">
        <v>387</v>
      </c>
      <c r="C144" s="583">
        <v>89985</v>
      </c>
      <c r="D144" s="577" t="s">
        <v>389</v>
      </c>
      <c r="E144" s="589" t="s">
        <v>166</v>
      </c>
      <c r="F144" s="590">
        <v>97.38</v>
      </c>
      <c r="G144" s="578">
        <v>6</v>
      </c>
      <c r="H144" s="579"/>
      <c r="I144" s="580"/>
      <c r="J144" s="579"/>
      <c r="K144" s="580"/>
      <c r="L144" s="580"/>
      <c r="M144" s="580"/>
      <c r="N144" s="578"/>
      <c r="O144" s="578"/>
      <c r="P144" s="580"/>
      <c r="Q144" s="580"/>
      <c r="R144" s="580">
        <f>VLOOKUP(B144,'MEMÓRIA MEDIÇÃO 11'!$A$4:$F$202,6,FALSE)</f>
        <v>6</v>
      </c>
      <c r="S144" s="578">
        <f t="shared" si="67"/>
        <v>6</v>
      </c>
      <c r="T144" s="578">
        <f t="shared" si="61"/>
        <v>0</v>
      </c>
      <c r="U144" s="578">
        <f t="shared" si="62"/>
        <v>584.28</v>
      </c>
      <c r="V144" s="346">
        <f t="shared" si="63"/>
        <v>0</v>
      </c>
      <c r="W144" s="346">
        <f t="shared" si="64"/>
        <v>0</v>
      </c>
      <c r="X144" s="346">
        <f t="shared" si="57"/>
        <v>0</v>
      </c>
      <c r="Y144" s="346">
        <f t="shared" si="65"/>
        <v>0</v>
      </c>
      <c r="Z144" s="346">
        <f t="shared" si="66"/>
        <v>0</v>
      </c>
      <c r="AA144" s="346">
        <f t="shared" si="60"/>
        <v>0</v>
      </c>
      <c r="AB144" s="346">
        <f t="shared" si="68"/>
        <v>0</v>
      </c>
      <c r="AC144" s="346">
        <f t="shared" si="69"/>
        <v>0</v>
      </c>
      <c r="AD144" s="346">
        <f t="shared" si="70"/>
        <v>0</v>
      </c>
      <c r="AE144" s="346">
        <f t="shared" si="71"/>
        <v>0</v>
      </c>
      <c r="AF144" s="346">
        <f t="shared" si="72"/>
        <v>584.28</v>
      </c>
      <c r="AG144" s="581">
        <f t="shared" si="73"/>
        <v>584.28</v>
      </c>
      <c r="AH144" s="582">
        <f t="shared" si="74"/>
        <v>0</v>
      </c>
    </row>
    <row r="145" spans="2:34" s="167" customFormat="1" ht="33.75" x14ac:dyDescent="0.25">
      <c r="B145" s="575" t="s">
        <v>390</v>
      </c>
      <c r="C145" s="583">
        <v>102613</v>
      </c>
      <c r="D145" s="577" t="s">
        <v>392</v>
      </c>
      <c r="E145" s="589" t="s">
        <v>166</v>
      </c>
      <c r="F145" s="590">
        <v>742.5</v>
      </c>
      <c r="G145" s="578">
        <v>2</v>
      </c>
      <c r="H145" s="579"/>
      <c r="I145" s="580"/>
      <c r="J145" s="579"/>
      <c r="K145" s="580"/>
      <c r="L145" s="580"/>
      <c r="M145" s="580"/>
      <c r="N145" s="578"/>
      <c r="O145" s="578"/>
      <c r="P145" s="580"/>
      <c r="Q145" s="580"/>
      <c r="R145" s="580">
        <f>VLOOKUP(B145,'MEMÓRIA MEDIÇÃO 11'!$A$4:$F$202,6,FALSE)</f>
        <v>2</v>
      </c>
      <c r="S145" s="578">
        <f t="shared" si="67"/>
        <v>2</v>
      </c>
      <c r="T145" s="578">
        <f t="shared" si="61"/>
        <v>0</v>
      </c>
      <c r="U145" s="578">
        <f t="shared" si="62"/>
        <v>1485</v>
      </c>
      <c r="V145" s="346">
        <f t="shared" si="63"/>
        <v>0</v>
      </c>
      <c r="W145" s="346">
        <f t="shared" si="64"/>
        <v>0</v>
      </c>
      <c r="X145" s="346">
        <f t="shared" si="57"/>
        <v>0</v>
      </c>
      <c r="Y145" s="346">
        <f t="shared" si="65"/>
        <v>0</v>
      </c>
      <c r="Z145" s="346">
        <f t="shared" si="66"/>
        <v>0</v>
      </c>
      <c r="AA145" s="346">
        <f t="shared" si="60"/>
        <v>0</v>
      </c>
      <c r="AB145" s="346">
        <f t="shared" si="68"/>
        <v>0</v>
      </c>
      <c r="AC145" s="346">
        <f t="shared" si="69"/>
        <v>0</v>
      </c>
      <c r="AD145" s="346">
        <f t="shared" si="70"/>
        <v>0</v>
      </c>
      <c r="AE145" s="346">
        <f t="shared" si="71"/>
        <v>0</v>
      </c>
      <c r="AF145" s="346">
        <f t="shared" si="72"/>
        <v>1485</v>
      </c>
      <c r="AG145" s="581">
        <f t="shared" si="73"/>
        <v>1485</v>
      </c>
      <c r="AH145" s="582">
        <f t="shared" si="74"/>
        <v>0</v>
      </c>
    </row>
    <row r="146" spans="2:34" s="167" customFormat="1" ht="22.5" x14ac:dyDescent="0.25">
      <c r="B146" s="575" t="s">
        <v>393</v>
      </c>
      <c r="C146" s="583">
        <v>102609</v>
      </c>
      <c r="D146" s="577" t="s">
        <v>395</v>
      </c>
      <c r="E146" s="589" t="s">
        <v>166</v>
      </c>
      <c r="F146" s="590">
        <v>1379.9</v>
      </c>
      <c r="G146" s="578">
        <v>2</v>
      </c>
      <c r="H146" s="579"/>
      <c r="I146" s="580"/>
      <c r="J146" s="579"/>
      <c r="K146" s="580"/>
      <c r="L146" s="580"/>
      <c r="M146" s="580"/>
      <c r="N146" s="578"/>
      <c r="O146" s="578"/>
      <c r="P146" s="580"/>
      <c r="Q146" s="580"/>
      <c r="R146" s="580">
        <f>VLOOKUP(B146,'MEMÓRIA MEDIÇÃO 11'!$A$4:$F$202,6,FALSE)</f>
        <v>2</v>
      </c>
      <c r="S146" s="578">
        <f t="shared" si="67"/>
        <v>2</v>
      </c>
      <c r="T146" s="578">
        <f t="shared" si="61"/>
        <v>0</v>
      </c>
      <c r="U146" s="578">
        <f t="shared" si="62"/>
        <v>2759.8</v>
      </c>
      <c r="V146" s="346">
        <f t="shared" si="63"/>
        <v>0</v>
      </c>
      <c r="W146" s="346">
        <f t="shared" si="64"/>
        <v>0</v>
      </c>
      <c r="X146" s="346">
        <f t="shared" si="57"/>
        <v>0</v>
      </c>
      <c r="Y146" s="346">
        <f t="shared" si="65"/>
        <v>0</v>
      </c>
      <c r="Z146" s="346">
        <f t="shared" si="66"/>
        <v>0</v>
      </c>
      <c r="AA146" s="346">
        <f t="shared" si="60"/>
        <v>0</v>
      </c>
      <c r="AB146" s="346">
        <f t="shared" si="68"/>
        <v>0</v>
      </c>
      <c r="AC146" s="346">
        <f t="shared" si="69"/>
        <v>0</v>
      </c>
      <c r="AD146" s="346">
        <f t="shared" si="70"/>
        <v>0</v>
      </c>
      <c r="AE146" s="346">
        <f t="shared" si="71"/>
        <v>0</v>
      </c>
      <c r="AF146" s="346">
        <f t="shared" si="72"/>
        <v>2759.8</v>
      </c>
      <c r="AG146" s="581">
        <f t="shared" si="73"/>
        <v>2759.8</v>
      </c>
      <c r="AH146" s="582">
        <f t="shared" si="74"/>
        <v>0</v>
      </c>
    </row>
    <row r="147" spans="2:34" s="167" customFormat="1" ht="22.5" x14ac:dyDescent="0.25">
      <c r="B147" s="575" t="s">
        <v>396</v>
      </c>
      <c r="C147" s="583">
        <v>94796</v>
      </c>
      <c r="D147" s="577" t="s">
        <v>398</v>
      </c>
      <c r="E147" s="589" t="s">
        <v>166</v>
      </c>
      <c r="F147" s="590">
        <v>47</v>
      </c>
      <c r="G147" s="578">
        <v>4</v>
      </c>
      <c r="H147" s="579"/>
      <c r="I147" s="580"/>
      <c r="J147" s="579"/>
      <c r="K147" s="580"/>
      <c r="L147" s="580"/>
      <c r="M147" s="580"/>
      <c r="N147" s="578"/>
      <c r="O147" s="578"/>
      <c r="P147" s="580"/>
      <c r="Q147" s="580"/>
      <c r="R147" s="580">
        <f>VLOOKUP(B147,'MEMÓRIA MEDIÇÃO 11'!$A$4:$F$202,6,FALSE)</f>
        <v>0</v>
      </c>
      <c r="S147" s="578">
        <f t="shared" si="67"/>
        <v>0</v>
      </c>
      <c r="T147" s="578">
        <f t="shared" si="61"/>
        <v>4</v>
      </c>
      <c r="U147" s="578">
        <f t="shared" si="62"/>
        <v>188</v>
      </c>
      <c r="V147" s="346">
        <f t="shared" si="63"/>
        <v>0</v>
      </c>
      <c r="W147" s="346">
        <f t="shared" si="64"/>
        <v>0</v>
      </c>
      <c r="X147" s="346">
        <f t="shared" si="57"/>
        <v>0</v>
      </c>
      <c r="Y147" s="346">
        <f t="shared" si="65"/>
        <v>0</v>
      </c>
      <c r="Z147" s="346">
        <f t="shared" si="66"/>
        <v>0</v>
      </c>
      <c r="AA147" s="346">
        <f t="shared" si="60"/>
        <v>0</v>
      </c>
      <c r="AB147" s="346">
        <f t="shared" si="68"/>
        <v>0</v>
      </c>
      <c r="AC147" s="346">
        <f t="shared" si="69"/>
        <v>0</v>
      </c>
      <c r="AD147" s="346">
        <f t="shared" si="70"/>
        <v>0</v>
      </c>
      <c r="AE147" s="346">
        <f t="shared" si="71"/>
        <v>0</v>
      </c>
      <c r="AF147" s="346">
        <f t="shared" si="72"/>
        <v>0</v>
      </c>
      <c r="AG147" s="581">
        <f t="shared" si="73"/>
        <v>0</v>
      </c>
      <c r="AH147" s="582">
        <f t="shared" si="74"/>
        <v>188</v>
      </c>
    </row>
    <row r="148" spans="2:34" s="167" customFormat="1" ht="22.5" x14ac:dyDescent="0.25">
      <c r="B148" s="575" t="s">
        <v>399</v>
      </c>
      <c r="C148" s="583">
        <v>94491</v>
      </c>
      <c r="D148" s="577" t="s">
        <v>401</v>
      </c>
      <c r="E148" s="589" t="s">
        <v>166</v>
      </c>
      <c r="F148" s="590">
        <v>40.99</v>
      </c>
      <c r="G148" s="578">
        <v>4</v>
      </c>
      <c r="H148" s="579"/>
      <c r="I148" s="580"/>
      <c r="J148" s="579"/>
      <c r="K148" s="580"/>
      <c r="L148" s="580"/>
      <c r="M148" s="580"/>
      <c r="N148" s="578"/>
      <c r="O148" s="578"/>
      <c r="P148" s="580"/>
      <c r="Q148" s="580"/>
      <c r="R148" s="580">
        <f>VLOOKUP(B148,'MEMÓRIA MEDIÇÃO 11'!$A$4:$F$202,6,FALSE)</f>
        <v>0</v>
      </c>
      <c r="S148" s="578">
        <f t="shared" si="67"/>
        <v>0</v>
      </c>
      <c r="T148" s="578">
        <f t="shared" si="61"/>
        <v>4</v>
      </c>
      <c r="U148" s="578">
        <f t="shared" si="62"/>
        <v>163.96</v>
      </c>
      <c r="V148" s="346">
        <f t="shared" si="63"/>
        <v>0</v>
      </c>
      <c r="W148" s="346">
        <f t="shared" si="64"/>
        <v>0</v>
      </c>
      <c r="X148" s="346">
        <f t="shared" si="57"/>
        <v>0</v>
      </c>
      <c r="Y148" s="346">
        <f t="shared" si="65"/>
        <v>0</v>
      </c>
      <c r="Z148" s="346">
        <f t="shared" si="66"/>
        <v>0</v>
      </c>
      <c r="AA148" s="346">
        <f t="shared" si="60"/>
        <v>0</v>
      </c>
      <c r="AB148" s="346">
        <f t="shared" si="68"/>
        <v>0</v>
      </c>
      <c r="AC148" s="346">
        <f t="shared" si="69"/>
        <v>0</v>
      </c>
      <c r="AD148" s="346">
        <f t="shared" si="70"/>
        <v>0</v>
      </c>
      <c r="AE148" s="346">
        <f t="shared" si="71"/>
        <v>0</v>
      </c>
      <c r="AF148" s="346">
        <f t="shared" si="72"/>
        <v>0</v>
      </c>
      <c r="AG148" s="581">
        <f t="shared" si="73"/>
        <v>0</v>
      </c>
      <c r="AH148" s="582">
        <f t="shared" si="74"/>
        <v>163.96</v>
      </c>
    </row>
    <row r="149" spans="2:34" s="167" customFormat="1" ht="22.5" x14ac:dyDescent="0.25">
      <c r="B149" s="575" t="s">
        <v>402</v>
      </c>
      <c r="C149" s="583">
        <v>94492</v>
      </c>
      <c r="D149" s="577" t="s">
        <v>404</v>
      </c>
      <c r="E149" s="589" t="s">
        <v>166</v>
      </c>
      <c r="F149" s="590">
        <v>42.12</v>
      </c>
      <c r="G149" s="578">
        <v>2</v>
      </c>
      <c r="H149" s="579"/>
      <c r="I149" s="580"/>
      <c r="J149" s="579"/>
      <c r="K149" s="580"/>
      <c r="L149" s="580"/>
      <c r="M149" s="580"/>
      <c r="N149" s="578"/>
      <c r="O149" s="578"/>
      <c r="P149" s="580"/>
      <c r="Q149" s="580"/>
      <c r="R149" s="580">
        <f>VLOOKUP(B149,'MEMÓRIA MEDIÇÃO 11'!$A$4:$F$202,6,FALSE)</f>
        <v>0</v>
      </c>
      <c r="S149" s="578">
        <f t="shared" si="67"/>
        <v>0</v>
      </c>
      <c r="T149" s="578">
        <f t="shared" si="61"/>
        <v>2</v>
      </c>
      <c r="U149" s="578">
        <f t="shared" si="62"/>
        <v>84.24</v>
      </c>
      <c r="V149" s="346">
        <f t="shared" si="63"/>
        <v>0</v>
      </c>
      <c r="W149" s="346">
        <f t="shared" si="64"/>
        <v>0</v>
      </c>
      <c r="X149" s="346">
        <f t="shared" si="57"/>
        <v>0</v>
      </c>
      <c r="Y149" s="346">
        <f t="shared" si="65"/>
        <v>0</v>
      </c>
      <c r="Z149" s="346">
        <f t="shared" si="66"/>
        <v>0</v>
      </c>
      <c r="AA149" s="346">
        <f t="shared" si="60"/>
        <v>0</v>
      </c>
      <c r="AB149" s="346">
        <f t="shared" si="68"/>
        <v>0</v>
      </c>
      <c r="AC149" s="346">
        <f t="shared" si="69"/>
        <v>0</v>
      </c>
      <c r="AD149" s="346">
        <f t="shared" si="70"/>
        <v>0</v>
      </c>
      <c r="AE149" s="346">
        <f t="shared" si="71"/>
        <v>0</v>
      </c>
      <c r="AF149" s="346">
        <f t="shared" si="72"/>
        <v>0</v>
      </c>
      <c r="AG149" s="581">
        <f t="shared" si="73"/>
        <v>0</v>
      </c>
      <c r="AH149" s="582">
        <f t="shared" si="74"/>
        <v>84.24</v>
      </c>
    </row>
    <row r="150" spans="2:34" s="167" customFormat="1" ht="22.5" x14ac:dyDescent="0.25">
      <c r="B150" s="575" t="s">
        <v>405</v>
      </c>
      <c r="C150" s="583">
        <v>95675</v>
      </c>
      <c r="D150" s="577" t="s">
        <v>407</v>
      </c>
      <c r="E150" s="589" t="s">
        <v>166</v>
      </c>
      <c r="F150" s="590">
        <v>147.76</v>
      </c>
      <c r="G150" s="578">
        <v>1</v>
      </c>
      <c r="H150" s="579"/>
      <c r="I150" s="580"/>
      <c r="J150" s="579"/>
      <c r="K150" s="580"/>
      <c r="L150" s="580"/>
      <c r="M150" s="580"/>
      <c r="N150" s="578"/>
      <c r="O150" s="578"/>
      <c r="P150" s="580"/>
      <c r="Q150" s="580"/>
      <c r="R150" s="580">
        <f>VLOOKUP(B150,'MEMÓRIA MEDIÇÃO 11'!$A$4:$F$202,6,FALSE)</f>
        <v>0</v>
      </c>
      <c r="S150" s="578">
        <f t="shared" si="67"/>
        <v>0</v>
      </c>
      <c r="T150" s="578">
        <f t="shared" si="61"/>
        <v>1</v>
      </c>
      <c r="U150" s="578">
        <f t="shared" si="62"/>
        <v>147.76</v>
      </c>
      <c r="V150" s="346">
        <f t="shared" si="63"/>
        <v>0</v>
      </c>
      <c r="W150" s="346">
        <f t="shared" si="64"/>
        <v>0</v>
      </c>
      <c r="X150" s="346">
        <f t="shared" si="57"/>
        <v>0</v>
      </c>
      <c r="Y150" s="346">
        <f t="shared" si="65"/>
        <v>0</v>
      </c>
      <c r="Z150" s="346">
        <f t="shared" si="66"/>
        <v>0</v>
      </c>
      <c r="AA150" s="346">
        <f t="shared" si="60"/>
        <v>0</v>
      </c>
      <c r="AB150" s="346">
        <f t="shared" si="68"/>
        <v>0</v>
      </c>
      <c r="AC150" s="346">
        <f t="shared" si="69"/>
        <v>0</v>
      </c>
      <c r="AD150" s="346">
        <f t="shared" si="70"/>
        <v>0</v>
      </c>
      <c r="AE150" s="346">
        <f t="shared" si="71"/>
        <v>0</v>
      </c>
      <c r="AF150" s="346">
        <f t="shared" si="72"/>
        <v>0</v>
      </c>
      <c r="AG150" s="581">
        <f t="shared" si="73"/>
        <v>0</v>
      </c>
      <c r="AH150" s="582">
        <f t="shared" si="74"/>
        <v>147.76</v>
      </c>
    </row>
    <row r="151" spans="2:34" s="167" customFormat="1" ht="33.75" x14ac:dyDescent="0.25">
      <c r="B151" s="575" t="s">
        <v>408</v>
      </c>
      <c r="C151" s="583">
        <v>97902</v>
      </c>
      <c r="D151" s="577" t="s">
        <v>410</v>
      </c>
      <c r="E151" s="589" t="s">
        <v>166</v>
      </c>
      <c r="F151" s="590">
        <v>503.94</v>
      </c>
      <c r="G151" s="578">
        <v>7</v>
      </c>
      <c r="H151" s="579"/>
      <c r="I151" s="580"/>
      <c r="J151" s="579"/>
      <c r="K151" s="580"/>
      <c r="L151" s="580"/>
      <c r="M151" s="580"/>
      <c r="N151" s="578"/>
      <c r="O151" s="578"/>
      <c r="P151" s="580"/>
      <c r="Q151" s="580"/>
      <c r="R151" s="580">
        <f>VLOOKUP(B151,'MEMÓRIA MEDIÇÃO 11'!$A$4:$F$202,6,FALSE)</f>
        <v>7</v>
      </c>
      <c r="S151" s="578">
        <f t="shared" si="67"/>
        <v>7</v>
      </c>
      <c r="T151" s="578">
        <f t="shared" si="61"/>
        <v>0</v>
      </c>
      <c r="U151" s="578">
        <f t="shared" si="62"/>
        <v>3527.58</v>
      </c>
      <c r="V151" s="346">
        <f t="shared" si="63"/>
        <v>0</v>
      </c>
      <c r="W151" s="346">
        <f t="shared" si="64"/>
        <v>0</v>
      </c>
      <c r="X151" s="346">
        <f t="shared" si="57"/>
        <v>0</v>
      </c>
      <c r="Y151" s="346">
        <f t="shared" si="65"/>
        <v>0</v>
      </c>
      <c r="Z151" s="346">
        <f t="shared" si="66"/>
        <v>0</v>
      </c>
      <c r="AA151" s="346">
        <f t="shared" si="60"/>
        <v>0</v>
      </c>
      <c r="AB151" s="346">
        <f t="shared" si="68"/>
        <v>0</v>
      </c>
      <c r="AC151" s="346">
        <f t="shared" si="69"/>
        <v>0</v>
      </c>
      <c r="AD151" s="346">
        <f t="shared" si="70"/>
        <v>0</v>
      </c>
      <c r="AE151" s="346">
        <f t="shared" si="71"/>
        <v>0</v>
      </c>
      <c r="AF151" s="346">
        <f t="shared" si="72"/>
        <v>3527.58</v>
      </c>
      <c r="AG151" s="581">
        <f t="shared" si="73"/>
        <v>3527.58</v>
      </c>
      <c r="AH151" s="582">
        <f t="shared" si="74"/>
        <v>0</v>
      </c>
    </row>
    <row r="152" spans="2:34" s="167" customFormat="1" ht="33.75" x14ac:dyDescent="0.25">
      <c r="B152" s="575" t="s">
        <v>411</v>
      </c>
      <c r="C152" s="583">
        <v>99258</v>
      </c>
      <c r="D152" s="577" t="s">
        <v>413</v>
      </c>
      <c r="E152" s="589" t="s">
        <v>166</v>
      </c>
      <c r="F152" s="590">
        <v>206.7</v>
      </c>
      <c r="G152" s="578">
        <v>1</v>
      </c>
      <c r="H152" s="579"/>
      <c r="I152" s="580"/>
      <c r="J152" s="579"/>
      <c r="K152" s="580"/>
      <c r="L152" s="580"/>
      <c r="M152" s="580"/>
      <c r="N152" s="578"/>
      <c r="O152" s="578"/>
      <c r="P152" s="580"/>
      <c r="Q152" s="580"/>
      <c r="R152" s="580">
        <f>VLOOKUP(B152,'MEMÓRIA MEDIÇÃO 11'!$A$4:$F$202,6,FALSE)</f>
        <v>1</v>
      </c>
      <c r="S152" s="578">
        <f t="shared" si="67"/>
        <v>1</v>
      </c>
      <c r="T152" s="578">
        <f t="shared" si="61"/>
        <v>0</v>
      </c>
      <c r="U152" s="578">
        <f t="shared" si="62"/>
        <v>206.7</v>
      </c>
      <c r="V152" s="346">
        <f t="shared" si="63"/>
        <v>0</v>
      </c>
      <c r="W152" s="346">
        <f t="shared" si="64"/>
        <v>0</v>
      </c>
      <c r="X152" s="346">
        <f t="shared" si="57"/>
        <v>0</v>
      </c>
      <c r="Y152" s="346">
        <f t="shared" si="65"/>
        <v>0</v>
      </c>
      <c r="Z152" s="346">
        <f t="shared" si="66"/>
        <v>0</v>
      </c>
      <c r="AA152" s="346">
        <f t="shared" si="60"/>
        <v>0</v>
      </c>
      <c r="AB152" s="346">
        <f t="shared" si="68"/>
        <v>0</v>
      </c>
      <c r="AC152" s="346">
        <f t="shared" si="69"/>
        <v>0</v>
      </c>
      <c r="AD152" s="346">
        <f t="shared" si="70"/>
        <v>0</v>
      </c>
      <c r="AE152" s="346">
        <f t="shared" si="71"/>
        <v>0</v>
      </c>
      <c r="AF152" s="346">
        <f t="shared" si="72"/>
        <v>206.7</v>
      </c>
      <c r="AG152" s="581">
        <f t="shared" si="73"/>
        <v>206.7</v>
      </c>
      <c r="AH152" s="582">
        <f t="shared" si="74"/>
        <v>0</v>
      </c>
    </row>
    <row r="153" spans="2:34" s="167" customFormat="1" ht="33.75" x14ac:dyDescent="0.25">
      <c r="B153" s="575" t="s">
        <v>414</v>
      </c>
      <c r="C153" s="583">
        <v>89482</v>
      </c>
      <c r="D153" s="577" t="s">
        <v>416</v>
      </c>
      <c r="E153" s="589" t="s">
        <v>166</v>
      </c>
      <c r="F153" s="590">
        <v>32.83</v>
      </c>
      <c r="G153" s="578">
        <v>10</v>
      </c>
      <c r="H153" s="579"/>
      <c r="I153" s="580"/>
      <c r="J153" s="579"/>
      <c r="K153" s="580"/>
      <c r="L153" s="580"/>
      <c r="M153" s="580"/>
      <c r="N153" s="578"/>
      <c r="O153" s="578"/>
      <c r="P153" s="580"/>
      <c r="Q153" s="580"/>
      <c r="R153" s="580">
        <f>VLOOKUP(B153,'MEMÓRIA MEDIÇÃO 11'!$A$4:$F$202,6,FALSE)</f>
        <v>10</v>
      </c>
      <c r="S153" s="578">
        <f t="shared" si="67"/>
        <v>10</v>
      </c>
      <c r="T153" s="578">
        <f t="shared" si="61"/>
        <v>0</v>
      </c>
      <c r="U153" s="578">
        <f t="shared" si="62"/>
        <v>328.29999999999995</v>
      </c>
      <c r="V153" s="346">
        <f t="shared" si="63"/>
        <v>0</v>
      </c>
      <c r="W153" s="346">
        <f t="shared" si="64"/>
        <v>0</v>
      </c>
      <c r="X153" s="346">
        <f t="shared" si="57"/>
        <v>0</v>
      </c>
      <c r="Y153" s="346">
        <f t="shared" si="65"/>
        <v>0</v>
      </c>
      <c r="Z153" s="346">
        <f t="shared" si="66"/>
        <v>0</v>
      </c>
      <c r="AA153" s="346">
        <f t="shared" si="60"/>
        <v>0</v>
      </c>
      <c r="AB153" s="346">
        <f t="shared" si="68"/>
        <v>0</v>
      </c>
      <c r="AC153" s="346">
        <f t="shared" si="69"/>
        <v>0</v>
      </c>
      <c r="AD153" s="346">
        <f t="shared" si="70"/>
        <v>0</v>
      </c>
      <c r="AE153" s="346">
        <f t="shared" si="71"/>
        <v>0</v>
      </c>
      <c r="AF153" s="346">
        <f t="shared" si="72"/>
        <v>328.3</v>
      </c>
      <c r="AG153" s="581">
        <f t="shared" si="73"/>
        <v>328.3</v>
      </c>
      <c r="AH153" s="582">
        <f t="shared" si="74"/>
        <v>0</v>
      </c>
    </row>
    <row r="154" spans="2:34" s="167" customFormat="1" ht="56.25" x14ac:dyDescent="0.25">
      <c r="B154" s="575" t="s">
        <v>417</v>
      </c>
      <c r="C154" s="583">
        <v>91792</v>
      </c>
      <c r="D154" s="577" t="s">
        <v>419</v>
      </c>
      <c r="E154" s="589" t="s">
        <v>37</v>
      </c>
      <c r="F154" s="590">
        <v>54.23</v>
      </c>
      <c r="G154" s="578">
        <v>38.85</v>
      </c>
      <c r="H154" s="579"/>
      <c r="I154" s="580"/>
      <c r="J154" s="579"/>
      <c r="K154" s="580"/>
      <c r="L154" s="580"/>
      <c r="M154" s="580"/>
      <c r="N154" s="580"/>
      <c r="O154" s="580">
        <f>'MEMORIAL DE CALCULO 08'!K498</f>
        <v>38.85</v>
      </c>
      <c r="P154" s="580"/>
      <c r="Q154" s="580"/>
      <c r="R154" s="580">
        <f>VLOOKUP(B154,'MEMÓRIA MEDIÇÃO 11'!$A$4:$F$202,6,FALSE)</f>
        <v>0</v>
      </c>
      <c r="S154" s="578">
        <f t="shared" si="67"/>
        <v>38.85</v>
      </c>
      <c r="T154" s="578">
        <f t="shared" si="61"/>
        <v>0</v>
      </c>
      <c r="U154" s="578">
        <f t="shared" si="62"/>
        <v>2106.8355000000001</v>
      </c>
      <c r="V154" s="346">
        <f t="shared" si="63"/>
        <v>0</v>
      </c>
      <c r="W154" s="346">
        <f t="shared" si="64"/>
        <v>0</v>
      </c>
      <c r="X154" s="346">
        <f t="shared" si="57"/>
        <v>0</v>
      </c>
      <c r="Y154" s="346">
        <f t="shared" si="65"/>
        <v>0</v>
      </c>
      <c r="Z154" s="346">
        <f t="shared" si="66"/>
        <v>0</v>
      </c>
      <c r="AA154" s="346">
        <f t="shared" si="60"/>
        <v>0</v>
      </c>
      <c r="AB154" s="346">
        <f t="shared" si="68"/>
        <v>0</v>
      </c>
      <c r="AC154" s="346">
        <f t="shared" si="69"/>
        <v>2106.83</v>
      </c>
      <c r="AD154" s="346">
        <f t="shared" si="70"/>
        <v>0</v>
      </c>
      <c r="AE154" s="346">
        <f t="shared" si="71"/>
        <v>0</v>
      </c>
      <c r="AF154" s="346">
        <f t="shared" si="72"/>
        <v>0</v>
      </c>
      <c r="AG154" s="581">
        <f t="shared" si="73"/>
        <v>2106.83</v>
      </c>
      <c r="AH154" s="582">
        <f t="shared" si="74"/>
        <v>5.5000000002110028E-3</v>
      </c>
    </row>
    <row r="155" spans="2:34" s="167" customFormat="1" ht="56.25" x14ac:dyDescent="0.25">
      <c r="B155" s="575" t="s">
        <v>420</v>
      </c>
      <c r="C155" s="583">
        <v>91793</v>
      </c>
      <c r="D155" s="577" t="s">
        <v>422</v>
      </c>
      <c r="E155" s="589" t="s">
        <v>37</v>
      </c>
      <c r="F155" s="590">
        <v>87.3</v>
      </c>
      <c r="G155" s="578">
        <v>46.51</v>
      </c>
      <c r="H155" s="579"/>
      <c r="I155" s="580"/>
      <c r="J155" s="579"/>
      <c r="K155" s="580"/>
      <c r="L155" s="580"/>
      <c r="M155" s="580"/>
      <c r="N155" s="580"/>
      <c r="O155" s="580">
        <f>'MEMORIAL DE CALCULO 08'!K501</f>
        <v>46.51</v>
      </c>
      <c r="P155" s="580"/>
      <c r="Q155" s="580"/>
      <c r="R155" s="580">
        <f>VLOOKUP(B155,'MEMÓRIA MEDIÇÃO 11'!$A$4:$F$202,6,FALSE)</f>
        <v>0</v>
      </c>
      <c r="S155" s="578">
        <f t="shared" si="67"/>
        <v>46.51</v>
      </c>
      <c r="T155" s="578">
        <f t="shared" si="61"/>
        <v>0</v>
      </c>
      <c r="U155" s="578">
        <f t="shared" si="62"/>
        <v>4060.3229999999999</v>
      </c>
      <c r="V155" s="346">
        <f t="shared" si="63"/>
        <v>0</v>
      </c>
      <c r="W155" s="346">
        <f t="shared" si="64"/>
        <v>0</v>
      </c>
      <c r="X155" s="346">
        <f t="shared" ref="X155:X186" si="75">F155*J155</f>
        <v>0</v>
      </c>
      <c r="Y155" s="346">
        <f t="shared" si="65"/>
        <v>0</v>
      </c>
      <c r="Z155" s="346">
        <f t="shared" si="66"/>
        <v>0</v>
      </c>
      <c r="AA155" s="346">
        <f t="shared" si="60"/>
        <v>0</v>
      </c>
      <c r="AB155" s="346">
        <f t="shared" si="68"/>
        <v>0</v>
      </c>
      <c r="AC155" s="346">
        <f t="shared" si="69"/>
        <v>4060.32</v>
      </c>
      <c r="AD155" s="346">
        <f t="shared" si="70"/>
        <v>0</v>
      </c>
      <c r="AE155" s="346">
        <f t="shared" si="71"/>
        <v>0</v>
      </c>
      <c r="AF155" s="346">
        <f t="shared" si="72"/>
        <v>0</v>
      </c>
      <c r="AG155" s="581">
        <f t="shared" si="73"/>
        <v>4060.32</v>
      </c>
      <c r="AH155" s="582">
        <f t="shared" si="74"/>
        <v>2.9999999997016857E-3</v>
      </c>
    </row>
    <row r="156" spans="2:34" s="167" customFormat="1" ht="45" x14ac:dyDescent="0.25">
      <c r="B156" s="575" t="s">
        <v>423</v>
      </c>
      <c r="C156" s="583">
        <v>98107</v>
      </c>
      <c r="D156" s="577" t="s">
        <v>425</v>
      </c>
      <c r="E156" s="589" t="s">
        <v>166</v>
      </c>
      <c r="F156" s="590">
        <v>243.02</v>
      </c>
      <c r="G156" s="578">
        <v>1</v>
      </c>
      <c r="H156" s="579"/>
      <c r="I156" s="580"/>
      <c r="J156" s="579"/>
      <c r="K156" s="580"/>
      <c r="L156" s="580"/>
      <c r="M156" s="580"/>
      <c r="N156" s="580"/>
      <c r="O156" s="580"/>
      <c r="P156" s="580"/>
      <c r="Q156" s="580"/>
      <c r="R156" s="580">
        <f>VLOOKUP(B156,'MEMÓRIA MEDIÇÃO 11'!$A$4:$F$202,6,FALSE)</f>
        <v>1</v>
      </c>
      <c r="S156" s="578">
        <f t="shared" si="67"/>
        <v>1</v>
      </c>
      <c r="T156" s="578">
        <f t="shared" si="61"/>
        <v>0</v>
      </c>
      <c r="U156" s="578">
        <f t="shared" si="62"/>
        <v>243.02</v>
      </c>
      <c r="V156" s="346">
        <f t="shared" si="63"/>
        <v>0</v>
      </c>
      <c r="W156" s="346">
        <f t="shared" si="64"/>
        <v>0</v>
      </c>
      <c r="X156" s="346">
        <f t="shared" si="75"/>
        <v>0</v>
      </c>
      <c r="Y156" s="346">
        <f t="shared" si="65"/>
        <v>0</v>
      </c>
      <c r="Z156" s="346">
        <f t="shared" si="66"/>
        <v>0</v>
      </c>
      <c r="AA156" s="346">
        <f t="shared" si="60"/>
        <v>0</v>
      </c>
      <c r="AB156" s="346">
        <f t="shared" si="68"/>
        <v>0</v>
      </c>
      <c r="AC156" s="346">
        <f t="shared" si="69"/>
        <v>0</v>
      </c>
      <c r="AD156" s="346">
        <f t="shared" si="70"/>
        <v>0</v>
      </c>
      <c r="AE156" s="346">
        <f t="shared" si="71"/>
        <v>0</v>
      </c>
      <c r="AF156" s="346">
        <f t="shared" si="72"/>
        <v>243.02</v>
      </c>
      <c r="AG156" s="581">
        <f t="shared" si="73"/>
        <v>243.02</v>
      </c>
      <c r="AH156" s="582">
        <f t="shared" si="74"/>
        <v>0</v>
      </c>
    </row>
    <row r="157" spans="2:34" s="167" customFormat="1" ht="56.25" x14ac:dyDescent="0.25">
      <c r="B157" s="575" t="s">
        <v>426</v>
      </c>
      <c r="C157" s="583">
        <v>91795</v>
      </c>
      <c r="D157" s="577" t="s">
        <v>428</v>
      </c>
      <c r="E157" s="589" t="s">
        <v>37</v>
      </c>
      <c r="F157" s="590">
        <v>65.239999999999995</v>
      </c>
      <c r="G157" s="578">
        <v>132.77000000000001</v>
      </c>
      <c r="H157" s="579"/>
      <c r="I157" s="580"/>
      <c r="J157" s="579"/>
      <c r="K157" s="580"/>
      <c r="L157" s="580"/>
      <c r="M157" s="580"/>
      <c r="N157" s="580">
        <v>6</v>
      </c>
      <c r="O157" s="580">
        <f>'MEMORIAL DE CALCULO 08'!K507</f>
        <v>66.385000000000005</v>
      </c>
      <c r="P157" s="580"/>
      <c r="Q157" s="580"/>
      <c r="R157" s="580">
        <f>VLOOKUP(B157,'MEMÓRIA MEDIÇÃO 11'!$A$4:$F$202,6,FALSE)</f>
        <v>60.38</v>
      </c>
      <c r="S157" s="578">
        <f t="shared" si="67"/>
        <v>132.76500000000001</v>
      </c>
      <c r="T157" s="578">
        <f t="shared" si="61"/>
        <v>4.9999999999954525E-3</v>
      </c>
      <c r="U157" s="578">
        <f t="shared" si="62"/>
        <v>8661.9148000000005</v>
      </c>
      <c r="V157" s="346">
        <f t="shared" si="63"/>
        <v>0</v>
      </c>
      <c r="W157" s="346">
        <f t="shared" si="64"/>
        <v>0</v>
      </c>
      <c r="X157" s="346">
        <f t="shared" si="75"/>
        <v>0</v>
      </c>
      <c r="Y157" s="346">
        <f t="shared" si="65"/>
        <v>0</v>
      </c>
      <c r="Z157" s="346">
        <f t="shared" si="66"/>
        <v>0</v>
      </c>
      <c r="AA157" s="346">
        <f t="shared" si="60"/>
        <v>0</v>
      </c>
      <c r="AB157" s="346">
        <f t="shared" si="68"/>
        <v>391.43999999999994</v>
      </c>
      <c r="AC157" s="346">
        <f t="shared" si="69"/>
        <v>4330.95</v>
      </c>
      <c r="AD157" s="346">
        <f t="shared" si="70"/>
        <v>0</v>
      </c>
      <c r="AE157" s="346">
        <f t="shared" si="71"/>
        <v>0</v>
      </c>
      <c r="AF157" s="346">
        <f t="shared" si="72"/>
        <v>3939.19</v>
      </c>
      <c r="AG157" s="581">
        <f t="shared" si="73"/>
        <v>8661.58</v>
      </c>
      <c r="AH157" s="582">
        <f t="shared" si="74"/>
        <v>0.33480000000054133</v>
      </c>
    </row>
    <row r="158" spans="2:34" s="167" customFormat="1" ht="33.75" x14ac:dyDescent="0.25">
      <c r="B158" s="575" t="s">
        <v>429</v>
      </c>
      <c r="C158" s="583">
        <v>99251</v>
      </c>
      <c r="D158" s="587" t="s">
        <v>431</v>
      </c>
      <c r="E158" s="589" t="s">
        <v>166</v>
      </c>
      <c r="F158" s="590">
        <v>247.12</v>
      </c>
      <c r="G158" s="578">
        <v>2</v>
      </c>
      <c r="H158" s="579"/>
      <c r="I158" s="588"/>
      <c r="J158" s="579"/>
      <c r="K158" s="588"/>
      <c r="L158" s="588"/>
      <c r="M158" s="588"/>
      <c r="N158" s="588"/>
      <c r="O158" s="588"/>
      <c r="P158" s="588"/>
      <c r="Q158" s="588"/>
      <c r="R158" s="580">
        <f>VLOOKUP(B158,'MEMÓRIA MEDIÇÃO 11'!$A$4:$F$202,6,FALSE)</f>
        <v>0</v>
      </c>
      <c r="S158" s="578">
        <f t="shared" si="67"/>
        <v>0</v>
      </c>
      <c r="T158" s="578">
        <f t="shared" si="61"/>
        <v>2</v>
      </c>
      <c r="U158" s="578">
        <f t="shared" si="62"/>
        <v>494.24</v>
      </c>
      <c r="V158" s="346">
        <f t="shared" si="63"/>
        <v>0</v>
      </c>
      <c r="W158" s="346">
        <f t="shared" si="64"/>
        <v>0</v>
      </c>
      <c r="X158" s="346">
        <f t="shared" si="75"/>
        <v>0</v>
      </c>
      <c r="Y158" s="346">
        <f t="shared" si="65"/>
        <v>0</v>
      </c>
      <c r="Z158" s="346">
        <f t="shared" si="66"/>
        <v>0</v>
      </c>
      <c r="AA158" s="346">
        <f t="shared" si="60"/>
        <v>0</v>
      </c>
      <c r="AB158" s="346">
        <f t="shared" si="68"/>
        <v>0</v>
      </c>
      <c r="AC158" s="346">
        <f t="shared" si="69"/>
        <v>0</v>
      </c>
      <c r="AD158" s="346">
        <f t="shared" si="70"/>
        <v>0</v>
      </c>
      <c r="AE158" s="346">
        <f t="shared" si="71"/>
        <v>0</v>
      </c>
      <c r="AF158" s="346">
        <f t="shared" si="72"/>
        <v>0</v>
      </c>
      <c r="AG158" s="581">
        <f t="shared" si="73"/>
        <v>0</v>
      </c>
      <c r="AH158" s="582">
        <f t="shared" si="74"/>
        <v>494.24</v>
      </c>
    </row>
    <row r="159" spans="2:34" s="167" customFormat="1" ht="56.25" x14ac:dyDescent="0.25">
      <c r="B159" s="575" t="s">
        <v>432</v>
      </c>
      <c r="C159" s="583">
        <v>91790</v>
      </c>
      <c r="D159" s="587" t="s">
        <v>434</v>
      </c>
      <c r="E159" s="589" t="s">
        <v>37</v>
      </c>
      <c r="F159" s="590">
        <v>56.42</v>
      </c>
      <c r="G159" s="578">
        <v>43.01</v>
      </c>
      <c r="H159" s="579"/>
      <c r="I159" s="588"/>
      <c r="J159" s="579"/>
      <c r="K159" s="588"/>
      <c r="L159" s="588"/>
      <c r="M159" s="588"/>
      <c r="N159" s="579"/>
      <c r="O159" s="579"/>
      <c r="P159" s="579"/>
      <c r="Q159" s="579"/>
      <c r="R159" s="580">
        <f>VLOOKUP(B159,'MEMÓRIA MEDIÇÃO 11'!$A$4:$F$202,6,FALSE)</f>
        <v>0</v>
      </c>
      <c r="S159" s="578">
        <f t="shared" si="67"/>
        <v>0</v>
      </c>
      <c r="T159" s="578">
        <f t="shared" si="61"/>
        <v>43.01</v>
      </c>
      <c r="U159" s="578">
        <f t="shared" si="62"/>
        <v>2426.6241999999997</v>
      </c>
      <c r="V159" s="346">
        <f t="shared" si="63"/>
        <v>0</v>
      </c>
      <c r="W159" s="346">
        <f t="shared" si="64"/>
        <v>0</v>
      </c>
      <c r="X159" s="346">
        <f t="shared" si="75"/>
        <v>0</v>
      </c>
      <c r="Y159" s="346">
        <f t="shared" si="65"/>
        <v>0</v>
      </c>
      <c r="Z159" s="346">
        <f t="shared" si="66"/>
        <v>0</v>
      </c>
      <c r="AA159" s="346">
        <f t="shared" si="60"/>
        <v>0</v>
      </c>
      <c r="AB159" s="346">
        <f t="shared" si="68"/>
        <v>0</v>
      </c>
      <c r="AC159" s="346">
        <f t="shared" si="69"/>
        <v>0</v>
      </c>
      <c r="AD159" s="346">
        <f t="shared" si="70"/>
        <v>0</v>
      </c>
      <c r="AE159" s="346">
        <f t="shared" si="71"/>
        <v>0</v>
      </c>
      <c r="AF159" s="346">
        <f t="shared" si="72"/>
        <v>0</v>
      </c>
      <c r="AG159" s="581">
        <f t="shared" si="73"/>
        <v>0</v>
      </c>
      <c r="AH159" s="582">
        <f t="shared" si="74"/>
        <v>2426.6241999999997</v>
      </c>
    </row>
    <row r="160" spans="2:34" s="167" customFormat="1" ht="14.45" customHeight="1" x14ac:dyDescent="0.25">
      <c r="B160" s="584">
        <v>1.1399999999999999</v>
      </c>
      <c r="C160" s="585" t="s">
        <v>436</v>
      </c>
      <c r="D160" s="577"/>
      <c r="E160" s="589"/>
      <c r="F160" s="578"/>
      <c r="G160" s="578"/>
      <c r="H160" s="580"/>
      <c r="I160" s="580"/>
      <c r="J160" s="579"/>
      <c r="K160" s="580"/>
      <c r="L160" s="580"/>
      <c r="M160" s="580"/>
      <c r="N160" s="578"/>
      <c r="O160" s="578"/>
      <c r="P160" s="580"/>
      <c r="Q160" s="580"/>
      <c r="R160" s="580">
        <f>VLOOKUP(B160,'MEMÓRIA MEDIÇÃO 11'!$A$4:$F$202,6,FALSE)</f>
        <v>0</v>
      </c>
      <c r="S160" s="578">
        <f t="shared" si="67"/>
        <v>0</v>
      </c>
      <c r="T160" s="578"/>
      <c r="U160" s="578"/>
      <c r="V160" s="346">
        <f t="shared" si="63"/>
        <v>0</v>
      </c>
      <c r="W160" s="346">
        <f t="shared" si="64"/>
        <v>0</v>
      </c>
      <c r="X160" s="346">
        <f t="shared" si="75"/>
        <v>0</v>
      </c>
      <c r="Y160" s="346">
        <f t="shared" si="65"/>
        <v>0</v>
      </c>
      <c r="Z160" s="346">
        <f t="shared" si="66"/>
        <v>0</v>
      </c>
      <c r="AA160" s="346">
        <f t="shared" si="60"/>
        <v>0</v>
      </c>
      <c r="AB160" s="346">
        <f t="shared" si="68"/>
        <v>0</v>
      </c>
      <c r="AC160" s="346">
        <f t="shared" si="69"/>
        <v>0</v>
      </c>
      <c r="AD160" s="346">
        <f t="shared" si="70"/>
        <v>0</v>
      </c>
      <c r="AE160" s="346">
        <f t="shared" si="71"/>
        <v>0</v>
      </c>
      <c r="AF160" s="346">
        <f t="shared" si="72"/>
        <v>0</v>
      </c>
      <c r="AG160" s="581">
        <f t="shared" si="73"/>
        <v>0</v>
      </c>
      <c r="AH160" s="582">
        <f t="shared" si="74"/>
        <v>0</v>
      </c>
    </row>
    <row r="161" spans="2:34" s="167" customFormat="1" ht="22.5" x14ac:dyDescent="0.25">
      <c r="B161" s="575" t="s">
        <v>437</v>
      </c>
      <c r="C161" s="576" t="s">
        <v>438</v>
      </c>
      <c r="D161" s="577" t="s">
        <v>439</v>
      </c>
      <c r="E161" s="589" t="s">
        <v>17</v>
      </c>
      <c r="F161" s="578">
        <v>530.87</v>
      </c>
      <c r="G161" s="578">
        <v>14.07</v>
      </c>
      <c r="H161" s="580"/>
      <c r="I161" s="580"/>
      <c r="J161" s="579"/>
      <c r="K161" s="580"/>
      <c r="L161" s="580"/>
      <c r="M161" s="580"/>
      <c r="N161" s="578"/>
      <c r="O161" s="578"/>
      <c r="P161" s="580"/>
      <c r="Q161" s="580"/>
      <c r="R161" s="580">
        <f>VLOOKUP(B161,'MEMÓRIA MEDIÇÃO 11'!$A$4:$F$202,6,FALSE)</f>
        <v>0</v>
      </c>
      <c r="S161" s="578">
        <f t="shared" si="67"/>
        <v>0</v>
      </c>
      <c r="T161" s="578">
        <f t="shared" ref="T161:T172" si="76">G161-S161</f>
        <v>14.07</v>
      </c>
      <c r="U161" s="578">
        <f t="shared" ref="U161:U172" si="77">F161*G161</f>
        <v>7469.3409000000001</v>
      </c>
      <c r="V161" s="346">
        <f t="shared" si="63"/>
        <v>0</v>
      </c>
      <c r="W161" s="346">
        <f t="shared" si="64"/>
        <v>0</v>
      </c>
      <c r="X161" s="346">
        <f t="shared" si="75"/>
        <v>0</v>
      </c>
      <c r="Y161" s="346">
        <f t="shared" si="65"/>
        <v>0</v>
      </c>
      <c r="Z161" s="346">
        <f t="shared" si="66"/>
        <v>0</v>
      </c>
      <c r="AA161" s="346">
        <f t="shared" si="60"/>
        <v>0</v>
      </c>
      <c r="AB161" s="346">
        <f t="shared" si="68"/>
        <v>0</v>
      </c>
      <c r="AC161" s="346">
        <f t="shared" si="69"/>
        <v>0</v>
      </c>
      <c r="AD161" s="346">
        <f t="shared" si="70"/>
        <v>0</v>
      </c>
      <c r="AE161" s="346">
        <f t="shared" si="71"/>
        <v>0</v>
      </c>
      <c r="AF161" s="346">
        <f t="shared" si="72"/>
        <v>0</v>
      </c>
      <c r="AG161" s="581">
        <f t="shared" si="73"/>
        <v>0</v>
      </c>
      <c r="AH161" s="582">
        <f t="shared" si="74"/>
        <v>7469.3409000000001</v>
      </c>
    </row>
    <row r="162" spans="2:34" s="167" customFormat="1" ht="33.75" x14ac:dyDescent="0.25">
      <c r="B162" s="575" t="s">
        <v>440</v>
      </c>
      <c r="C162" s="583">
        <v>86906</v>
      </c>
      <c r="D162" s="587" t="s">
        <v>442</v>
      </c>
      <c r="E162" s="589" t="s">
        <v>166</v>
      </c>
      <c r="F162" s="589">
        <v>70.64</v>
      </c>
      <c r="G162" s="578">
        <v>10</v>
      </c>
      <c r="H162" s="588"/>
      <c r="I162" s="588"/>
      <c r="J162" s="579"/>
      <c r="K162" s="588"/>
      <c r="L162" s="588"/>
      <c r="M162" s="588"/>
      <c r="N162" s="588"/>
      <c r="O162" s="588"/>
      <c r="P162" s="588"/>
      <c r="Q162" s="588"/>
      <c r="R162" s="580">
        <f>VLOOKUP(B162,'MEMÓRIA MEDIÇÃO 11'!$A$4:$F$202,6,FALSE)</f>
        <v>0</v>
      </c>
      <c r="S162" s="578">
        <f t="shared" si="67"/>
        <v>0</v>
      </c>
      <c r="T162" s="578">
        <f t="shared" si="76"/>
        <v>10</v>
      </c>
      <c r="U162" s="578">
        <f t="shared" si="77"/>
        <v>706.4</v>
      </c>
      <c r="V162" s="346">
        <f t="shared" si="63"/>
        <v>0</v>
      </c>
      <c r="W162" s="346">
        <f t="shared" si="64"/>
        <v>0</v>
      </c>
      <c r="X162" s="346">
        <f t="shared" si="75"/>
        <v>0</v>
      </c>
      <c r="Y162" s="346">
        <f t="shared" si="65"/>
        <v>0</v>
      </c>
      <c r="Z162" s="346">
        <f t="shared" si="66"/>
        <v>0</v>
      </c>
      <c r="AA162" s="346">
        <f t="shared" ref="AA162:AA195" si="78">M162*F162</f>
        <v>0</v>
      </c>
      <c r="AB162" s="346">
        <f t="shared" si="68"/>
        <v>0</v>
      </c>
      <c r="AC162" s="346">
        <f t="shared" si="69"/>
        <v>0</v>
      </c>
      <c r="AD162" s="346">
        <f t="shared" si="70"/>
        <v>0</v>
      </c>
      <c r="AE162" s="346">
        <f t="shared" si="71"/>
        <v>0</v>
      </c>
      <c r="AF162" s="346">
        <f t="shared" si="72"/>
        <v>0</v>
      </c>
      <c r="AG162" s="581">
        <f t="shared" si="73"/>
        <v>0</v>
      </c>
      <c r="AH162" s="582">
        <f t="shared" si="74"/>
        <v>706.4</v>
      </c>
    </row>
    <row r="163" spans="2:34" s="167" customFormat="1" ht="33.75" x14ac:dyDescent="0.25">
      <c r="B163" s="575" t="s">
        <v>443</v>
      </c>
      <c r="C163" s="583">
        <v>86911</v>
      </c>
      <c r="D163" s="577" t="s">
        <v>445</v>
      </c>
      <c r="E163" s="589" t="s">
        <v>166</v>
      </c>
      <c r="F163" s="578">
        <v>82.65</v>
      </c>
      <c r="G163" s="578">
        <v>3</v>
      </c>
      <c r="H163" s="580"/>
      <c r="I163" s="580"/>
      <c r="J163" s="579"/>
      <c r="K163" s="580"/>
      <c r="L163" s="580"/>
      <c r="M163" s="580"/>
      <c r="N163" s="578"/>
      <c r="O163" s="578"/>
      <c r="P163" s="580"/>
      <c r="Q163" s="580"/>
      <c r="R163" s="580">
        <f>VLOOKUP(B163,'MEMÓRIA MEDIÇÃO 11'!$A$4:$F$202,6,FALSE)</f>
        <v>0</v>
      </c>
      <c r="S163" s="578">
        <f t="shared" si="67"/>
        <v>0</v>
      </c>
      <c r="T163" s="578">
        <f t="shared" si="76"/>
        <v>3</v>
      </c>
      <c r="U163" s="578">
        <f t="shared" si="77"/>
        <v>247.95000000000002</v>
      </c>
      <c r="V163" s="346">
        <f t="shared" si="63"/>
        <v>0</v>
      </c>
      <c r="W163" s="346">
        <f t="shared" si="64"/>
        <v>0</v>
      </c>
      <c r="X163" s="346">
        <f t="shared" si="75"/>
        <v>0</v>
      </c>
      <c r="Y163" s="346">
        <f t="shared" si="65"/>
        <v>0</v>
      </c>
      <c r="Z163" s="346">
        <f t="shared" si="66"/>
        <v>0</v>
      </c>
      <c r="AA163" s="346">
        <f t="shared" si="78"/>
        <v>0</v>
      </c>
      <c r="AB163" s="346">
        <f t="shared" si="68"/>
        <v>0</v>
      </c>
      <c r="AC163" s="346">
        <f t="shared" si="69"/>
        <v>0</v>
      </c>
      <c r="AD163" s="346">
        <f t="shared" si="70"/>
        <v>0</v>
      </c>
      <c r="AE163" s="346">
        <f t="shared" si="71"/>
        <v>0</v>
      </c>
      <c r="AF163" s="346">
        <f t="shared" si="72"/>
        <v>0</v>
      </c>
      <c r="AG163" s="581">
        <f t="shared" si="73"/>
        <v>0</v>
      </c>
      <c r="AH163" s="582">
        <f t="shared" si="74"/>
        <v>247.95000000000002</v>
      </c>
    </row>
    <row r="164" spans="2:34" s="167" customFormat="1" ht="22.5" x14ac:dyDescent="0.25">
      <c r="B164" s="575" t="s">
        <v>446</v>
      </c>
      <c r="C164" s="583">
        <v>10428</v>
      </c>
      <c r="D164" s="577" t="s">
        <v>448</v>
      </c>
      <c r="E164" s="589" t="s">
        <v>166</v>
      </c>
      <c r="F164" s="578">
        <v>500.75</v>
      </c>
      <c r="G164" s="578">
        <v>8</v>
      </c>
      <c r="H164" s="580"/>
      <c r="I164" s="580"/>
      <c r="J164" s="579"/>
      <c r="K164" s="580"/>
      <c r="L164" s="580"/>
      <c r="M164" s="580"/>
      <c r="N164" s="578"/>
      <c r="O164" s="578"/>
      <c r="P164" s="580"/>
      <c r="Q164" s="580"/>
      <c r="R164" s="580">
        <f>VLOOKUP(B164,'MEMÓRIA MEDIÇÃO 11'!$A$4:$F$202,6,FALSE)</f>
        <v>0</v>
      </c>
      <c r="S164" s="578">
        <f t="shared" si="67"/>
        <v>0</v>
      </c>
      <c r="T164" s="578">
        <f t="shared" si="76"/>
        <v>8</v>
      </c>
      <c r="U164" s="578">
        <f t="shared" si="77"/>
        <v>4006</v>
      </c>
      <c r="V164" s="346">
        <f t="shared" si="63"/>
        <v>0</v>
      </c>
      <c r="W164" s="346">
        <f t="shared" si="64"/>
        <v>0</v>
      </c>
      <c r="X164" s="346">
        <f t="shared" si="75"/>
        <v>0</v>
      </c>
      <c r="Y164" s="346">
        <f t="shared" si="65"/>
        <v>0</v>
      </c>
      <c r="Z164" s="346">
        <f t="shared" si="66"/>
        <v>0</v>
      </c>
      <c r="AA164" s="346">
        <f t="shared" si="78"/>
        <v>0</v>
      </c>
      <c r="AB164" s="346">
        <f t="shared" si="68"/>
        <v>0</v>
      </c>
      <c r="AC164" s="346">
        <f t="shared" si="69"/>
        <v>0</v>
      </c>
      <c r="AD164" s="346">
        <f t="shared" si="70"/>
        <v>0</v>
      </c>
      <c r="AE164" s="346">
        <f t="shared" si="71"/>
        <v>0</v>
      </c>
      <c r="AF164" s="346">
        <f t="shared" si="72"/>
        <v>0</v>
      </c>
      <c r="AG164" s="581">
        <f t="shared" si="73"/>
        <v>0</v>
      </c>
      <c r="AH164" s="582">
        <f t="shared" si="74"/>
        <v>4006</v>
      </c>
    </row>
    <row r="165" spans="2:34" s="167" customFormat="1" ht="45" x14ac:dyDescent="0.25">
      <c r="B165" s="575" t="s">
        <v>449</v>
      </c>
      <c r="C165" s="583">
        <v>86932</v>
      </c>
      <c r="D165" s="577" t="s">
        <v>451</v>
      </c>
      <c r="E165" s="589" t="s">
        <v>166</v>
      </c>
      <c r="F165" s="578">
        <v>530.35</v>
      </c>
      <c r="G165" s="578">
        <v>9</v>
      </c>
      <c r="H165" s="580"/>
      <c r="I165" s="580"/>
      <c r="J165" s="579"/>
      <c r="K165" s="580"/>
      <c r="L165" s="580"/>
      <c r="M165" s="580"/>
      <c r="N165" s="578"/>
      <c r="O165" s="578"/>
      <c r="P165" s="580"/>
      <c r="Q165" s="580"/>
      <c r="R165" s="580">
        <f>VLOOKUP(B165,'MEMÓRIA MEDIÇÃO 11'!$A$4:$F$202,6,FALSE)</f>
        <v>0</v>
      </c>
      <c r="S165" s="578">
        <f t="shared" si="67"/>
        <v>0</v>
      </c>
      <c r="T165" s="578">
        <f t="shared" si="76"/>
        <v>9</v>
      </c>
      <c r="U165" s="578">
        <f t="shared" si="77"/>
        <v>4773.1500000000005</v>
      </c>
      <c r="V165" s="346">
        <f t="shared" si="63"/>
        <v>0</v>
      </c>
      <c r="W165" s="346">
        <f t="shared" si="64"/>
        <v>0</v>
      </c>
      <c r="X165" s="346">
        <f t="shared" si="75"/>
        <v>0</v>
      </c>
      <c r="Y165" s="346">
        <f t="shared" si="65"/>
        <v>0</v>
      </c>
      <c r="Z165" s="346">
        <f t="shared" si="66"/>
        <v>0</v>
      </c>
      <c r="AA165" s="346">
        <f t="shared" si="78"/>
        <v>0</v>
      </c>
      <c r="AB165" s="346">
        <f t="shared" si="68"/>
        <v>0</v>
      </c>
      <c r="AC165" s="346">
        <f t="shared" si="69"/>
        <v>0</v>
      </c>
      <c r="AD165" s="346">
        <f t="shared" si="70"/>
        <v>0</v>
      </c>
      <c r="AE165" s="346">
        <f t="shared" si="71"/>
        <v>0</v>
      </c>
      <c r="AF165" s="346">
        <f t="shared" si="72"/>
        <v>0</v>
      </c>
      <c r="AG165" s="581">
        <f t="shared" si="73"/>
        <v>0</v>
      </c>
      <c r="AH165" s="582">
        <f t="shared" si="74"/>
        <v>4773.1500000000005</v>
      </c>
    </row>
    <row r="166" spans="2:34" s="167" customFormat="1" ht="45" x14ac:dyDescent="0.25">
      <c r="B166" s="575" t="s">
        <v>452</v>
      </c>
      <c r="C166" s="583">
        <v>86935</v>
      </c>
      <c r="D166" s="577" t="s">
        <v>454</v>
      </c>
      <c r="E166" s="589" t="s">
        <v>166</v>
      </c>
      <c r="F166" s="578">
        <v>324.29000000000002</v>
      </c>
      <c r="G166" s="578">
        <v>2</v>
      </c>
      <c r="H166" s="580"/>
      <c r="I166" s="580"/>
      <c r="J166" s="579"/>
      <c r="K166" s="580"/>
      <c r="L166" s="580"/>
      <c r="M166" s="580"/>
      <c r="N166" s="578"/>
      <c r="O166" s="578"/>
      <c r="P166" s="580"/>
      <c r="Q166" s="580"/>
      <c r="R166" s="580">
        <f>VLOOKUP(B166,'MEMÓRIA MEDIÇÃO 11'!$A$4:$F$202,6,FALSE)</f>
        <v>0</v>
      </c>
      <c r="S166" s="578">
        <f t="shared" si="67"/>
        <v>0</v>
      </c>
      <c r="T166" s="578">
        <f t="shared" si="76"/>
        <v>2</v>
      </c>
      <c r="U166" s="578">
        <f t="shared" si="77"/>
        <v>648.58000000000004</v>
      </c>
      <c r="V166" s="346">
        <f t="shared" si="63"/>
        <v>0</v>
      </c>
      <c r="W166" s="346">
        <f t="shared" si="64"/>
        <v>0</v>
      </c>
      <c r="X166" s="346">
        <f t="shared" si="75"/>
        <v>0</v>
      </c>
      <c r="Y166" s="346">
        <f t="shared" si="65"/>
        <v>0</v>
      </c>
      <c r="Z166" s="346">
        <f t="shared" si="66"/>
        <v>0</v>
      </c>
      <c r="AA166" s="346">
        <f t="shared" si="78"/>
        <v>0</v>
      </c>
      <c r="AB166" s="346">
        <f t="shared" si="68"/>
        <v>0</v>
      </c>
      <c r="AC166" s="346">
        <f t="shared" si="69"/>
        <v>0</v>
      </c>
      <c r="AD166" s="346">
        <f t="shared" si="70"/>
        <v>0</v>
      </c>
      <c r="AE166" s="346">
        <f t="shared" si="71"/>
        <v>0</v>
      </c>
      <c r="AF166" s="346">
        <f t="shared" si="72"/>
        <v>0</v>
      </c>
      <c r="AG166" s="581">
        <f t="shared" si="73"/>
        <v>0</v>
      </c>
      <c r="AH166" s="582">
        <f t="shared" si="74"/>
        <v>648.58000000000004</v>
      </c>
    </row>
    <row r="167" spans="2:34" s="167" customFormat="1" ht="33.75" x14ac:dyDescent="0.25">
      <c r="B167" s="575" t="s">
        <v>455</v>
      </c>
      <c r="C167" s="583">
        <v>100868</v>
      </c>
      <c r="D167" s="577" t="s">
        <v>457</v>
      </c>
      <c r="E167" s="589" t="s">
        <v>166</v>
      </c>
      <c r="F167" s="578">
        <v>353.45</v>
      </c>
      <c r="G167" s="578">
        <v>2</v>
      </c>
      <c r="H167" s="580"/>
      <c r="I167" s="580"/>
      <c r="J167" s="579"/>
      <c r="K167" s="580"/>
      <c r="L167" s="580"/>
      <c r="M167" s="580"/>
      <c r="N167" s="578"/>
      <c r="O167" s="578"/>
      <c r="P167" s="580"/>
      <c r="Q167" s="580"/>
      <c r="R167" s="580">
        <f>VLOOKUP(B167,'MEMÓRIA MEDIÇÃO 11'!$A$4:$F$202,6,FALSE)</f>
        <v>0</v>
      </c>
      <c r="S167" s="578">
        <f t="shared" si="67"/>
        <v>0</v>
      </c>
      <c r="T167" s="578">
        <f t="shared" si="76"/>
        <v>2</v>
      </c>
      <c r="U167" s="578">
        <f t="shared" si="77"/>
        <v>706.9</v>
      </c>
      <c r="V167" s="346">
        <f t="shared" si="63"/>
        <v>0</v>
      </c>
      <c r="W167" s="346">
        <f t="shared" si="64"/>
        <v>0</v>
      </c>
      <c r="X167" s="346">
        <f t="shared" si="75"/>
        <v>0</v>
      </c>
      <c r="Y167" s="346">
        <f t="shared" si="65"/>
        <v>0</v>
      </c>
      <c r="Z167" s="346">
        <f t="shared" si="66"/>
        <v>0</v>
      </c>
      <c r="AA167" s="346">
        <f t="shared" si="78"/>
        <v>0</v>
      </c>
      <c r="AB167" s="346">
        <f t="shared" si="68"/>
        <v>0</v>
      </c>
      <c r="AC167" s="346">
        <f t="shared" si="69"/>
        <v>0</v>
      </c>
      <c r="AD167" s="346">
        <f t="shared" si="70"/>
        <v>0</v>
      </c>
      <c r="AE167" s="346">
        <f t="shared" si="71"/>
        <v>0</v>
      </c>
      <c r="AF167" s="346">
        <f t="shared" si="72"/>
        <v>0</v>
      </c>
      <c r="AG167" s="581">
        <f t="shared" si="73"/>
        <v>0</v>
      </c>
      <c r="AH167" s="582">
        <f t="shared" si="74"/>
        <v>706.9</v>
      </c>
    </row>
    <row r="168" spans="2:34" s="167" customFormat="1" ht="56.25" x14ac:dyDescent="0.25">
      <c r="B168" s="575" t="s">
        <v>458</v>
      </c>
      <c r="C168" s="583">
        <v>86942</v>
      </c>
      <c r="D168" s="577" t="s">
        <v>460</v>
      </c>
      <c r="E168" s="589" t="s">
        <v>166</v>
      </c>
      <c r="F168" s="578">
        <v>260.25</v>
      </c>
      <c r="G168" s="578">
        <v>1</v>
      </c>
      <c r="H168" s="580"/>
      <c r="I168" s="580"/>
      <c r="J168" s="579"/>
      <c r="K168" s="580"/>
      <c r="L168" s="580"/>
      <c r="M168" s="580"/>
      <c r="N168" s="578"/>
      <c r="O168" s="578"/>
      <c r="P168" s="580"/>
      <c r="Q168" s="580"/>
      <c r="R168" s="580">
        <f>VLOOKUP(B168,'MEMÓRIA MEDIÇÃO 11'!$A$4:$F$202,6,FALSE)</f>
        <v>0</v>
      </c>
      <c r="S168" s="578">
        <f t="shared" si="67"/>
        <v>0</v>
      </c>
      <c r="T168" s="578">
        <f t="shared" si="76"/>
        <v>1</v>
      </c>
      <c r="U168" s="578">
        <f t="shared" si="77"/>
        <v>260.25</v>
      </c>
      <c r="V168" s="346">
        <f t="shared" si="63"/>
        <v>0</v>
      </c>
      <c r="W168" s="346">
        <f t="shared" si="64"/>
        <v>0</v>
      </c>
      <c r="X168" s="346">
        <f t="shared" si="75"/>
        <v>0</v>
      </c>
      <c r="Y168" s="346">
        <f t="shared" si="65"/>
        <v>0</v>
      </c>
      <c r="Z168" s="346">
        <f t="shared" si="66"/>
        <v>0</v>
      </c>
      <c r="AA168" s="346">
        <f t="shared" si="78"/>
        <v>0</v>
      </c>
      <c r="AB168" s="346">
        <f t="shared" si="68"/>
        <v>0</v>
      </c>
      <c r="AC168" s="346">
        <f t="shared" si="69"/>
        <v>0</v>
      </c>
      <c r="AD168" s="346">
        <f t="shared" si="70"/>
        <v>0</v>
      </c>
      <c r="AE168" s="346">
        <f t="shared" si="71"/>
        <v>0</v>
      </c>
      <c r="AF168" s="346">
        <f t="shared" si="72"/>
        <v>0</v>
      </c>
      <c r="AG168" s="581">
        <f t="shared" si="73"/>
        <v>0</v>
      </c>
      <c r="AH168" s="582">
        <f t="shared" si="74"/>
        <v>260.25</v>
      </c>
    </row>
    <row r="169" spans="2:34" s="167" customFormat="1" ht="56.25" x14ac:dyDescent="0.25">
      <c r="B169" s="575" t="s">
        <v>461</v>
      </c>
      <c r="C169" s="583">
        <v>86923</v>
      </c>
      <c r="D169" s="577" t="s">
        <v>463</v>
      </c>
      <c r="E169" s="589" t="s">
        <v>166</v>
      </c>
      <c r="F169" s="578">
        <v>586.14</v>
      </c>
      <c r="G169" s="578">
        <v>1</v>
      </c>
      <c r="H169" s="580"/>
      <c r="I169" s="580"/>
      <c r="J169" s="579"/>
      <c r="K169" s="580"/>
      <c r="L169" s="580"/>
      <c r="M169" s="580"/>
      <c r="N169" s="578"/>
      <c r="O169" s="578"/>
      <c r="P169" s="580"/>
      <c r="Q169" s="580"/>
      <c r="R169" s="580">
        <f>VLOOKUP(B169,'MEMÓRIA MEDIÇÃO 11'!$A$4:$F$202,6,FALSE)</f>
        <v>0</v>
      </c>
      <c r="S169" s="578">
        <f t="shared" si="67"/>
        <v>0</v>
      </c>
      <c r="T169" s="578">
        <f t="shared" si="76"/>
        <v>1</v>
      </c>
      <c r="U169" s="578">
        <f t="shared" si="77"/>
        <v>586.14</v>
      </c>
      <c r="V169" s="346">
        <f t="shared" si="63"/>
        <v>0</v>
      </c>
      <c r="W169" s="346">
        <f t="shared" si="64"/>
        <v>0</v>
      </c>
      <c r="X169" s="346">
        <f t="shared" si="75"/>
        <v>0</v>
      </c>
      <c r="Y169" s="346">
        <f t="shared" si="65"/>
        <v>0</v>
      </c>
      <c r="Z169" s="346">
        <f t="shared" si="66"/>
        <v>0</v>
      </c>
      <c r="AA169" s="346">
        <f t="shared" si="78"/>
        <v>0</v>
      </c>
      <c r="AB169" s="346">
        <f t="shared" si="68"/>
        <v>0</v>
      </c>
      <c r="AC169" s="346">
        <f t="shared" si="69"/>
        <v>0</v>
      </c>
      <c r="AD169" s="346">
        <f t="shared" si="70"/>
        <v>0</v>
      </c>
      <c r="AE169" s="346">
        <f t="shared" si="71"/>
        <v>0</v>
      </c>
      <c r="AF169" s="346">
        <f t="shared" si="72"/>
        <v>0</v>
      </c>
      <c r="AG169" s="581">
        <f t="shared" si="73"/>
        <v>0</v>
      </c>
      <c r="AH169" s="582">
        <f t="shared" si="74"/>
        <v>586.14</v>
      </c>
    </row>
    <row r="170" spans="2:34" s="167" customFormat="1" ht="45" x14ac:dyDescent="0.25">
      <c r="B170" s="575" t="s">
        <v>464</v>
      </c>
      <c r="C170" s="583">
        <v>95472</v>
      </c>
      <c r="D170" s="577" t="s">
        <v>466</v>
      </c>
      <c r="E170" s="589" t="s">
        <v>166</v>
      </c>
      <c r="F170" s="578">
        <v>769.27</v>
      </c>
      <c r="G170" s="578">
        <v>1</v>
      </c>
      <c r="H170" s="580"/>
      <c r="I170" s="580"/>
      <c r="J170" s="579"/>
      <c r="K170" s="580"/>
      <c r="L170" s="580"/>
      <c r="M170" s="580"/>
      <c r="N170" s="578"/>
      <c r="O170" s="578"/>
      <c r="P170" s="580"/>
      <c r="Q170" s="580"/>
      <c r="R170" s="580">
        <f>VLOOKUP(B170,'MEMÓRIA MEDIÇÃO 11'!$A$4:$F$202,6,FALSE)</f>
        <v>0</v>
      </c>
      <c r="S170" s="578">
        <f t="shared" si="67"/>
        <v>0</v>
      </c>
      <c r="T170" s="578">
        <f t="shared" si="76"/>
        <v>1</v>
      </c>
      <c r="U170" s="578">
        <f t="shared" si="77"/>
        <v>769.27</v>
      </c>
      <c r="V170" s="346">
        <f t="shared" si="63"/>
        <v>0</v>
      </c>
      <c r="W170" s="346">
        <f t="shared" si="64"/>
        <v>0</v>
      </c>
      <c r="X170" s="346">
        <f t="shared" si="75"/>
        <v>0</v>
      </c>
      <c r="Y170" s="346">
        <f t="shared" si="65"/>
        <v>0</v>
      </c>
      <c r="Z170" s="346">
        <f t="shared" si="66"/>
        <v>0</v>
      </c>
      <c r="AA170" s="346">
        <f t="shared" si="78"/>
        <v>0</v>
      </c>
      <c r="AB170" s="346">
        <f t="shared" si="68"/>
        <v>0</v>
      </c>
      <c r="AC170" s="346">
        <f t="shared" si="69"/>
        <v>0</v>
      </c>
      <c r="AD170" s="346">
        <f t="shared" si="70"/>
        <v>0</v>
      </c>
      <c r="AE170" s="346">
        <f t="shared" si="71"/>
        <v>0</v>
      </c>
      <c r="AF170" s="346">
        <f t="shared" si="72"/>
        <v>0</v>
      </c>
      <c r="AG170" s="581">
        <f t="shared" si="73"/>
        <v>0</v>
      </c>
      <c r="AH170" s="582">
        <f t="shared" si="74"/>
        <v>769.27</v>
      </c>
    </row>
    <row r="171" spans="2:34" s="167" customFormat="1" ht="33.75" x14ac:dyDescent="0.25">
      <c r="B171" s="575" t="s">
        <v>467</v>
      </c>
      <c r="C171" s="583">
        <v>102253</v>
      </c>
      <c r="D171" s="577" t="s">
        <v>469</v>
      </c>
      <c r="E171" s="589" t="s">
        <v>17</v>
      </c>
      <c r="F171" s="578">
        <v>692.62</v>
      </c>
      <c r="G171" s="578">
        <v>33.92</v>
      </c>
      <c r="H171" s="580"/>
      <c r="I171" s="580"/>
      <c r="J171" s="579"/>
      <c r="K171" s="580"/>
      <c r="L171" s="580"/>
      <c r="M171" s="580"/>
      <c r="N171" s="578"/>
      <c r="O171" s="578"/>
      <c r="P171" s="580"/>
      <c r="Q171" s="580"/>
      <c r="R171" s="580">
        <f>VLOOKUP(B171,'MEMÓRIA MEDIÇÃO 11'!$A$4:$F$202,6,FALSE)</f>
        <v>0</v>
      </c>
      <c r="S171" s="578">
        <f t="shared" si="67"/>
        <v>0</v>
      </c>
      <c r="T171" s="578">
        <f t="shared" si="76"/>
        <v>33.92</v>
      </c>
      <c r="U171" s="578">
        <f t="shared" si="77"/>
        <v>23493.670400000003</v>
      </c>
      <c r="V171" s="346">
        <f t="shared" si="63"/>
        <v>0</v>
      </c>
      <c r="W171" s="346">
        <f t="shared" si="64"/>
        <v>0</v>
      </c>
      <c r="X171" s="346">
        <f t="shared" si="75"/>
        <v>0</v>
      </c>
      <c r="Y171" s="346">
        <f t="shared" si="65"/>
        <v>0</v>
      </c>
      <c r="Z171" s="346">
        <f t="shared" si="66"/>
        <v>0</v>
      </c>
      <c r="AA171" s="346">
        <f t="shared" si="78"/>
        <v>0</v>
      </c>
      <c r="AB171" s="346">
        <f t="shared" si="68"/>
        <v>0</v>
      </c>
      <c r="AC171" s="346">
        <f t="shared" si="69"/>
        <v>0</v>
      </c>
      <c r="AD171" s="346">
        <f t="shared" si="70"/>
        <v>0</v>
      </c>
      <c r="AE171" s="346">
        <f t="shared" si="71"/>
        <v>0</v>
      </c>
      <c r="AF171" s="346">
        <f t="shared" si="72"/>
        <v>0</v>
      </c>
      <c r="AG171" s="581">
        <f t="shared" si="73"/>
        <v>0</v>
      </c>
      <c r="AH171" s="582">
        <f t="shared" si="74"/>
        <v>23493.670400000003</v>
      </c>
    </row>
    <row r="172" spans="2:34" s="167" customFormat="1" ht="22.5" x14ac:dyDescent="0.25">
      <c r="B172" s="575" t="s">
        <v>470</v>
      </c>
      <c r="C172" s="583">
        <v>100860</v>
      </c>
      <c r="D172" s="577" t="s">
        <v>472</v>
      </c>
      <c r="E172" s="589" t="s">
        <v>166</v>
      </c>
      <c r="F172" s="578">
        <v>111.12</v>
      </c>
      <c r="G172" s="578">
        <v>4</v>
      </c>
      <c r="H172" s="580"/>
      <c r="I172" s="580"/>
      <c r="J172" s="579"/>
      <c r="K172" s="580"/>
      <c r="L172" s="580"/>
      <c r="M172" s="580"/>
      <c r="N172" s="578"/>
      <c r="O172" s="578"/>
      <c r="P172" s="580"/>
      <c r="Q172" s="580"/>
      <c r="R172" s="580">
        <f>VLOOKUP(B172,'MEMÓRIA MEDIÇÃO 11'!$A$4:$F$202,6,FALSE)</f>
        <v>0</v>
      </c>
      <c r="S172" s="578">
        <f t="shared" si="67"/>
        <v>0</v>
      </c>
      <c r="T172" s="578">
        <f t="shared" si="76"/>
        <v>4</v>
      </c>
      <c r="U172" s="578">
        <f t="shared" si="77"/>
        <v>444.48</v>
      </c>
      <c r="V172" s="346">
        <f t="shared" si="63"/>
        <v>0</v>
      </c>
      <c r="W172" s="346">
        <f t="shared" si="64"/>
        <v>0</v>
      </c>
      <c r="X172" s="346">
        <f t="shared" si="75"/>
        <v>0</v>
      </c>
      <c r="Y172" s="346">
        <f t="shared" si="65"/>
        <v>0</v>
      </c>
      <c r="Z172" s="346">
        <f t="shared" si="66"/>
        <v>0</v>
      </c>
      <c r="AA172" s="346">
        <f t="shared" si="78"/>
        <v>0</v>
      </c>
      <c r="AB172" s="346">
        <f t="shared" si="68"/>
        <v>0</v>
      </c>
      <c r="AC172" s="346">
        <f t="shared" si="69"/>
        <v>0</v>
      </c>
      <c r="AD172" s="346">
        <f t="shared" si="70"/>
        <v>0</v>
      </c>
      <c r="AE172" s="346">
        <f t="shared" si="71"/>
        <v>0</v>
      </c>
      <c r="AF172" s="346">
        <f t="shared" si="72"/>
        <v>0</v>
      </c>
      <c r="AG172" s="581">
        <f t="shared" si="73"/>
        <v>0</v>
      </c>
      <c r="AH172" s="582">
        <f t="shared" si="74"/>
        <v>444.48</v>
      </c>
    </row>
    <row r="173" spans="2:34" s="167" customFormat="1" ht="14.45" customHeight="1" x14ac:dyDescent="0.25">
      <c r="B173" s="584">
        <v>1.1499999999999999</v>
      </c>
      <c r="C173" s="585" t="s">
        <v>474</v>
      </c>
      <c r="D173" s="577"/>
      <c r="E173" s="589"/>
      <c r="F173" s="578"/>
      <c r="G173" s="578"/>
      <c r="H173" s="580"/>
      <c r="I173" s="580"/>
      <c r="J173" s="579"/>
      <c r="K173" s="580"/>
      <c r="L173" s="580"/>
      <c r="M173" s="580"/>
      <c r="N173" s="578"/>
      <c r="O173" s="578"/>
      <c r="P173" s="580"/>
      <c r="Q173" s="580"/>
      <c r="R173" s="580">
        <f>VLOOKUP(B173,'MEMÓRIA MEDIÇÃO 11'!$A$4:$F$202,6,FALSE)</f>
        <v>0</v>
      </c>
      <c r="S173" s="578">
        <f t="shared" si="67"/>
        <v>0</v>
      </c>
      <c r="T173" s="578"/>
      <c r="U173" s="578"/>
      <c r="V173" s="346">
        <f t="shared" si="63"/>
        <v>0</v>
      </c>
      <c r="W173" s="346">
        <f t="shared" si="64"/>
        <v>0</v>
      </c>
      <c r="X173" s="346">
        <f t="shared" si="75"/>
        <v>0</v>
      </c>
      <c r="Y173" s="346">
        <f t="shared" si="65"/>
        <v>0</v>
      </c>
      <c r="Z173" s="346">
        <f t="shared" si="66"/>
        <v>0</v>
      </c>
      <c r="AA173" s="346">
        <f t="shared" si="78"/>
        <v>0</v>
      </c>
      <c r="AB173" s="346">
        <f t="shared" si="68"/>
        <v>0</v>
      </c>
      <c r="AC173" s="346">
        <f t="shared" si="69"/>
        <v>0</v>
      </c>
      <c r="AD173" s="346">
        <f t="shared" si="70"/>
        <v>0</v>
      </c>
      <c r="AE173" s="346">
        <f t="shared" si="71"/>
        <v>0</v>
      </c>
      <c r="AF173" s="346">
        <f t="shared" si="72"/>
        <v>0</v>
      </c>
      <c r="AG173" s="581">
        <f t="shared" si="73"/>
        <v>0</v>
      </c>
      <c r="AH173" s="582">
        <f t="shared" si="74"/>
        <v>0</v>
      </c>
    </row>
    <row r="174" spans="2:34" s="167" customFormat="1" ht="33.75" x14ac:dyDescent="0.25">
      <c r="B174" s="575" t="s">
        <v>475</v>
      </c>
      <c r="C174" s="583">
        <v>99059</v>
      </c>
      <c r="D174" s="577" t="s">
        <v>36</v>
      </c>
      <c r="E174" s="589" t="s">
        <v>37</v>
      </c>
      <c r="F174" s="578">
        <v>52.4</v>
      </c>
      <c r="G174" s="578">
        <v>130.85</v>
      </c>
      <c r="H174" s="580">
        <f>'MEMORIAL DE CALCULO 01'!K183</f>
        <v>130.85</v>
      </c>
      <c r="I174" s="580"/>
      <c r="J174" s="579"/>
      <c r="K174" s="580"/>
      <c r="L174" s="580"/>
      <c r="M174" s="580"/>
      <c r="N174" s="578"/>
      <c r="O174" s="578"/>
      <c r="P174" s="580"/>
      <c r="Q174" s="580"/>
      <c r="R174" s="580">
        <f>VLOOKUP(B174,'MEMÓRIA MEDIÇÃO 11'!$A$4:$F$202,6,FALSE)</f>
        <v>0</v>
      </c>
      <c r="S174" s="578">
        <f t="shared" si="67"/>
        <v>130.85</v>
      </c>
      <c r="T174" s="578">
        <f t="shared" ref="T174:T192" si="79">G174-S174</f>
        <v>0</v>
      </c>
      <c r="U174" s="578">
        <f t="shared" ref="U174:U192" si="80">F174*G174</f>
        <v>6856.54</v>
      </c>
      <c r="V174" s="346">
        <f t="shared" ref="V174:V195" si="81">F174*H174</f>
        <v>6856.54</v>
      </c>
      <c r="W174" s="346">
        <f t="shared" ref="W174:W195" si="82">F174*I174</f>
        <v>0</v>
      </c>
      <c r="X174" s="346">
        <f t="shared" si="75"/>
        <v>0</v>
      </c>
      <c r="Y174" s="346">
        <f t="shared" ref="Y174:Y195" si="83">TRUNC(F174*K174,2)</f>
        <v>0</v>
      </c>
      <c r="Z174" s="346">
        <f t="shared" ref="Z174:Z195" si="84">TRUNC(F174*L174,2)</f>
        <v>0</v>
      </c>
      <c r="AA174" s="346">
        <f t="shared" si="78"/>
        <v>0</v>
      </c>
      <c r="AB174" s="346">
        <f t="shared" si="68"/>
        <v>0</v>
      </c>
      <c r="AC174" s="346">
        <f t="shared" si="69"/>
        <v>0</v>
      </c>
      <c r="AD174" s="346">
        <f t="shared" si="70"/>
        <v>0</v>
      </c>
      <c r="AE174" s="346">
        <f t="shared" si="71"/>
        <v>0</v>
      </c>
      <c r="AF174" s="346">
        <f t="shared" si="72"/>
        <v>0</v>
      </c>
      <c r="AG174" s="581">
        <f t="shared" si="73"/>
        <v>6856.54</v>
      </c>
      <c r="AH174" s="582">
        <f t="shared" si="74"/>
        <v>0</v>
      </c>
    </row>
    <row r="175" spans="2:34" s="167" customFormat="1" ht="22.5" x14ac:dyDescent="0.25">
      <c r="B175" s="575" t="s">
        <v>476</v>
      </c>
      <c r="C175" s="583">
        <v>93358</v>
      </c>
      <c r="D175" s="577" t="s">
        <v>40</v>
      </c>
      <c r="E175" s="589" t="s">
        <v>41</v>
      </c>
      <c r="F175" s="578">
        <v>64.95</v>
      </c>
      <c r="G175" s="578">
        <v>32.68</v>
      </c>
      <c r="H175" s="580">
        <v>32.68</v>
      </c>
      <c r="I175" s="580"/>
      <c r="J175" s="579"/>
      <c r="K175" s="580"/>
      <c r="L175" s="580"/>
      <c r="M175" s="580"/>
      <c r="N175" s="578"/>
      <c r="O175" s="578"/>
      <c r="P175" s="580"/>
      <c r="Q175" s="580"/>
      <c r="R175" s="580">
        <f>VLOOKUP(B175,'MEMÓRIA MEDIÇÃO 11'!$A$4:$F$202,6,FALSE)</f>
        <v>0</v>
      </c>
      <c r="S175" s="578">
        <f t="shared" si="67"/>
        <v>32.68</v>
      </c>
      <c r="T175" s="578">
        <f t="shared" si="79"/>
        <v>0</v>
      </c>
      <c r="U175" s="578">
        <f t="shared" si="80"/>
        <v>2122.5660000000003</v>
      </c>
      <c r="V175" s="346">
        <f t="shared" si="81"/>
        <v>2122.5660000000003</v>
      </c>
      <c r="W175" s="346">
        <f t="shared" si="82"/>
        <v>0</v>
      </c>
      <c r="X175" s="346">
        <f t="shared" si="75"/>
        <v>0</v>
      </c>
      <c r="Y175" s="346">
        <f t="shared" si="83"/>
        <v>0</v>
      </c>
      <c r="Z175" s="346">
        <f t="shared" si="84"/>
        <v>0</v>
      </c>
      <c r="AA175" s="346">
        <f t="shared" si="78"/>
        <v>0</v>
      </c>
      <c r="AB175" s="346">
        <f t="shared" ref="AB175:AB195" si="85">F175*N175</f>
        <v>0</v>
      </c>
      <c r="AC175" s="346">
        <f t="shared" si="69"/>
        <v>0</v>
      </c>
      <c r="AD175" s="346">
        <f t="shared" si="70"/>
        <v>0</v>
      </c>
      <c r="AE175" s="346">
        <f t="shared" si="71"/>
        <v>0</v>
      </c>
      <c r="AF175" s="346">
        <f t="shared" si="72"/>
        <v>0</v>
      </c>
      <c r="AG175" s="581">
        <f t="shared" si="73"/>
        <v>2122.5660000000003</v>
      </c>
      <c r="AH175" s="582">
        <f t="shared" si="74"/>
        <v>0</v>
      </c>
    </row>
    <row r="176" spans="2:34" s="167" customFormat="1" x14ac:dyDescent="0.25">
      <c r="B176" s="575" t="s">
        <v>477</v>
      </c>
      <c r="C176" s="583">
        <v>96995</v>
      </c>
      <c r="D176" s="577" t="s">
        <v>44</v>
      </c>
      <c r="E176" s="589" t="s">
        <v>41</v>
      </c>
      <c r="F176" s="578">
        <v>39.369999999999997</v>
      </c>
      <c r="G176" s="578">
        <v>11.01</v>
      </c>
      <c r="H176" s="580"/>
      <c r="I176" s="580">
        <f>'MEMORIAL DE CALCULO 02'!K418</f>
        <v>11.01</v>
      </c>
      <c r="J176" s="579"/>
      <c r="K176" s="580"/>
      <c r="L176" s="580"/>
      <c r="M176" s="580"/>
      <c r="N176" s="578"/>
      <c r="O176" s="578"/>
      <c r="P176" s="580"/>
      <c r="Q176" s="580"/>
      <c r="R176" s="580">
        <f>VLOOKUP(B176,'MEMÓRIA MEDIÇÃO 11'!$A$4:$F$202,6,FALSE)</f>
        <v>0</v>
      </c>
      <c r="S176" s="578">
        <f t="shared" si="67"/>
        <v>11.01</v>
      </c>
      <c r="T176" s="578">
        <f t="shared" si="79"/>
        <v>0</v>
      </c>
      <c r="U176" s="578">
        <f t="shared" si="80"/>
        <v>433.46369999999996</v>
      </c>
      <c r="V176" s="346">
        <f t="shared" si="81"/>
        <v>0</v>
      </c>
      <c r="W176" s="346">
        <f t="shared" si="82"/>
        <v>433.46369999999996</v>
      </c>
      <c r="X176" s="346">
        <f t="shared" si="75"/>
        <v>0</v>
      </c>
      <c r="Y176" s="346">
        <f t="shared" si="83"/>
        <v>0</v>
      </c>
      <c r="Z176" s="346">
        <f t="shared" si="84"/>
        <v>0</v>
      </c>
      <c r="AA176" s="346">
        <f t="shared" si="78"/>
        <v>0</v>
      </c>
      <c r="AB176" s="346">
        <f t="shared" si="85"/>
        <v>0</v>
      </c>
      <c r="AC176" s="346">
        <f t="shared" si="69"/>
        <v>0</v>
      </c>
      <c r="AD176" s="346">
        <f t="shared" si="70"/>
        <v>0</v>
      </c>
      <c r="AE176" s="346">
        <f t="shared" si="71"/>
        <v>0</v>
      </c>
      <c r="AF176" s="346">
        <f t="shared" si="72"/>
        <v>0</v>
      </c>
      <c r="AG176" s="581">
        <f t="shared" si="73"/>
        <v>433.46369999999996</v>
      </c>
      <c r="AH176" s="582">
        <f t="shared" si="74"/>
        <v>0</v>
      </c>
    </row>
    <row r="177" spans="2:34" s="168" customFormat="1" ht="22.5" x14ac:dyDescent="0.25">
      <c r="B177" s="575" t="s">
        <v>478</v>
      </c>
      <c r="C177" s="583">
        <v>93205</v>
      </c>
      <c r="D177" s="577" t="s">
        <v>480</v>
      </c>
      <c r="E177" s="589" t="s">
        <v>37</v>
      </c>
      <c r="F177" s="578">
        <v>39.79</v>
      </c>
      <c r="G177" s="578">
        <v>244.5</v>
      </c>
      <c r="H177" s="580"/>
      <c r="I177" s="580"/>
      <c r="J177" s="579">
        <f>'MEMORIAL DE CALCULO 03'!K524</f>
        <v>67.27</v>
      </c>
      <c r="K177" s="580">
        <f>'MEMORIAL DE CALCULO 04'!K617</f>
        <v>42.8</v>
      </c>
      <c r="L177" s="580">
        <f>'MEMORIAL DE CALCULO 05'!K622</f>
        <v>134.43</v>
      </c>
      <c r="M177" s="580"/>
      <c r="N177" s="578"/>
      <c r="O177" s="578"/>
      <c r="P177" s="580"/>
      <c r="Q177" s="580"/>
      <c r="R177" s="580">
        <f>VLOOKUP(B177,'MEMÓRIA MEDIÇÃO 11'!$A$4:$F$202,6,FALSE)</f>
        <v>0</v>
      </c>
      <c r="S177" s="578">
        <f t="shared" si="67"/>
        <v>244.5</v>
      </c>
      <c r="T177" s="578">
        <f t="shared" si="79"/>
        <v>0</v>
      </c>
      <c r="U177" s="578">
        <f t="shared" si="80"/>
        <v>9728.6550000000007</v>
      </c>
      <c r="V177" s="346">
        <f t="shared" si="81"/>
        <v>0</v>
      </c>
      <c r="W177" s="346">
        <f t="shared" si="82"/>
        <v>0</v>
      </c>
      <c r="X177" s="346">
        <f t="shared" si="75"/>
        <v>2676.6732999999999</v>
      </c>
      <c r="Y177" s="346">
        <f t="shared" si="83"/>
        <v>1703.01</v>
      </c>
      <c r="Z177" s="346">
        <f t="shared" si="84"/>
        <v>5348.96</v>
      </c>
      <c r="AA177" s="346">
        <f t="shared" si="78"/>
        <v>0</v>
      </c>
      <c r="AB177" s="346">
        <f t="shared" si="85"/>
        <v>0</v>
      </c>
      <c r="AC177" s="346">
        <f t="shared" si="69"/>
        <v>0</v>
      </c>
      <c r="AD177" s="346">
        <f t="shared" si="70"/>
        <v>0</v>
      </c>
      <c r="AE177" s="346">
        <f t="shared" si="71"/>
        <v>0</v>
      </c>
      <c r="AF177" s="346">
        <f t="shared" si="72"/>
        <v>0</v>
      </c>
      <c r="AG177" s="581">
        <f t="shared" si="73"/>
        <v>9728.6432999999997</v>
      </c>
      <c r="AH177" s="582">
        <f t="shared" si="74"/>
        <v>1.1700000000928412E-2</v>
      </c>
    </row>
    <row r="178" spans="2:34" s="167" customFormat="1" ht="22.5" x14ac:dyDescent="0.25">
      <c r="B178" s="575" t="s">
        <v>481</v>
      </c>
      <c r="C178" s="583">
        <v>101616</v>
      </c>
      <c r="D178" s="577" t="s">
        <v>55</v>
      </c>
      <c r="E178" s="589" t="s">
        <v>17</v>
      </c>
      <c r="F178" s="578">
        <v>4.91</v>
      </c>
      <c r="G178" s="578">
        <v>15.48</v>
      </c>
      <c r="H178" s="580">
        <f>'MEMORIAL DE CALCULO 01'!K191</f>
        <v>12.6</v>
      </c>
      <c r="I178" s="580">
        <f>'MEMORIAL DE CALCULO 02'!K422</f>
        <v>2.88</v>
      </c>
      <c r="J178" s="579"/>
      <c r="K178" s="580"/>
      <c r="L178" s="580"/>
      <c r="M178" s="580"/>
      <c r="N178" s="578"/>
      <c r="O178" s="578"/>
      <c r="P178" s="580"/>
      <c r="Q178" s="580"/>
      <c r="R178" s="580">
        <f>VLOOKUP(B178,'MEMÓRIA MEDIÇÃO 11'!$A$4:$F$202,6,FALSE)</f>
        <v>0</v>
      </c>
      <c r="S178" s="578">
        <f t="shared" si="67"/>
        <v>15.48</v>
      </c>
      <c r="T178" s="578">
        <f t="shared" si="79"/>
        <v>0</v>
      </c>
      <c r="U178" s="578">
        <f t="shared" si="80"/>
        <v>76.006799999999998</v>
      </c>
      <c r="V178" s="346">
        <f t="shared" si="81"/>
        <v>61.866</v>
      </c>
      <c r="W178" s="346">
        <f t="shared" si="82"/>
        <v>14.1408</v>
      </c>
      <c r="X178" s="346">
        <f t="shared" si="75"/>
        <v>0</v>
      </c>
      <c r="Y178" s="346">
        <f t="shared" si="83"/>
        <v>0</v>
      </c>
      <c r="Z178" s="346">
        <f t="shared" si="84"/>
        <v>0</v>
      </c>
      <c r="AA178" s="346">
        <f t="shared" si="78"/>
        <v>0</v>
      </c>
      <c r="AB178" s="346">
        <f t="shared" si="85"/>
        <v>0</v>
      </c>
      <c r="AC178" s="346">
        <f t="shared" si="69"/>
        <v>0</v>
      </c>
      <c r="AD178" s="346">
        <f t="shared" si="70"/>
        <v>0</v>
      </c>
      <c r="AE178" s="346">
        <f t="shared" si="71"/>
        <v>0</v>
      </c>
      <c r="AF178" s="346">
        <f t="shared" si="72"/>
        <v>0</v>
      </c>
      <c r="AG178" s="581">
        <f t="shared" si="73"/>
        <v>76.006799999999998</v>
      </c>
      <c r="AH178" s="582">
        <f t="shared" si="74"/>
        <v>0</v>
      </c>
    </row>
    <row r="179" spans="2:34" s="167" customFormat="1" ht="33.75" x14ac:dyDescent="0.25">
      <c r="B179" s="575" t="s">
        <v>482</v>
      </c>
      <c r="C179" s="583">
        <v>96619</v>
      </c>
      <c r="D179" s="577" t="s">
        <v>58</v>
      </c>
      <c r="E179" s="589" t="s">
        <v>17</v>
      </c>
      <c r="F179" s="578">
        <v>30.67</v>
      </c>
      <c r="G179" s="578">
        <v>15.48</v>
      </c>
      <c r="H179" s="580">
        <f>'MEMORIAL DE CALCULO 01'!K192</f>
        <v>12.6</v>
      </c>
      <c r="I179" s="580">
        <f>'MEMORIAL DE CALCULO 02'!K423</f>
        <v>2.88</v>
      </c>
      <c r="J179" s="579"/>
      <c r="K179" s="580"/>
      <c r="L179" s="580"/>
      <c r="M179" s="580"/>
      <c r="N179" s="578"/>
      <c r="O179" s="578"/>
      <c r="P179" s="580"/>
      <c r="Q179" s="580"/>
      <c r="R179" s="580">
        <f>VLOOKUP(B179,'MEMÓRIA MEDIÇÃO 11'!$A$4:$F$202,6,FALSE)</f>
        <v>0</v>
      </c>
      <c r="S179" s="578">
        <f t="shared" si="67"/>
        <v>15.48</v>
      </c>
      <c r="T179" s="578">
        <f t="shared" si="79"/>
        <v>0</v>
      </c>
      <c r="U179" s="578">
        <f t="shared" si="80"/>
        <v>474.77160000000003</v>
      </c>
      <c r="V179" s="346">
        <f t="shared" si="81"/>
        <v>386.44200000000001</v>
      </c>
      <c r="W179" s="346">
        <f t="shared" si="82"/>
        <v>88.329599999999999</v>
      </c>
      <c r="X179" s="346">
        <f t="shared" si="75"/>
        <v>0</v>
      </c>
      <c r="Y179" s="346">
        <f t="shared" si="83"/>
        <v>0</v>
      </c>
      <c r="Z179" s="346">
        <f t="shared" si="84"/>
        <v>0</v>
      </c>
      <c r="AA179" s="346">
        <f t="shared" si="78"/>
        <v>0</v>
      </c>
      <c r="AB179" s="346">
        <f t="shared" si="85"/>
        <v>0</v>
      </c>
      <c r="AC179" s="346">
        <f t="shared" si="69"/>
        <v>0</v>
      </c>
      <c r="AD179" s="346">
        <f t="shared" si="70"/>
        <v>0</v>
      </c>
      <c r="AE179" s="346">
        <f t="shared" si="71"/>
        <v>0</v>
      </c>
      <c r="AF179" s="346">
        <f t="shared" si="72"/>
        <v>0</v>
      </c>
      <c r="AG179" s="581">
        <f t="shared" si="73"/>
        <v>474.77160000000003</v>
      </c>
      <c r="AH179" s="582">
        <f t="shared" si="74"/>
        <v>0</v>
      </c>
    </row>
    <row r="180" spans="2:34" s="167" customFormat="1" ht="22.5" x14ac:dyDescent="0.25">
      <c r="B180" s="575" t="s">
        <v>483</v>
      </c>
      <c r="C180" s="583">
        <v>96545</v>
      </c>
      <c r="D180" s="587" t="s">
        <v>61</v>
      </c>
      <c r="E180" s="589" t="s">
        <v>62</v>
      </c>
      <c r="F180" s="589">
        <v>15.99</v>
      </c>
      <c r="G180" s="578">
        <v>167.13</v>
      </c>
      <c r="H180" s="579">
        <f>'MEMORIAL DE CALCULO 01'!K193</f>
        <v>133.69999999999999</v>
      </c>
      <c r="I180" s="579">
        <f>'MEMORIAL DE CALCULO 02'!K424</f>
        <v>33.43</v>
      </c>
      <c r="J180" s="579"/>
      <c r="K180" s="588"/>
      <c r="L180" s="588"/>
      <c r="M180" s="588"/>
      <c r="N180" s="588"/>
      <c r="O180" s="588"/>
      <c r="P180" s="588"/>
      <c r="Q180" s="588"/>
      <c r="R180" s="580">
        <f>VLOOKUP(B180,'MEMÓRIA MEDIÇÃO 11'!$A$4:$F$202,6,FALSE)</f>
        <v>0</v>
      </c>
      <c r="S180" s="578">
        <f t="shared" si="67"/>
        <v>167.13</v>
      </c>
      <c r="T180" s="578">
        <f t="shared" si="79"/>
        <v>0</v>
      </c>
      <c r="U180" s="578">
        <f t="shared" si="80"/>
        <v>2672.4087</v>
      </c>
      <c r="V180" s="346">
        <f t="shared" si="81"/>
        <v>2137.8629999999998</v>
      </c>
      <c r="W180" s="346">
        <f t="shared" si="82"/>
        <v>534.54570000000001</v>
      </c>
      <c r="X180" s="346">
        <f t="shared" si="75"/>
        <v>0</v>
      </c>
      <c r="Y180" s="346">
        <f t="shared" si="83"/>
        <v>0</v>
      </c>
      <c r="Z180" s="346">
        <f t="shared" si="84"/>
        <v>0</v>
      </c>
      <c r="AA180" s="346">
        <f t="shared" si="78"/>
        <v>0</v>
      </c>
      <c r="AB180" s="346">
        <f t="shared" si="85"/>
        <v>0</v>
      </c>
      <c r="AC180" s="346">
        <f t="shared" si="69"/>
        <v>0</v>
      </c>
      <c r="AD180" s="346">
        <f t="shared" si="70"/>
        <v>0</v>
      </c>
      <c r="AE180" s="346">
        <f t="shared" si="71"/>
        <v>0</v>
      </c>
      <c r="AF180" s="346">
        <f t="shared" si="72"/>
        <v>0</v>
      </c>
      <c r="AG180" s="581">
        <f t="shared" si="73"/>
        <v>2672.4087</v>
      </c>
      <c r="AH180" s="582">
        <f t="shared" si="74"/>
        <v>0</v>
      </c>
    </row>
    <row r="181" spans="2:34" s="168" customFormat="1" ht="33.75" x14ac:dyDescent="0.25">
      <c r="B181" s="575" t="s">
        <v>484</v>
      </c>
      <c r="C181" s="583">
        <v>94966</v>
      </c>
      <c r="D181" s="587" t="s">
        <v>65</v>
      </c>
      <c r="E181" s="589" t="s">
        <v>41</v>
      </c>
      <c r="F181" s="589">
        <v>530.88</v>
      </c>
      <c r="G181" s="578">
        <v>15.03</v>
      </c>
      <c r="H181" s="579">
        <f>'MEMORIAL DE CALCULO 01'!K195</f>
        <v>4.5500000000000007</v>
      </c>
      <c r="I181" s="579">
        <f>'MEMORIAL DE CALCULO 02'!K426</f>
        <v>1.04</v>
      </c>
      <c r="J181" s="579">
        <f>'MEMORIAL DE CALCULO 03'!K530</f>
        <v>1.5192000000000005</v>
      </c>
      <c r="K181" s="579">
        <f>'MEMORIAL DE CALCULO 04'!K624</f>
        <v>2.3652000000000002</v>
      </c>
      <c r="L181" s="579">
        <f>'MEMORIAL DE CALCULO 05'!K629</f>
        <v>0.41560999999999998</v>
      </c>
      <c r="M181" s="588"/>
      <c r="N181" s="588"/>
      <c r="O181" s="588"/>
      <c r="P181" s="588"/>
      <c r="Q181" s="588">
        <v>5.14</v>
      </c>
      <c r="R181" s="580">
        <f>VLOOKUP(B181,'MEMÓRIA MEDIÇÃO 11'!$A$4:$F$202,6,FALSE)</f>
        <v>0</v>
      </c>
      <c r="S181" s="578">
        <f t="shared" si="67"/>
        <v>15.030010000000001</v>
      </c>
      <c r="T181" s="578">
        <f t="shared" si="79"/>
        <v>-1.000000000139778E-5</v>
      </c>
      <c r="U181" s="578">
        <f t="shared" si="80"/>
        <v>7979.1263999999992</v>
      </c>
      <c r="V181" s="346">
        <f t="shared" si="81"/>
        <v>2415.5040000000004</v>
      </c>
      <c r="W181" s="346">
        <f t="shared" si="82"/>
        <v>552.11519999999996</v>
      </c>
      <c r="X181" s="346">
        <f t="shared" si="75"/>
        <v>806.5128960000003</v>
      </c>
      <c r="Y181" s="346">
        <f t="shared" si="83"/>
        <v>1255.6300000000001</v>
      </c>
      <c r="Z181" s="346">
        <f t="shared" si="84"/>
        <v>220.63</v>
      </c>
      <c r="AA181" s="346">
        <f t="shared" si="78"/>
        <v>0</v>
      </c>
      <c r="AB181" s="346">
        <f t="shared" si="85"/>
        <v>0</v>
      </c>
      <c r="AC181" s="346">
        <f t="shared" si="69"/>
        <v>0</v>
      </c>
      <c r="AD181" s="346">
        <f t="shared" si="70"/>
        <v>0</v>
      </c>
      <c r="AE181" s="346">
        <f t="shared" si="71"/>
        <v>2728.72</v>
      </c>
      <c r="AF181" s="346">
        <f t="shared" si="72"/>
        <v>0</v>
      </c>
      <c r="AG181" s="581">
        <f t="shared" si="73"/>
        <v>7979.1120960000007</v>
      </c>
      <c r="AH181" s="582">
        <f>U181-AG181</f>
        <v>1.430399999844667E-2</v>
      </c>
    </row>
    <row r="182" spans="2:34" s="167" customFormat="1" ht="41.45" customHeight="1" x14ac:dyDescent="0.25">
      <c r="B182" s="575" t="s">
        <v>485</v>
      </c>
      <c r="C182" s="583">
        <v>103800</v>
      </c>
      <c r="D182" s="577" t="s">
        <v>487</v>
      </c>
      <c r="E182" s="589" t="s">
        <v>41</v>
      </c>
      <c r="F182" s="578">
        <v>496.62</v>
      </c>
      <c r="G182" s="578">
        <v>11.78</v>
      </c>
      <c r="H182" s="580">
        <v>0.9</v>
      </c>
      <c r="I182" s="580">
        <v>10.88</v>
      </c>
      <c r="J182" s="579"/>
      <c r="K182" s="580"/>
      <c r="L182" s="580"/>
      <c r="M182" s="580"/>
      <c r="N182" s="578"/>
      <c r="O182" s="578"/>
      <c r="P182" s="580"/>
      <c r="Q182" s="580"/>
      <c r="R182" s="580">
        <f>VLOOKUP(B182,'MEMÓRIA MEDIÇÃO 11'!$A$4:$F$202,6,FALSE)</f>
        <v>0</v>
      </c>
      <c r="S182" s="578">
        <f t="shared" si="67"/>
        <v>11.780000000000001</v>
      </c>
      <c r="T182" s="578">
        <f t="shared" si="79"/>
        <v>0</v>
      </c>
      <c r="U182" s="578">
        <f t="shared" si="80"/>
        <v>5850.1835999999994</v>
      </c>
      <c r="V182" s="346">
        <f t="shared" si="81"/>
        <v>446.95800000000003</v>
      </c>
      <c r="W182" s="346">
        <f t="shared" si="82"/>
        <v>5403.2256000000007</v>
      </c>
      <c r="X182" s="346">
        <f t="shared" si="75"/>
        <v>0</v>
      </c>
      <c r="Y182" s="346">
        <f t="shared" si="83"/>
        <v>0</v>
      </c>
      <c r="Z182" s="346">
        <f t="shared" si="84"/>
        <v>0</v>
      </c>
      <c r="AA182" s="346">
        <f t="shared" si="78"/>
        <v>0</v>
      </c>
      <c r="AB182" s="346">
        <f t="shared" si="85"/>
        <v>0</v>
      </c>
      <c r="AC182" s="346">
        <f t="shared" si="69"/>
        <v>0</v>
      </c>
      <c r="AD182" s="346">
        <f t="shared" si="70"/>
        <v>0</v>
      </c>
      <c r="AE182" s="346">
        <f t="shared" si="71"/>
        <v>0</v>
      </c>
      <c r="AF182" s="346">
        <f t="shared" si="72"/>
        <v>0</v>
      </c>
      <c r="AG182" s="581">
        <f t="shared" si="73"/>
        <v>5850.1836000000003</v>
      </c>
      <c r="AH182" s="582">
        <f t="shared" si="74"/>
        <v>0</v>
      </c>
    </row>
    <row r="183" spans="2:34" s="168" customFormat="1" ht="22.5" x14ac:dyDescent="0.25">
      <c r="B183" s="575" t="s">
        <v>488</v>
      </c>
      <c r="C183" s="583">
        <v>103670</v>
      </c>
      <c r="D183" s="577" t="s">
        <v>71</v>
      </c>
      <c r="E183" s="589" t="s">
        <v>41</v>
      </c>
      <c r="F183" s="578">
        <v>230.55</v>
      </c>
      <c r="G183" s="578">
        <v>15.03</v>
      </c>
      <c r="H183" s="580">
        <f>'MEMORIAL DE CALCULO 01'!K200</f>
        <v>4.5500000000000007</v>
      </c>
      <c r="I183" s="580">
        <f>'MEMORIAL DE CALCULO 02'!K431</f>
        <v>1.04</v>
      </c>
      <c r="J183" s="579">
        <f>'MEMORIAL DE CALCULO 03'!K543</f>
        <v>1.5192000000000005</v>
      </c>
      <c r="K183" s="580">
        <f>'MEMORIAL DE CALCULO 04'!K644</f>
        <v>2.3652000000000002</v>
      </c>
      <c r="L183" s="580">
        <f>'MEMORIAL DE CALCULO 05'!K632</f>
        <v>0.41563</v>
      </c>
      <c r="M183" s="580"/>
      <c r="N183" s="578"/>
      <c r="O183" s="578"/>
      <c r="P183" s="580"/>
      <c r="Q183" s="580">
        <v>5.14</v>
      </c>
      <c r="R183" s="580">
        <f>VLOOKUP(B183,'MEMÓRIA MEDIÇÃO 11'!$A$4:$F$202,6,FALSE)</f>
        <v>0</v>
      </c>
      <c r="S183" s="578">
        <f t="shared" si="67"/>
        <v>15.03003</v>
      </c>
      <c r="T183" s="578">
        <f t="shared" si="79"/>
        <v>-3.0000000000640625E-5</v>
      </c>
      <c r="U183" s="578">
        <f t="shared" si="80"/>
        <v>3465.1664999999998</v>
      </c>
      <c r="V183" s="346">
        <f t="shared" si="81"/>
        <v>1049.0025000000003</v>
      </c>
      <c r="W183" s="346">
        <f t="shared" si="82"/>
        <v>239.77200000000002</v>
      </c>
      <c r="X183" s="346">
        <f t="shared" si="75"/>
        <v>350.25156000000015</v>
      </c>
      <c r="Y183" s="346">
        <f t="shared" si="83"/>
        <v>545.29</v>
      </c>
      <c r="Z183" s="346">
        <f t="shared" si="84"/>
        <v>95.82</v>
      </c>
      <c r="AA183" s="346">
        <f t="shared" si="78"/>
        <v>0</v>
      </c>
      <c r="AB183" s="346">
        <f t="shared" si="85"/>
        <v>0</v>
      </c>
      <c r="AC183" s="346">
        <f t="shared" si="69"/>
        <v>0</v>
      </c>
      <c r="AD183" s="346">
        <f t="shared" si="70"/>
        <v>0</v>
      </c>
      <c r="AE183" s="346">
        <f t="shared" si="71"/>
        <v>1185.02</v>
      </c>
      <c r="AF183" s="346">
        <f t="shared" si="72"/>
        <v>0</v>
      </c>
      <c r="AG183" s="581">
        <f t="shared" si="73"/>
        <v>3465.1560600000003</v>
      </c>
      <c r="AH183" s="582">
        <f t="shared" si="74"/>
        <v>1.0439999999562133E-2</v>
      </c>
    </row>
    <row r="184" spans="2:34" s="168" customFormat="1" ht="22.5" x14ac:dyDescent="0.25">
      <c r="B184" s="575" t="s">
        <v>489</v>
      </c>
      <c r="C184" s="583">
        <v>96543</v>
      </c>
      <c r="D184" s="577" t="s">
        <v>74</v>
      </c>
      <c r="E184" s="589" t="s">
        <v>62</v>
      </c>
      <c r="F184" s="578">
        <v>17.5</v>
      </c>
      <c r="G184" s="578">
        <v>219.15</v>
      </c>
      <c r="H184" s="580">
        <f>'MEMORIAL DE CALCULO 01'!K202</f>
        <v>42.149799999999992</v>
      </c>
      <c r="I184" s="580">
        <f>'MEMORIAL DE CALCULO 02'!K433</f>
        <v>9.6342399999999984</v>
      </c>
      <c r="J184" s="579">
        <f>'MEMORIAL DE CALCULO 03'!K545</f>
        <v>39.772656000000005</v>
      </c>
      <c r="K184" s="580">
        <f>'MEMORIAL DE CALCULO 04'!K646</f>
        <v>62.025655999999977</v>
      </c>
      <c r="L184" s="580">
        <f>'MEMORIAL DE CALCULO 05'!K634</f>
        <v>8.4384999999999994</v>
      </c>
      <c r="M184" s="580"/>
      <c r="N184" s="578"/>
      <c r="O184" s="578"/>
      <c r="P184" s="580"/>
      <c r="Q184" s="580">
        <v>57.13</v>
      </c>
      <c r="R184" s="580">
        <f>VLOOKUP(B184,'MEMÓRIA MEDIÇÃO 11'!$A$4:$F$202,6,FALSE)</f>
        <v>0</v>
      </c>
      <c r="S184" s="578">
        <f t="shared" si="67"/>
        <v>219.15085199999996</v>
      </c>
      <c r="T184" s="578">
        <f t="shared" si="79"/>
        <v>-8.5199999995211328E-4</v>
      </c>
      <c r="U184" s="578">
        <f t="shared" si="80"/>
        <v>3835.125</v>
      </c>
      <c r="V184" s="346">
        <f t="shared" si="81"/>
        <v>737.62149999999986</v>
      </c>
      <c r="W184" s="346">
        <f t="shared" si="82"/>
        <v>168.59919999999997</v>
      </c>
      <c r="X184" s="346">
        <f t="shared" si="75"/>
        <v>696.02148000000011</v>
      </c>
      <c r="Y184" s="346">
        <f t="shared" si="83"/>
        <v>1085.44</v>
      </c>
      <c r="Z184" s="346">
        <f t="shared" si="84"/>
        <v>147.66999999999999</v>
      </c>
      <c r="AA184" s="346">
        <f t="shared" si="78"/>
        <v>0</v>
      </c>
      <c r="AB184" s="346">
        <f t="shared" si="85"/>
        <v>0</v>
      </c>
      <c r="AC184" s="346">
        <f t="shared" si="69"/>
        <v>0</v>
      </c>
      <c r="AD184" s="346">
        <f t="shared" si="70"/>
        <v>0</v>
      </c>
      <c r="AE184" s="346">
        <f t="shared" si="71"/>
        <v>999.77</v>
      </c>
      <c r="AF184" s="346">
        <f t="shared" si="72"/>
        <v>0</v>
      </c>
      <c r="AG184" s="581">
        <f t="shared" si="73"/>
        <v>3835.1221799999998</v>
      </c>
      <c r="AH184" s="582">
        <f t="shared" si="74"/>
        <v>2.8200000001561421E-3</v>
      </c>
    </row>
    <row r="185" spans="2:34" s="168" customFormat="1" ht="22.5" x14ac:dyDescent="0.25">
      <c r="B185" s="575" t="s">
        <v>490</v>
      </c>
      <c r="C185" s="583">
        <v>96546</v>
      </c>
      <c r="D185" s="587" t="s">
        <v>80</v>
      </c>
      <c r="E185" s="589" t="s">
        <v>62</v>
      </c>
      <c r="F185" s="589">
        <v>14.35</v>
      </c>
      <c r="G185" s="578">
        <v>421.51</v>
      </c>
      <c r="H185" s="579">
        <f>'MEMORIAL DE CALCULO 01'!K204</f>
        <v>99.337000000000003</v>
      </c>
      <c r="I185" s="579">
        <f>'MEMORIAL DE CALCULO 02'!K435</f>
        <v>22.705599999999997</v>
      </c>
      <c r="J185" s="579">
        <f>'MEMORIAL DE CALCULO 03'!K556</f>
        <v>93.734639999999985</v>
      </c>
      <c r="K185" s="579">
        <f>'MEMORIAL DE CALCULO 04'!K664</f>
        <v>146.17963999999998</v>
      </c>
      <c r="L185" s="579">
        <f>'MEMORIAL DE CALCULO 05'!K636</f>
        <v>15.84</v>
      </c>
      <c r="M185" s="588"/>
      <c r="N185" s="588"/>
      <c r="O185" s="588"/>
      <c r="P185" s="588"/>
      <c r="Q185" s="588">
        <v>43.7</v>
      </c>
      <c r="R185" s="580">
        <f>VLOOKUP(B185,'MEMÓRIA MEDIÇÃO 11'!$A$4:$F$202,6,FALSE)</f>
        <v>0</v>
      </c>
      <c r="S185" s="578">
        <f t="shared" si="67"/>
        <v>421.49687999999992</v>
      </c>
      <c r="T185" s="578">
        <f t="shared" si="79"/>
        <v>1.3120000000071741E-2</v>
      </c>
      <c r="U185" s="578">
        <f t="shared" si="80"/>
        <v>6048.6684999999998</v>
      </c>
      <c r="V185" s="346">
        <f t="shared" si="81"/>
        <v>1425.48595</v>
      </c>
      <c r="W185" s="346">
        <f t="shared" si="82"/>
        <v>325.82535999999993</v>
      </c>
      <c r="X185" s="346">
        <f t="shared" si="75"/>
        <v>1345.0920839999997</v>
      </c>
      <c r="Y185" s="346">
        <f t="shared" si="83"/>
        <v>2097.67</v>
      </c>
      <c r="Z185" s="346">
        <f t="shared" si="84"/>
        <v>227.3</v>
      </c>
      <c r="AA185" s="346">
        <f t="shared" si="78"/>
        <v>0</v>
      </c>
      <c r="AB185" s="346">
        <f t="shared" si="85"/>
        <v>0</v>
      </c>
      <c r="AC185" s="346">
        <f t="shared" si="69"/>
        <v>0</v>
      </c>
      <c r="AD185" s="346">
        <f t="shared" si="70"/>
        <v>0</v>
      </c>
      <c r="AE185" s="346">
        <f t="shared" si="71"/>
        <v>627.09</v>
      </c>
      <c r="AF185" s="346">
        <f t="shared" si="72"/>
        <v>0</v>
      </c>
      <c r="AG185" s="581">
        <f t="shared" si="73"/>
        <v>6048.4633940000003</v>
      </c>
      <c r="AH185" s="582">
        <f t="shared" si="74"/>
        <v>0.20510599999943224</v>
      </c>
    </row>
    <row r="186" spans="2:34" s="168" customFormat="1" ht="33.75" x14ac:dyDescent="0.25">
      <c r="B186" s="575" t="s">
        <v>491</v>
      </c>
      <c r="C186" s="583">
        <v>96536</v>
      </c>
      <c r="D186" s="577" t="s">
        <v>86</v>
      </c>
      <c r="E186" s="589" t="s">
        <v>17</v>
      </c>
      <c r="F186" s="578">
        <v>69.64</v>
      </c>
      <c r="G186" s="578">
        <v>162.43</v>
      </c>
      <c r="H186" s="580">
        <f>'MEMORIAL DE CALCULO 01'!K206</f>
        <v>53.2</v>
      </c>
      <c r="I186" s="580">
        <f>'MEMORIAL DE CALCULO 02'!K437</f>
        <v>12.16</v>
      </c>
      <c r="J186" s="579">
        <f>'MEMORIAL DE CALCULO 03'!K567</f>
        <v>30.383999999999997</v>
      </c>
      <c r="K186" s="580">
        <f>'MEMORIAL DE CALCULO 04'!K682</f>
        <v>47.304000000000002</v>
      </c>
      <c r="L186" s="580">
        <f>'MEMORIAL DE CALCULO 05'!K638</f>
        <v>6.55</v>
      </c>
      <c r="M186" s="580"/>
      <c r="N186" s="578"/>
      <c r="O186" s="578"/>
      <c r="P186" s="580"/>
      <c r="Q186" s="580">
        <v>12.832000000000022</v>
      </c>
      <c r="R186" s="580">
        <f>VLOOKUP(B186,'MEMÓRIA MEDIÇÃO 11'!$A$4:$F$202,6,FALSE)</f>
        <v>0</v>
      </c>
      <c r="S186" s="578">
        <f t="shared" si="67"/>
        <v>162.43000000000004</v>
      </c>
      <c r="T186" s="578">
        <f t="shared" si="79"/>
        <v>0</v>
      </c>
      <c r="U186" s="578">
        <f t="shared" si="80"/>
        <v>11311.6252</v>
      </c>
      <c r="V186" s="346">
        <f t="shared" si="81"/>
        <v>3704.8480000000004</v>
      </c>
      <c r="W186" s="346">
        <f t="shared" si="82"/>
        <v>846.82240000000002</v>
      </c>
      <c r="X186" s="346">
        <f t="shared" si="75"/>
        <v>2115.9417599999997</v>
      </c>
      <c r="Y186" s="346">
        <f t="shared" si="83"/>
        <v>3294.25</v>
      </c>
      <c r="Z186" s="346">
        <f t="shared" si="84"/>
        <v>456.14</v>
      </c>
      <c r="AA186" s="346">
        <f t="shared" si="78"/>
        <v>0</v>
      </c>
      <c r="AB186" s="346">
        <f t="shared" si="85"/>
        <v>0</v>
      </c>
      <c r="AC186" s="346">
        <f t="shared" si="69"/>
        <v>0</v>
      </c>
      <c r="AD186" s="346">
        <f t="shared" si="70"/>
        <v>0</v>
      </c>
      <c r="AE186" s="346">
        <f t="shared" si="71"/>
        <v>893.62</v>
      </c>
      <c r="AF186" s="346">
        <f t="shared" si="72"/>
        <v>0</v>
      </c>
      <c r="AG186" s="581">
        <f t="shared" si="73"/>
        <v>11311.622160000001</v>
      </c>
      <c r="AH186" s="582">
        <f t="shared" si="74"/>
        <v>3.0399999996006954E-3</v>
      </c>
    </row>
    <row r="187" spans="2:34" s="169" customFormat="1" ht="22.5" x14ac:dyDescent="0.25">
      <c r="B187" s="575" t="s">
        <v>492</v>
      </c>
      <c r="C187" s="583">
        <v>98557</v>
      </c>
      <c r="D187" s="577" t="s">
        <v>89</v>
      </c>
      <c r="E187" s="589" t="s">
        <v>17</v>
      </c>
      <c r="F187" s="578">
        <v>48.22</v>
      </c>
      <c r="G187" s="578">
        <v>65.430000000000007</v>
      </c>
      <c r="H187" s="580"/>
      <c r="I187" s="580"/>
      <c r="J187" s="579">
        <f>'MEMORIAL DE CALCULO 03'!K580</f>
        <v>33.634999999999998</v>
      </c>
      <c r="K187" s="580">
        <v>31.8</v>
      </c>
      <c r="L187" s="580"/>
      <c r="M187" s="580"/>
      <c r="N187" s="578"/>
      <c r="O187" s="578"/>
      <c r="P187" s="580"/>
      <c r="Q187" s="580"/>
      <c r="R187" s="580">
        <f>VLOOKUP(B187,'MEMÓRIA MEDIÇÃO 11'!$A$4:$F$202,6,FALSE)</f>
        <v>0</v>
      </c>
      <c r="S187" s="578">
        <f t="shared" si="67"/>
        <v>65.435000000000002</v>
      </c>
      <c r="T187" s="578">
        <f t="shared" si="79"/>
        <v>-4.9999999999954525E-3</v>
      </c>
      <c r="U187" s="578">
        <f t="shared" si="80"/>
        <v>3155.0346000000004</v>
      </c>
      <c r="V187" s="346">
        <f t="shared" si="81"/>
        <v>0</v>
      </c>
      <c r="W187" s="346">
        <f t="shared" si="82"/>
        <v>0</v>
      </c>
      <c r="X187" s="346">
        <f t="shared" ref="X187:X195" si="86">F187*J187</f>
        <v>1621.8797</v>
      </c>
      <c r="Y187" s="346">
        <f t="shared" si="83"/>
        <v>1533.39</v>
      </c>
      <c r="Z187" s="346">
        <f t="shared" si="84"/>
        <v>0</v>
      </c>
      <c r="AA187" s="346">
        <f t="shared" si="78"/>
        <v>0</v>
      </c>
      <c r="AB187" s="346">
        <f t="shared" si="85"/>
        <v>0</v>
      </c>
      <c r="AC187" s="346">
        <f t="shared" si="69"/>
        <v>0</v>
      </c>
      <c r="AD187" s="346">
        <f t="shared" si="70"/>
        <v>0</v>
      </c>
      <c r="AE187" s="346">
        <f t="shared" si="71"/>
        <v>0</v>
      </c>
      <c r="AF187" s="346">
        <f t="shared" si="72"/>
        <v>0</v>
      </c>
      <c r="AG187" s="581">
        <f t="shared" si="73"/>
        <v>3155.2696999999998</v>
      </c>
      <c r="AH187" s="582">
        <f t="shared" si="74"/>
        <v>-0.23509999999942011</v>
      </c>
    </row>
    <row r="188" spans="2:34" s="169" customFormat="1" ht="45" x14ac:dyDescent="0.25">
      <c r="B188" s="575" t="s">
        <v>493</v>
      </c>
      <c r="C188" s="583">
        <v>103356</v>
      </c>
      <c r="D188" s="577" t="s">
        <v>137</v>
      </c>
      <c r="E188" s="589" t="s">
        <v>17</v>
      </c>
      <c r="F188" s="578">
        <v>46.86</v>
      </c>
      <c r="G188" s="578">
        <v>405.64</v>
      </c>
      <c r="H188" s="580"/>
      <c r="I188" s="580"/>
      <c r="J188" s="579">
        <f>'MEMORIAL DE CALCULO 03'!K581</f>
        <v>208.53700000000003</v>
      </c>
      <c r="K188" s="580">
        <f>'MEMORIAL DE CALCULO 04'!K703</f>
        <v>177.38200000000001</v>
      </c>
      <c r="L188" s="580">
        <f>'MEMORIAL DE CALCULO 05'!K642</f>
        <v>19.721239000000001</v>
      </c>
      <c r="M188" s="580"/>
      <c r="N188" s="578"/>
      <c r="O188" s="578"/>
      <c r="P188" s="580"/>
      <c r="Q188" s="580"/>
      <c r="R188" s="580">
        <f>VLOOKUP(B188,'MEMÓRIA MEDIÇÃO 11'!$A$4:$F$202,6,FALSE)</f>
        <v>0</v>
      </c>
      <c r="S188" s="578">
        <f t="shared" si="67"/>
        <v>405.64023900000007</v>
      </c>
      <c r="T188" s="578">
        <f t="shared" si="79"/>
        <v>-2.3900000007870403E-4</v>
      </c>
      <c r="U188" s="578">
        <f t="shared" si="80"/>
        <v>19008.290399999998</v>
      </c>
      <c r="V188" s="346">
        <f t="shared" si="81"/>
        <v>0</v>
      </c>
      <c r="W188" s="346">
        <f t="shared" si="82"/>
        <v>0</v>
      </c>
      <c r="X188" s="346">
        <f t="shared" si="86"/>
        <v>9772.0438200000008</v>
      </c>
      <c r="Y188" s="346">
        <f t="shared" si="83"/>
        <v>8312.1200000000008</v>
      </c>
      <c r="Z188" s="346">
        <f t="shared" si="84"/>
        <v>924.13</v>
      </c>
      <c r="AA188" s="346">
        <f t="shared" si="78"/>
        <v>0</v>
      </c>
      <c r="AB188" s="346">
        <f t="shared" si="85"/>
        <v>0</v>
      </c>
      <c r="AC188" s="346">
        <f t="shared" si="69"/>
        <v>0</v>
      </c>
      <c r="AD188" s="346">
        <f t="shared" si="70"/>
        <v>0</v>
      </c>
      <c r="AE188" s="346">
        <f t="shared" si="71"/>
        <v>0</v>
      </c>
      <c r="AF188" s="346">
        <f t="shared" si="72"/>
        <v>0</v>
      </c>
      <c r="AG188" s="581">
        <f t="shared" si="73"/>
        <v>19008.293820000003</v>
      </c>
      <c r="AH188" s="582">
        <f t="shared" si="74"/>
        <v>-3.4200000045530032E-3</v>
      </c>
    </row>
    <row r="189" spans="2:34" s="169" customFormat="1" ht="45" x14ac:dyDescent="0.25">
      <c r="B189" s="575" t="s">
        <v>494</v>
      </c>
      <c r="C189" s="583">
        <v>87893</v>
      </c>
      <c r="D189" s="577" t="s">
        <v>151</v>
      </c>
      <c r="E189" s="589" t="s">
        <v>17</v>
      </c>
      <c r="F189" s="578">
        <v>6.08</v>
      </c>
      <c r="G189" s="578">
        <v>883.13</v>
      </c>
      <c r="H189" s="580"/>
      <c r="I189" s="580"/>
      <c r="J189" s="579"/>
      <c r="K189" s="580">
        <f>'MEMORIAL DE CALCULO 04'!K705</f>
        <v>124.52700000000002</v>
      </c>
      <c r="L189" s="580">
        <f>'MEMORIAL DE CALCULO 05'!K644</f>
        <v>686.74300000000005</v>
      </c>
      <c r="M189" s="580"/>
      <c r="N189" s="578"/>
      <c r="O189" s="578"/>
      <c r="P189" s="580"/>
      <c r="Q189" s="580">
        <v>71.859750000000076</v>
      </c>
      <c r="R189" s="580">
        <f>VLOOKUP(B189,'MEMÓRIA MEDIÇÃO 11'!$A$4:$F$202,6,FALSE)</f>
        <v>0</v>
      </c>
      <c r="S189" s="578">
        <f t="shared" si="67"/>
        <v>883.12975000000017</v>
      </c>
      <c r="T189" s="578">
        <f t="shared" si="79"/>
        <v>2.4999999982355803E-4</v>
      </c>
      <c r="U189" s="578">
        <f t="shared" si="80"/>
        <v>5369.4304000000002</v>
      </c>
      <c r="V189" s="346">
        <f t="shared" si="81"/>
        <v>0</v>
      </c>
      <c r="W189" s="346">
        <f t="shared" si="82"/>
        <v>0</v>
      </c>
      <c r="X189" s="346">
        <f t="shared" si="86"/>
        <v>0</v>
      </c>
      <c r="Y189" s="346">
        <f t="shared" si="83"/>
        <v>757.12</v>
      </c>
      <c r="Z189" s="346">
        <f t="shared" si="84"/>
        <v>4175.3900000000003</v>
      </c>
      <c r="AA189" s="346">
        <f t="shared" si="78"/>
        <v>0</v>
      </c>
      <c r="AB189" s="346">
        <f t="shared" si="85"/>
        <v>0</v>
      </c>
      <c r="AC189" s="346">
        <f t="shared" si="69"/>
        <v>0</v>
      </c>
      <c r="AD189" s="346">
        <f t="shared" si="70"/>
        <v>0</v>
      </c>
      <c r="AE189" s="346">
        <f t="shared" si="71"/>
        <v>436.9</v>
      </c>
      <c r="AF189" s="346">
        <f t="shared" si="72"/>
        <v>0</v>
      </c>
      <c r="AG189" s="581">
        <f t="shared" si="73"/>
        <v>5369.41</v>
      </c>
      <c r="AH189" s="582">
        <f t="shared" si="74"/>
        <v>2.0400000000336149E-2</v>
      </c>
    </row>
    <row r="190" spans="2:34" s="167" customFormat="1" ht="45" x14ac:dyDescent="0.25">
      <c r="B190" s="575" t="s">
        <v>495</v>
      </c>
      <c r="C190" s="583">
        <v>87548</v>
      </c>
      <c r="D190" s="577" t="s">
        <v>154</v>
      </c>
      <c r="E190" s="589" t="s">
        <v>17</v>
      </c>
      <c r="F190" s="578">
        <v>22.4</v>
      </c>
      <c r="G190" s="578">
        <v>883.13</v>
      </c>
      <c r="H190" s="580"/>
      <c r="I190" s="580"/>
      <c r="J190" s="579"/>
      <c r="K190" s="580"/>
      <c r="L190" s="580">
        <f>'MEMORIAL DE CALCULO 05'!K646</f>
        <v>405.66600000000005</v>
      </c>
      <c r="M190" s="580">
        <f>'MEMORIAL DE CALCULO 06'!K420</f>
        <v>405.60400000000004</v>
      </c>
      <c r="N190" s="578"/>
      <c r="O190" s="578"/>
      <c r="P190" s="580"/>
      <c r="Q190" s="580">
        <v>71.859750000000076</v>
      </c>
      <c r="R190" s="580">
        <f>VLOOKUP(B190,'MEMÓRIA MEDIÇÃO 11'!$A$4:$F$202,6,FALSE)</f>
        <v>0</v>
      </c>
      <c r="S190" s="578">
        <f t="shared" si="67"/>
        <v>883.12975000000017</v>
      </c>
      <c r="T190" s="578">
        <f t="shared" si="79"/>
        <v>2.4999999982355803E-4</v>
      </c>
      <c r="U190" s="578">
        <f t="shared" si="80"/>
        <v>19782.111999999997</v>
      </c>
      <c r="V190" s="346">
        <f t="shared" si="81"/>
        <v>0</v>
      </c>
      <c r="W190" s="346">
        <f t="shared" si="82"/>
        <v>0</v>
      </c>
      <c r="X190" s="346">
        <f t="shared" si="86"/>
        <v>0</v>
      </c>
      <c r="Y190" s="346">
        <f t="shared" si="83"/>
        <v>0</v>
      </c>
      <c r="Z190" s="346">
        <f t="shared" si="84"/>
        <v>9086.91</v>
      </c>
      <c r="AA190" s="346">
        <f t="shared" si="78"/>
        <v>9085.5295999999998</v>
      </c>
      <c r="AB190" s="346">
        <f t="shared" si="85"/>
        <v>0</v>
      </c>
      <c r="AC190" s="346">
        <f t="shared" si="69"/>
        <v>0</v>
      </c>
      <c r="AD190" s="346">
        <f t="shared" si="70"/>
        <v>0</v>
      </c>
      <c r="AE190" s="346">
        <f t="shared" si="71"/>
        <v>1609.65</v>
      </c>
      <c r="AF190" s="346">
        <f t="shared" si="72"/>
        <v>0</v>
      </c>
      <c r="AG190" s="581">
        <f t="shared" si="73"/>
        <v>19782.089599999999</v>
      </c>
      <c r="AH190" s="582">
        <f t="shared" si="74"/>
        <v>2.2399999998015119E-2</v>
      </c>
    </row>
    <row r="191" spans="2:34" s="167" customFormat="1" ht="22.5" x14ac:dyDescent="0.25">
      <c r="B191" s="575" t="s">
        <v>496</v>
      </c>
      <c r="C191" s="583">
        <v>88489</v>
      </c>
      <c r="D191" s="577" t="s">
        <v>198</v>
      </c>
      <c r="E191" s="589" t="s">
        <v>17</v>
      </c>
      <c r="F191" s="578">
        <v>12.16</v>
      </c>
      <c r="G191" s="578">
        <v>883.13</v>
      </c>
      <c r="H191" s="580"/>
      <c r="I191" s="580"/>
      <c r="J191" s="579"/>
      <c r="K191" s="580"/>
      <c r="L191" s="580"/>
      <c r="M191" s="580"/>
      <c r="N191" s="578"/>
      <c r="O191" s="578"/>
      <c r="P191" s="580"/>
      <c r="Q191" s="580"/>
      <c r="R191" s="580">
        <f>VLOOKUP(B191,'MEMÓRIA MEDIÇÃO 11'!$A$4:$F$202,6,FALSE)</f>
        <v>0</v>
      </c>
      <c r="S191" s="578">
        <f t="shared" si="67"/>
        <v>0</v>
      </c>
      <c r="T191" s="578">
        <f t="shared" si="79"/>
        <v>883.13</v>
      </c>
      <c r="U191" s="578">
        <f t="shared" si="80"/>
        <v>10738.8608</v>
      </c>
      <c r="V191" s="346">
        <f t="shared" si="81"/>
        <v>0</v>
      </c>
      <c r="W191" s="346">
        <f t="shared" si="82"/>
        <v>0</v>
      </c>
      <c r="X191" s="346">
        <f t="shared" si="86"/>
        <v>0</v>
      </c>
      <c r="Y191" s="346">
        <f t="shared" si="83"/>
        <v>0</v>
      </c>
      <c r="Z191" s="346">
        <f t="shared" si="84"/>
        <v>0</v>
      </c>
      <c r="AA191" s="346">
        <f t="shared" si="78"/>
        <v>0</v>
      </c>
      <c r="AB191" s="346">
        <f t="shared" si="85"/>
        <v>0</v>
      </c>
      <c r="AC191" s="346">
        <f t="shared" si="69"/>
        <v>0</v>
      </c>
      <c r="AD191" s="346">
        <f t="shared" si="70"/>
        <v>0</v>
      </c>
      <c r="AE191" s="346">
        <f t="shared" si="71"/>
        <v>0</v>
      </c>
      <c r="AF191" s="346">
        <f t="shared" si="72"/>
        <v>0</v>
      </c>
      <c r="AG191" s="581">
        <f t="shared" si="73"/>
        <v>0</v>
      </c>
      <c r="AH191" s="582">
        <f t="shared" si="74"/>
        <v>10738.8608</v>
      </c>
    </row>
    <row r="192" spans="2:34" s="167" customFormat="1" ht="22.5" x14ac:dyDescent="0.25">
      <c r="B192" s="575" t="s">
        <v>497</v>
      </c>
      <c r="C192" s="583">
        <v>95305</v>
      </c>
      <c r="D192" s="577" t="s">
        <v>499</v>
      </c>
      <c r="E192" s="589" t="s">
        <v>17</v>
      </c>
      <c r="F192" s="578">
        <v>10.95</v>
      </c>
      <c r="G192" s="578">
        <v>883.13</v>
      </c>
      <c r="H192" s="580"/>
      <c r="I192" s="580"/>
      <c r="J192" s="579"/>
      <c r="K192" s="580"/>
      <c r="L192" s="580"/>
      <c r="M192" s="580"/>
      <c r="N192" s="578"/>
      <c r="O192" s="578"/>
      <c r="P192" s="580"/>
      <c r="Q192" s="580"/>
      <c r="R192" s="580">
        <f>VLOOKUP(B192,'MEMÓRIA MEDIÇÃO 11'!$A$4:$F$202,6,FALSE)</f>
        <v>0</v>
      </c>
      <c r="S192" s="578">
        <f t="shared" si="67"/>
        <v>0</v>
      </c>
      <c r="T192" s="578">
        <f t="shared" si="79"/>
        <v>883.13</v>
      </c>
      <c r="U192" s="578">
        <f t="shared" si="80"/>
        <v>9670.2734999999993</v>
      </c>
      <c r="V192" s="346">
        <f t="shared" si="81"/>
        <v>0</v>
      </c>
      <c r="W192" s="346">
        <f t="shared" si="82"/>
        <v>0</v>
      </c>
      <c r="X192" s="346">
        <f t="shared" si="86"/>
        <v>0</v>
      </c>
      <c r="Y192" s="346">
        <f t="shared" si="83"/>
        <v>0</v>
      </c>
      <c r="Z192" s="346">
        <f t="shared" si="84"/>
        <v>0</v>
      </c>
      <c r="AA192" s="346">
        <f t="shared" si="78"/>
        <v>0</v>
      </c>
      <c r="AB192" s="346">
        <f t="shared" si="85"/>
        <v>0</v>
      </c>
      <c r="AC192" s="346">
        <f t="shared" si="69"/>
        <v>0</v>
      </c>
      <c r="AD192" s="346">
        <f t="shared" si="70"/>
        <v>0</v>
      </c>
      <c r="AE192" s="346">
        <f t="shared" si="71"/>
        <v>0</v>
      </c>
      <c r="AF192" s="346">
        <f t="shared" si="72"/>
        <v>0</v>
      </c>
      <c r="AG192" s="581">
        <f t="shared" si="73"/>
        <v>0</v>
      </c>
      <c r="AH192" s="582">
        <f t="shared" si="74"/>
        <v>9670.2734999999993</v>
      </c>
    </row>
    <row r="193" spans="2:34" s="167" customFormat="1" ht="14.45" customHeight="1" x14ac:dyDescent="0.25">
      <c r="B193" s="584">
        <v>1.1599999999999999</v>
      </c>
      <c r="C193" s="585" t="s">
        <v>501</v>
      </c>
      <c r="D193" s="577"/>
      <c r="E193" s="589"/>
      <c r="F193" s="578"/>
      <c r="G193" s="578"/>
      <c r="H193" s="580"/>
      <c r="I193" s="580"/>
      <c r="J193" s="579"/>
      <c r="K193" s="580"/>
      <c r="L193" s="580"/>
      <c r="M193" s="580"/>
      <c r="N193" s="578"/>
      <c r="O193" s="578"/>
      <c r="P193" s="580"/>
      <c r="Q193" s="580"/>
      <c r="R193" s="580">
        <f>VLOOKUP(B193,'MEMÓRIA MEDIÇÃO 11'!$A$4:$F$202,6,FALSE)</f>
        <v>0</v>
      </c>
      <c r="S193" s="578">
        <f t="shared" si="67"/>
        <v>0</v>
      </c>
      <c r="T193" s="578"/>
      <c r="U193" s="578"/>
      <c r="V193" s="346">
        <f t="shared" si="81"/>
        <v>0</v>
      </c>
      <c r="W193" s="346">
        <f t="shared" si="82"/>
        <v>0</v>
      </c>
      <c r="X193" s="346">
        <f t="shared" si="86"/>
        <v>0</v>
      </c>
      <c r="Y193" s="346">
        <f t="shared" si="83"/>
        <v>0</v>
      </c>
      <c r="Z193" s="346">
        <f t="shared" si="84"/>
        <v>0</v>
      </c>
      <c r="AA193" s="346">
        <f t="shared" si="78"/>
        <v>0</v>
      </c>
      <c r="AB193" s="346">
        <f t="shared" si="85"/>
        <v>0</v>
      </c>
      <c r="AC193" s="346">
        <f t="shared" si="69"/>
        <v>0</v>
      </c>
      <c r="AD193" s="346">
        <f t="shared" si="70"/>
        <v>0</v>
      </c>
      <c r="AE193" s="346">
        <f t="shared" si="71"/>
        <v>0</v>
      </c>
      <c r="AF193" s="346">
        <f t="shared" si="72"/>
        <v>0</v>
      </c>
      <c r="AG193" s="581">
        <f t="shared" si="73"/>
        <v>0</v>
      </c>
      <c r="AH193" s="582">
        <f t="shared" si="74"/>
        <v>0</v>
      </c>
    </row>
    <row r="194" spans="2:34" s="167" customFormat="1" ht="33.75" x14ac:dyDescent="0.25">
      <c r="B194" s="575" t="s">
        <v>502</v>
      </c>
      <c r="C194" s="576" t="s">
        <v>503</v>
      </c>
      <c r="D194" s="577" t="s">
        <v>504</v>
      </c>
      <c r="E194" s="589" t="s">
        <v>166</v>
      </c>
      <c r="F194" s="578">
        <v>4877.91</v>
      </c>
      <c r="G194" s="578">
        <v>0</v>
      </c>
      <c r="H194" s="580"/>
      <c r="I194" s="580"/>
      <c r="J194" s="579"/>
      <c r="K194" s="580"/>
      <c r="L194" s="580"/>
      <c r="M194" s="580"/>
      <c r="N194" s="578"/>
      <c r="O194" s="578"/>
      <c r="P194" s="580"/>
      <c r="Q194" s="580"/>
      <c r="R194" s="580">
        <f>VLOOKUP(B194,'MEMÓRIA MEDIÇÃO 11'!$A$4:$F$202,6,FALSE)</f>
        <v>0</v>
      </c>
      <c r="S194" s="578">
        <f t="shared" si="67"/>
        <v>0</v>
      </c>
      <c r="T194" s="578">
        <f>G194-S194</f>
        <v>0</v>
      </c>
      <c r="U194" s="578">
        <f>F194*G194</f>
        <v>0</v>
      </c>
      <c r="V194" s="346">
        <f t="shared" si="81"/>
        <v>0</v>
      </c>
      <c r="W194" s="346">
        <f t="shared" si="82"/>
        <v>0</v>
      </c>
      <c r="X194" s="346">
        <f t="shared" si="86"/>
        <v>0</v>
      </c>
      <c r="Y194" s="346">
        <f t="shared" si="83"/>
        <v>0</v>
      </c>
      <c r="Z194" s="346">
        <f t="shared" si="84"/>
        <v>0</v>
      </c>
      <c r="AA194" s="346">
        <f t="shared" si="78"/>
        <v>0</v>
      </c>
      <c r="AB194" s="346">
        <f t="shared" si="85"/>
        <v>0</v>
      </c>
      <c r="AC194" s="346">
        <f t="shared" si="69"/>
        <v>0</v>
      </c>
      <c r="AD194" s="346">
        <f t="shared" si="70"/>
        <v>0</v>
      </c>
      <c r="AE194" s="346">
        <f t="shared" si="71"/>
        <v>0</v>
      </c>
      <c r="AF194" s="346">
        <f t="shared" si="72"/>
        <v>0</v>
      </c>
      <c r="AG194" s="581">
        <f t="shared" si="73"/>
        <v>0</v>
      </c>
      <c r="AH194" s="582">
        <f t="shared" si="74"/>
        <v>0</v>
      </c>
    </row>
    <row r="195" spans="2:34" s="167" customFormat="1" ht="45.75" thickBot="1" x14ac:dyDescent="0.3">
      <c r="B195" s="575" t="s">
        <v>505</v>
      </c>
      <c r="C195" s="576" t="s">
        <v>506</v>
      </c>
      <c r="D195" s="592" t="s">
        <v>507</v>
      </c>
      <c r="E195" s="589" t="s">
        <v>166</v>
      </c>
      <c r="F195" s="578">
        <v>3733.15</v>
      </c>
      <c r="G195" s="593">
        <v>0</v>
      </c>
      <c r="H195" s="594"/>
      <c r="I195" s="594"/>
      <c r="J195" s="595"/>
      <c r="K195" s="594"/>
      <c r="L195" s="594"/>
      <c r="M195" s="594"/>
      <c r="N195" s="596"/>
      <c r="O195" s="596"/>
      <c r="P195" s="594"/>
      <c r="Q195" s="597"/>
      <c r="R195" s="580">
        <f>VLOOKUP(B195,'MEMÓRIA MEDIÇÃO 11'!$A$4:$F$202,6,FALSE)</f>
        <v>0</v>
      </c>
      <c r="S195" s="578">
        <f t="shared" si="67"/>
        <v>0</v>
      </c>
      <c r="T195" s="593">
        <f>G195-S195</f>
        <v>0</v>
      </c>
      <c r="U195" s="593">
        <f>F195*G195</f>
        <v>0</v>
      </c>
      <c r="V195" s="346">
        <f t="shared" si="81"/>
        <v>0</v>
      </c>
      <c r="W195" s="346">
        <f t="shared" si="82"/>
        <v>0</v>
      </c>
      <c r="X195" s="346">
        <f t="shared" si="86"/>
        <v>0</v>
      </c>
      <c r="Y195" s="346">
        <f t="shared" si="83"/>
        <v>0</v>
      </c>
      <c r="Z195" s="346">
        <f t="shared" si="84"/>
        <v>0</v>
      </c>
      <c r="AA195" s="346">
        <f t="shared" si="78"/>
        <v>0</v>
      </c>
      <c r="AB195" s="346">
        <f t="shared" si="85"/>
        <v>0</v>
      </c>
      <c r="AC195" s="346">
        <f t="shared" si="69"/>
        <v>0</v>
      </c>
      <c r="AD195" s="346">
        <f t="shared" si="70"/>
        <v>0</v>
      </c>
      <c r="AE195" s="346">
        <f t="shared" si="71"/>
        <v>0</v>
      </c>
      <c r="AF195" s="346">
        <f t="shared" si="72"/>
        <v>0</v>
      </c>
      <c r="AG195" s="581">
        <f t="shared" si="73"/>
        <v>0</v>
      </c>
      <c r="AH195" s="598">
        <f t="shared" si="74"/>
        <v>0</v>
      </c>
    </row>
    <row r="196" spans="2:34" s="167" customFormat="1" x14ac:dyDescent="0.25">
      <c r="B196" s="599">
        <v>1.17</v>
      </c>
      <c r="C196" s="600" t="s">
        <v>1030</v>
      </c>
      <c r="D196" s="601"/>
      <c r="E196" s="602"/>
      <c r="F196" s="603"/>
      <c r="G196" s="578"/>
      <c r="H196" s="580"/>
      <c r="I196" s="580"/>
      <c r="J196" s="579"/>
      <c r="K196" s="580"/>
      <c r="L196" s="580"/>
      <c r="M196" s="580"/>
      <c r="N196" s="578"/>
      <c r="O196" s="578"/>
      <c r="P196" s="580"/>
      <c r="Q196" s="580"/>
      <c r="R196" s="580">
        <f>VLOOKUP(B196,'MEMÓRIA MEDIÇÃO 11'!$A$4:$F$202,6,FALSE)</f>
        <v>0</v>
      </c>
      <c r="S196" s="578">
        <f t="shared" si="67"/>
        <v>0</v>
      </c>
      <c r="T196" s="593"/>
      <c r="U196" s="593"/>
      <c r="V196" s="346">
        <f t="shared" ref="V196:V208" si="87">F196*H196</f>
        <v>0</v>
      </c>
      <c r="W196" s="346">
        <f t="shared" ref="W196:W208" si="88">F196*I196</f>
        <v>0</v>
      </c>
      <c r="X196" s="346">
        <f t="shared" ref="X196:X208" si="89">F196*J196</f>
        <v>0</v>
      </c>
      <c r="Y196" s="346">
        <f t="shared" ref="Y196:Y208" si="90">TRUNC(F196*K196,2)</f>
        <v>0</v>
      </c>
      <c r="Z196" s="346">
        <f t="shared" ref="Z196:Z208" si="91">TRUNC(F196*L196,2)</f>
        <v>0</v>
      </c>
      <c r="AA196" s="346">
        <f t="shared" ref="AA196:AA208" si="92">M196*F196</f>
        <v>0</v>
      </c>
      <c r="AB196" s="346">
        <f t="shared" ref="AB196:AB208" si="93">F196*N196</f>
        <v>0</v>
      </c>
      <c r="AC196" s="346">
        <f t="shared" ref="AC196:AC208" si="94">TRUNC(F196*O196,2)</f>
        <v>0</v>
      </c>
      <c r="AD196" s="346">
        <f t="shared" ref="AD196:AD208" si="95">TRUNC(F196*P196,2)</f>
        <v>0</v>
      </c>
      <c r="AE196" s="346"/>
      <c r="AF196" s="346">
        <f t="shared" si="72"/>
        <v>0</v>
      </c>
      <c r="AG196" s="581">
        <f t="shared" si="73"/>
        <v>0</v>
      </c>
      <c r="AH196" s="598"/>
    </row>
    <row r="197" spans="2:34" s="167" customFormat="1" ht="30.6" customHeight="1" x14ac:dyDescent="0.25">
      <c r="B197" s="575" t="s">
        <v>1017</v>
      </c>
      <c r="C197" s="583">
        <v>94316</v>
      </c>
      <c r="D197" s="577" t="s">
        <v>1035</v>
      </c>
      <c r="E197" s="589" t="s">
        <v>41</v>
      </c>
      <c r="F197" s="578">
        <v>65.36</v>
      </c>
      <c r="G197" s="578">
        <v>620.19000000000005</v>
      </c>
      <c r="H197" s="580"/>
      <c r="I197" s="580"/>
      <c r="J197" s="579"/>
      <c r="K197" s="580"/>
      <c r="L197" s="580"/>
      <c r="M197" s="580"/>
      <c r="N197" s="578"/>
      <c r="O197" s="578"/>
      <c r="P197" s="580"/>
      <c r="Q197" s="580">
        <v>431.86</v>
      </c>
      <c r="R197" s="580">
        <f>VLOOKUP(B197,'MEMÓRIA MEDIÇÃO 11'!$A$4:$F$202,6,FALSE)</f>
        <v>0</v>
      </c>
      <c r="S197" s="578">
        <f t="shared" si="67"/>
        <v>431.86</v>
      </c>
      <c r="T197" s="578">
        <f t="shared" ref="T197:T208" si="96">G197-S197</f>
        <v>188.33000000000004</v>
      </c>
      <c r="U197" s="578">
        <f t="shared" ref="U197:U208" si="97">F197*G197</f>
        <v>40535.618400000007</v>
      </c>
      <c r="V197" s="346">
        <f t="shared" si="87"/>
        <v>0</v>
      </c>
      <c r="W197" s="346">
        <f t="shared" si="88"/>
        <v>0</v>
      </c>
      <c r="X197" s="346">
        <f t="shared" si="89"/>
        <v>0</v>
      </c>
      <c r="Y197" s="346">
        <f t="shared" si="90"/>
        <v>0</v>
      </c>
      <c r="Z197" s="346">
        <f t="shared" si="91"/>
        <v>0</v>
      </c>
      <c r="AA197" s="346">
        <f t="shared" si="92"/>
        <v>0</v>
      </c>
      <c r="AB197" s="346">
        <f t="shared" si="93"/>
        <v>0</v>
      </c>
      <c r="AC197" s="346">
        <f t="shared" si="94"/>
        <v>0</v>
      </c>
      <c r="AD197" s="346">
        <f t="shared" si="95"/>
        <v>0</v>
      </c>
      <c r="AE197" s="346">
        <f t="shared" ref="AE197:AE208" si="98">TRUNC(F197*Q197,2)</f>
        <v>28226.36</v>
      </c>
      <c r="AF197" s="346">
        <f t="shared" si="72"/>
        <v>0</v>
      </c>
      <c r="AG197" s="581">
        <f t="shared" si="73"/>
        <v>28226.36</v>
      </c>
      <c r="AH197" s="582">
        <f t="shared" ref="AH197:AH208" si="99">U197-AG197</f>
        <v>12309.258400000006</v>
      </c>
    </row>
    <row r="198" spans="2:34" s="167" customFormat="1" ht="30.6" customHeight="1" x14ac:dyDescent="0.25">
      <c r="B198" s="575" t="s">
        <v>1018</v>
      </c>
      <c r="C198" s="583">
        <v>97626</v>
      </c>
      <c r="D198" s="577" t="s">
        <v>1036</v>
      </c>
      <c r="E198" s="589" t="s">
        <v>41</v>
      </c>
      <c r="F198" s="578">
        <v>512.69000000000005</v>
      </c>
      <c r="G198" s="578">
        <v>0.09</v>
      </c>
      <c r="H198" s="580"/>
      <c r="I198" s="580"/>
      <c r="J198" s="579"/>
      <c r="K198" s="580"/>
      <c r="L198" s="580"/>
      <c r="M198" s="580"/>
      <c r="N198" s="578"/>
      <c r="O198" s="578"/>
      <c r="P198" s="580"/>
      <c r="Q198" s="580"/>
      <c r="R198" s="580">
        <f>VLOOKUP(B198,'MEMÓRIA MEDIÇÃO 11'!$A$4:$F$202,6,FALSE)</f>
        <v>0</v>
      </c>
      <c r="S198" s="578">
        <f t="shared" si="67"/>
        <v>0</v>
      </c>
      <c r="T198" s="593">
        <f t="shared" si="96"/>
        <v>0.09</v>
      </c>
      <c r="U198" s="593">
        <f t="shared" si="97"/>
        <v>46.142100000000006</v>
      </c>
      <c r="V198" s="346">
        <f t="shared" si="87"/>
        <v>0</v>
      </c>
      <c r="W198" s="346">
        <f t="shared" si="88"/>
        <v>0</v>
      </c>
      <c r="X198" s="346">
        <f t="shared" si="89"/>
        <v>0</v>
      </c>
      <c r="Y198" s="346">
        <f t="shared" si="90"/>
        <v>0</v>
      </c>
      <c r="Z198" s="346">
        <f t="shared" si="91"/>
        <v>0</v>
      </c>
      <c r="AA198" s="346">
        <f t="shared" si="92"/>
        <v>0</v>
      </c>
      <c r="AB198" s="346">
        <f t="shared" si="93"/>
        <v>0</v>
      </c>
      <c r="AC198" s="346">
        <f t="shared" si="94"/>
        <v>0</v>
      </c>
      <c r="AD198" s="346">
        <f t="shared" si="95"/>
        <v>0</v>
      </c>
      <c r="AE198" s="346">
        <f t="shared" si="98"/>
        <v>0</v>
      </c>
      <c r="AF198" s="346">
        <f t="shared" si="72"/>
        <v>0</v>
      </c>
      <c r="AG198" s="581">
        <f t="shared" si="73"/>
        <v>0</v>
      </c>
      <c r="AH198" s="598">
        <f t="shared" si="99"/>
        <v>46.142100000000006</v>
      </c>
    </row>
    <row r="199" spans="2:34" s="167" customFormat="1" ht="30.6" customHeight="1" x14ac:dyDescent="0.25">
      <c r="B199" s="575" t="s">
        <v>1019</v>
      </c>
      <c r="C199" s="583">
        <v>97622</v>
      </c>
      <c r="D199" s="577" t="s">
        <v>1037</v>
      </c>
      <c r="E199" s="589" t="s">
        <v>41</v>
      </c>
      <c r="F199" s="578">
        <v>47.12</v>
      </c>
      <c r="G199" s="578">
        <v>0.19</v>
      </c>
      <c r="H199" s="580"/>
      <c r="I199" s="580"/>
      <c r="J199" s="579"/>
      <c r="K199" s="580"/>
      <c r="L199" s="580"/>
      <c r="M199" s="580"/>
      <c r="N199" s="578"/>
      <c r="O199" s="578"/>
      <c r="P199" s="580"/>
      <c r="Q199" s="580"/>
      <c r="R199" s="580">
        <f>VLOOKUP(B199,'MEMÓRIA MEDIÇÃO 11'!$A$4:$F$202,6,FALSE)</f>
        <v>0</v>
      </c>
      <c r="S199" s="578">
        <f t="shared" si="67"/>
        <v>0</v>
      </c>
      <c r="T199" s="593">
        <f t="shared" si="96"/>
        <v>0.19</v>
      </c>
      <c r="U199" s="593">
        <f t="shared" si="97"/>
        <v>8.9527999999999999</v>
      </c>
      <c r="V199" s="346">
        <f t="shared" si="87"/>
        <v>0</v>
      </c>
      <c r="W199" s="346">
        <f t="shared" si="88"/>
        <v>0</v>
      </c>
      <c r="X199" s="346">
        <f t="shared" si="89"/>
        <v>0</v>
      </c>
      <c r="Y199" s="346">
        <f t="shared" si="90"/>
        <v>0</v>
      </c>
      <c r="Z199" s="346">
        <f t="shared" si="91"/>
        <v>0</v>
      </c>
      <c r="AA199" s="346">
        <f t="shared" si="92"/>
        <v>0</v>
      </c>
      <c r="AB199" s="346">
        <f t="shared" si="93"/>
        <v>0</v>
      </c>
      <c r="AC199" s="346">
        <f t="shared" si="94"/>
        <v>0</v>
      </c>
      <c r="AD199" s="346">
        <f t="shared" si="95"/>
        <v>0</v>
      </c>
      <c r="AE199" s="346">
        <f t="shared" si="98"/>
        <v>0</v>
      </c>
      <c r="AF199" s="346">
        <f t="shared" si="72"/>
        <v>0</v>
      </c>
      <c r="AG199" s="581">
        <f t="shared" si="73"/>
        <v>0</v>
      </c>
      <c r="AH199" s="598">
        <f t="shared" si="99"/>
        <v>8.9527999999999999</v>
      </c>
    </row>
    <row r="200" spans="2:34" s="167" customFormat="1" ht="30.6" customHeight="1" x14ac:dyDescent="0.25">
      <c r="B200" s="575" t="s">
        <v>1020</v>
      </c>
      <c r="C200" s="583" t="s">
        <v>1031</v>
      </c>
      <c r="D200" s="577" t="s">
        <v>1038</v>
      </c>
      <c r="E200" s="589" t="s">
        <v>1046</v>
      </c>
      <c r="F200" s="578">
        <v>370.95</v>
      </c>
      <c r="G200" s="578">
        <v>1.1000000000000001</v>
      </c>
      <c r="H200" s="580"/>
      <c r="I200" s="580"/>
      <c r="J200" s="579"/>
      <c r="K200" s="580"/>
      <c r="L200" s="580"/>
      <c r="M200" s="580"/>
      <c r="N200" s="578"/>
      <c r="O200" s="578"/>
      <c r="P200" s="580"/>
      <c r="Q200" s="580"/>
      <c r="R200" s="580">
        <f>VLOOKUP(B200,'MEMÓRIA MEDIÇÃO 11'!$A$4:$F$202,6,FALSE)</f>
        <v>0</v>
      </c>
      <c r="S200" s="578">
        <f t="shared" si="67"/>
        <v>0</v>
      </c>
      <c r="T200" s="593">
        <f t="shared" si="96"/>
        <v>1.1000000000000001</v>
      </c>
      <c r="U200" s="593">
        <f t="shared" si="97"/>
        <v>408.04500000000002</v>
      </c>
      <c r="V200" s="346">
        <f t="shared" si="87"/>
        <v>0</v>
      </c>
      <c r="W200" s="346">
        <f t="shared" si="88"/>
        <v>0</v>
      </c>
      <c r="X200" s="346">
        <f t="shared" si="89"/>
        <v>0</v>
      </c>
      <c r="Y200" s="346">
        <f t="shared" si="90"/>
        <v>0</v>
      </c>
      <c r="Z200" s="346">
        <f t="shared" si="91"/>
        <v>0</v>
      </c>
      <c r="AA200" s="346">
        <f t="shared" si="92"/>
        <v>0</v>
      </c>
      <c r="AB200" s="346">
        <f t="shared" si="93"/>
        <v>0</v>
      </c>
      <c r="AC200" s="346">
        <f t="shared" si="94"/>
        <v>0</v>
      </c>
      <c r="AD200" s="346">
        <f t="shared" si="95"/>
        <v>0</v>
      </c>
      <c r="AE200" s="346">
        <f t="shared" si="98"/>
        <v>0</v>
      </c>
      <c r="AF200" s="346">
        <f t="shared" si="72"/>
        <v>0</v>
      </c>
      <c r="AG200" s="581">
        <f t="shared" si="73"/>
        <v>0</v>
      </c>
      <c r="AH200" s="598">
        <f t="shared" si="99"/>
        <v>408.04500000000002</v>
      </c>
    </row>
    <row r="201" spans="2:34" s="167" customFormat="1" ht="30.6" customHeight="1" x14ac:dyDescent="0.25">
      <c r="B201" s="575" t="s">
        <v>1021</v>
      </c>
      <c r="C201" s="583">
        <v>101493</v>
      </c>
      <c r="D201" s="577" t="s">
        <v>1039</v>
      </c>
      <c r="E201" s="589" t="s">
        <v>166</v>
      </c>
      <c r="F201" s="578">
        <v>1368.04</v>
      </c>
      <c r="G201" s="578">
        <v>1</v>
      </c>
      <c r="H201" s="580"/>
      <c r="I201" s="580"/>
      <c r="J201" s="579"/>
      <c r="K201" s="580"/>
      <c r="L201" s="580"/>
      <c r="M201" s="580"/>
      <c r="N201" s="578"/>
      <c r="O201" s="578"/>
      <c r="P201" s="580"/>
      <c r="Q201" s="580">
        <v>1</v>
      </c>
      <c r="R201" s="580">
        <f>VLOOKUP(B201,'MEMÓRIA MEDIÇÃO 11'!$A$4:$F$202,6,FALSE)</f>
        <v>0</v>
      </c>
      <c r="S201" s="578">
        <f t="shared" si="67"/>
        <v>1</v>
      </c>
      <c r="T201" s="593">
        <f t="shared" si="96"/>
        <v>0</v>
      </c>
      <c r="U201" s="593">
        <f t="shared" si="97"/>
        <v>1368.04</v>
      </c>
      <c r="V201" s="346">
        <f t="shared" si="87"/>
        <v>0</v>
      </c>
      <c r="W201" s="346">
        <f t="shared" si="88"/>
        <v>0</v>
      </c>
      <c r="X201" s="346">
        <f t="shared" si="89"/>
        <v>0</v>
      </c>
      <c r="Y201" s="346">
        <f t="shared" si="90"/>
        <v>0</v>
      </c>
      <c r="Z201" s="346">
        <f t="shared" si="91"/>
        <v>0</v>
      </c>
      <c r="AA201" s="346">
        <f t="shared" si="92"/>
        <v>0</v>
      </c>
      <c r="AB201" s="346">
        <f t="shared" si="93"/>
        <v>0</v>
      </c>
      <c r="AC201" s="346">
        <f t="shared" si="94"/>
        <v>0</v>
      </c>
      <c r="AD201" s="346">
        <f t="shared" si="95"/>
        <v>0</v>
      </c>
      <c r="AE201" s="346">
        <f t="shared" si="98"/>
        <v>1368.04</v>
      </c>
      <c r="AF201" s="346">
        <f t="shared" si="72"/>
        <v>0</v>
      </c>
      <c r="AG201" s="581">
        <f t="shared" si="73"/>
        <v>1368.04</v>
      </c>
      <c r="AH201" s="598">
        <f t="shared" si="99"/>
        <v>0</v>
      </c>
    </row>
    <row r="202" spans="2:34" s="167" customFormat="1" ht="30.6" customHeight="1" x14ac:dyDescent="0.25">
      <c r="B202" s="575" t="s">
        <v>1022</v>
      </c>
      <c r="C202" s="583" t="s">
        <v>1032</v>
      </c>
      <c r="D202" s="577" t="s">
        <v>1040</v>
      </c>
      <c r="E202" s="589" t="s">
        <v>166</v>
      </c>
      <c r="F202" s="578">
        <v>580.22</v>
      </c>
      <c r="G202" s="578">
        <v>1</v>
      </c>
      <c r="H202" s="580"/>
      <c r="I202" s="580"/>
      <c r="J202" s="579"/>
      <c r="K202" s="580"/>
      <c r="L202" s="580"/>
      <c r="M202" s="580"/>
      <c r="N202" s="578"/>
      <c r="O202" s="578"/>
      <c r="P202" s="580"/>
      <c r="Q202" s="580">
        <v>1</v>
      </c>
      <c r="R202" s="580">
        <f>VLOOKUP(B202,'MEMÓRIA MEDIÇÃO 11'!$A$4:$F$202,6,FALSE)</f>
        <v>0</v>
      </c>
      <c r="S202" s="578">
        <f t="shared" si="67"/>
        <v>1</v>
      </c>
      <c r="T202" s="593">
        <f t="shared" si="96"/>
        <v>0</v>
      </c>
      <c r="U202" s="593">
        <f t="shared" si="97"/>
        <v>580.22</v>
      </c>
      <c r="V202" s="346">
        <f t="shared" si="87"/>
        <v>0</v>
      </c>
      <c r="W202" s="346">
        <f t="shared" si="88"/>
        <v>0</v>
      </c>
      <c r="X202" s="346">
        <f t="shared" si="89"/>
        <v>0</v>
      </c>
      <c r="Y202" s="346">
        <f t="shared" si="90"/>
        <v>0</v>
      </c>
      <c r="Z202" s="346">
        <f t="shared" si="91"/>
        <v>0</v>
      </c>
      <c r="AA202" s="346">
        <f t="shared" si="92"/>
        <v>0</v>
      </c>
      <c r="AB202" s="346">
        <f t="shared" si="93"/>
        <v>0</v>
      </c>
      <c r="AC202" s="346">
        <f t="shared" si="94"/>
        <v>0</v>
      </c>
      <c r="AD202" s="346">
        <f t="shared" si="95"/>
        <v>0</v>
      </c>
      <c r="AE202" s="346">
        <f t="shared" si="98"/>
        <v>580.22</v>
      </c>
      <c r="AF202" s="346">
        <f t="shared" si="72"/>
        <v>0</v>
      </c>
      <c r="AG202" s="581">
        <f t="shared" si="73"/>
        <v>580.22</v>
      </c>
      <c r="AH202" s="598">
        <f t="shared" si="99"/>
        <v>0</v>
      </c>
    </row>
    <row r="203" spans="2:34" s="167" customFormat="1" ht="30.6" customHeight="1" x14ac:dyDescent="0.25">
      <c r="B203" s="575" t="s">
        <v>1023</v>
      </c>
      <c r="C203" s="583" t="s">
        <v>1033</v>
      </c>
      <c r="D203" s="577" t="s">
        <v>1041</v>
      </c>
      <c r="E203" s="589" t="s">
        <v>37</v>
      </c>
      <c r="F203" s="578">
        <v>67.069999999999993</v>
      </c>
      <c r="G203" s="578">
        <v>32</v>
      </c>
      <c r="H203" s="580"/>
      <c r="I203" s="580"/>
      <c r="J203" s="579"/>
      <c r="K203" s="580"/>
      <c r="L203" s="580"/>
      <c r="M203" s="580"/>
      <c r="N203" s="578"/>
      <c r="O203" s="578"/>
      <c r="P203" s="580"/>
      <c r="Q203" s="580"/>
      <c r="R203" s="580">
        <f>VLOOKUP(B203,'MEMÓRIA MEDIÇÃO 11'!$A$4:$F$202,6,FALSE)</f>
        <v>32</v>
      </c>
      <c r="S203" s="578">
        <f t="shared" si="67"/>
        <v>32</v>
      </c>
      <c r="T203" s="593">
        <f t="shared" si="96"/>
        <v>0</v>
      </c>
      <c r="U203" s="593">
        <f t="shared" si="97"/>
        <v>2146.2399999999998</v>
      </c>
      <c r="V203" s="346">
        <f t="shared" si="87"/>
        <v>0</v>
      </c>
      <c r="W203" s="346">
        <f t="shared" si="88"/>
        <v>0</v>
      </c>
      <c r="X203" s="346">
        <f t="shared" si="89"/>
        <v>0</v>
      </c>
      <c r="Y203" s="346">
        <f t="shared" si="90"/>
        <v>0</v>
      </c>
      <c r="Z203" s="346">
        <f t="shared" si="91"/>
        <v>0</v>
      </c>
      <c r="AA203" s="346">
        <f t="shared" si="92"/>
        <v>0</v>
      </c>
      <c r="AB203" s="346">
        <f t="shared" si="93"/>
        <v>0</v>
      </c>
      <c r="AC203" s="346">
        <f t="shared" si="94"/>
        <v>0</v>
      </c>
      <c r="AD203" s="346">
        <f t="shared" si="95"/>
        <v>0</v>
      </c>
      <c r="AE203" s="346">
        <f t="shared" si="98"/>
        <v>0</v>
      </c>
      <c r="AF203" s="346">
        <f t="shared" si="72"/>
        <v>2146.2399999999998</v>
      </c>
      <c r="AG203" s="581">
        <f t="shared" si="73"/>
        <v>2146.2399999999998</v>
      </c>
      <c r="AH203" s="598">
        <f t="shared" si="99"/>
        <v>0</v>
      </c>
    </row>
    <row r="204" spans="2:34" s="167" customFormat="1" ht="30.6" customHeight="1" x14ac:dyDescent="0.25">
      <c r="B204" s="575" t="s">
        <v>1024</v>
      </c>
      <c r="C204" s="583" t="s">
        <v>1034</v>
      </c>
      <c r="D204" s="577" t="s">
        <v>1042</v>
      </c>
      <c r="E204" s="589" t="s">
        <v>37</v>
      </c>
      <c r="F204" s="578">
        <v>87.41</v>
      </c>
      <c r="G204" s="578">
        <v>13</v>
      </c>
      <c r="H204" s="580"/>
      <c r="I204" s="580"/>
      <c r="J204" s="579"/>
      <c r="K204" s="580"/>
      <c r="L204" s="580"/>
      <c r="M204" s="580"/>
      <c r="N204" s="578"/>
      <c r="O204" s="578"/>
      <c r="P204" s="580"/>
      <c r="Q204" s="580"/>
      <c r="R204" s="580">
        <f>VLOOKUP(B204,'MEMÓRIA MEDIÇÃO 11'!$A$4:$F$202,6,FALSE)</f>
        <v>13</v>
      </c>
      <c r="S204" s="578">
        <f t="shared" si="67"/>
        <v>13</v>
      </c>
      <c r="T204" s="593">
        <f t="shared" si="96"/>
        <v>0</v>
      </c>
      <c r="U204" s="593">
        <f t="shared" si="97"/>
        <v>1136.33</v>
      </c>
      <c r="V204" s="346">
        <f t="shared" si="87"/>
        <v>0</v>
      </c>
      <c r="W204" s="346">
        <f t="shared" si="88"/>
        <v>0</v>
      </c>
      <c r="X204" s="346">
        <f t="shared" si="89"/>
        <v>0</v>
      </c>
      <c r="Y204" s="346">
        <f t="shared" si="90"/>
        <v>0</v>
      </c>
      <c r="Z204" s="346">
        <f t="shared" si="91"/>
        <v>0</v>
      </c>
      <c r="AA204" s="346">
        <f t="shared" si="92"/>
        <v>0</v>
      </c>
      <c r="AB204" s="346">
        <f t="shared" si="93"/>
        <v>0</v>
      </c>
      <c r="AC204" s="346">
        <f t="shared" si="94"/>
        <v>0</v>
      </c>
      <c r="AD204" s="346">
        <f t="shared" si="95"/>
        <v>0</v>
      </c>
      <c r="AE204" s="346">
        <f t="shared" si="98"/>
        <v>0</v>
      </c>
      <c r="AF204" s="346">
        <f t="shared" si="72"/>
        <v>1136.33</v>
      </c>
      <c r="AG204" s="581">
        <f t="shared" si="73"/>
        <v>1136.33</v>
      </c>
      <c r="AH204" s="598">
        <f t="shared" si="99"/>
        <v>0</v>
      </c>
    </row>
    <row r="205" spans="2:34" s="167" customFormat="1" ht="30.6" customHeight="1" x14ac:dyDescent="0.25">
      <c r="B205" s="575" t="s">
        <v>1025</v>
      </c>
      <c r="C205" s="583">
        <v>87887</v>
      </c>
      <c r="D205" s="577" t="s">
        <v>1043</v>
      </c>
      <c r="E205" s="589" t="s">
        <v>17</v>
      </c>
      <c r="F205" s="578">
        <v>14.94</v>
      </c>
      <c r="G205" s="578">
        <v>83.36</v>
      </c>
      <c r="H205" s="580"/>
      <c r="I205" s="580"/>
      <c r="J205" s="579"/>
      <c r="K205" s="580"/>
      <c r="L205" s="580"/>
      <c r="M205" s="580"/>
      <c r="N205" s="578"/>
      <c r="O205" s="578"/>
      <c r="P205" s="580"/>
      <c r="Q205" s="580">
        <v>37.43</v>
      </c>
      <c r="R205" s="580">
        <f>VLOOKUP(B205,'MEMÓRIA MEDIÇÃO 11'!$A$4:$F$202,6,FALSE)</f>
        <v>0</v>
      </c>
      <c r="S205" s="578">
        <f t="shared" si="67"/>
        <v>37.43</v>
      </c>
      <c r="T205" s="593">
        <f t="shared" si="96"/>
        <v>45.93</v>
      </c>
      <c r="U205" s="593">
        <f t="shared" si="97"/>
        <v>1245.3984</v>
      </c>
      <c r="V205" s="346">
        <f t="shared" si="87"/>
        <v>0</v>
      </c>
      <c r="W205" s="346">
        <f t="shared" si="88"/>
        <v>0</v>
      </c>
      <c r="X205" s="346">
        <f t="shared" si="89"/>
        <v>0</v>
      </c>
      <c r="Y205" s="346">
        <f t="shared" si="90"/>
        <v>0</v>
      </c>
      <c r="Z205" s="346">
        <f t="shared" si="91"/>
        <v>0</v>
      </c>
      <c r="AA205" s="346">
        <f t="shared" si="92"/>
        <v>0</v>
      </c>
      <c r="AB205" s="346">
        <f t="shared" si="93"/>
        <v>0</v>
      </c>
      <c r="AC205" s="346">
        <f t="shared" si="94"/>
        <v>0</v>
      </c>
      <c r="AD205" s="346">
        <f t="shared" si="95"/>
        <v>0</v>
      </c>
      <c r="AE205" s="346">
        <f t="shared" si="98"/>
        <v>559.20000000000005</v>
      </c>
      <c r="AF205" s="346">
        <f t="shared" si="72"/>
        <v>0</v>
      </c>
      <c r="AG205" s="581">
        <f t="shared" si="73"/>
        <v>559.20000000000005</v>
      </c>
      <c r="AH205" s="598">
        <f t="shared" si="99"/>
        <v>686.19839999999999</v>
      </c>
    </row>
    <row r="206" spans="2:34" s="167" customFormat="1" ht="30.6" customHeight="1" x14ac:dyDescent="0.25">
      <c r="B206" s="575" t="s">
        <v>1026</v>
      </c>
      <c r="C206" s="583">
        <v>90408</v>
      </c>
      <c r="D206" s="577" t="s">
        <v>1044</v>
      </c>
      <c r="E206" s="589" t="s">
        <v>17</v>
      </c>
      <c r="F206" s="578">
        <v>30.5</v>
      </c>
      <c r="G206" s="578">
        <v>85.97</v>
      </c>
      <c r="H206" s="580"/>
      <c r="I206" s="580"/>
      <c r="J206" s="579"/>
      <c r="K206" s="580"/>
      <c r="L206" s="580"/>
      <c r="M206" s="580"/>
      <c r="N206" s="578"/>
      <c r="O206" s="578"/>
      <c r="P206" s="580"/>
      <c r="Q206" s="580">
        <v>37.43</v>
      </c>
      <c r="R206" s="580">
        <f>VLOOKUP(B206,'MEMÓRIA MEDIÇÃO 11'!$A$4:$F$202,6,FALSE)</f>
        <v>0</v>
      </c>
      <c r="S206" s="578">
        <f t="shared" si="67"/>
        <v>37.43</v>
      </c>
      <c r="T206" s="593">
        <f t="shared" si="96"/>
        <v>48.54</v>
      </c>
      <c r="U206" s="593">
        <f t="shared" si="97"/>
        <v>2622.085</v>
      </c>
      <c r="V206" s="346">
        <f t="shared" si="87"/>
        <v>0</v>
      </c>
      <c r="W206" s="346">
        <f t="shared" si="88"/>
        <v>0</v>
      </c>
      <c r="X206" s="346">
        <f t="shared" si="89"/>
        <v>0</v>
      </c>
      <c r="Y206" s="346">
        <f t="shared" si="90"/>
        <v>0</v>
      </c>
      <c r="Z206" s="346">
        <f t="shared" si="91"/>
        <v>0</v>
      </c>
      <c r="AA206" s="346">
        <f t="shared" si="92"/>
        <v>0</v>
      </c>
      <c r="AB206" s="346">
        <f t="shared" si="93"/>
        <v>0</v>
      </c>
      <c r="AC206" s="346">
        <f t="shared" si="94"/>
        <v>0</v>
      </c>
      <c r="AD206" s="346">
        <f t="shared" si="95"/>
        <v>0</v>
      </c>
      <c r="AE206" s="346">
        <f t="shared" si="98"/>
        <v>1141.6099999999999</v>
      </c>
      <c r="AF206" s="346">
        <f t="shared" si="72"/>
        <v>0</v>
      </c>
      <c r="AG206" s="581">
        <f t="shared" si="73"/>
        <v>1141.6099999999999</v>
      </c>
      <c r="AH206" s="598">
        <f t="shared" si="99"/>
        <v>1480.4750000000001</v>
      </c>
    </row>
    <row r="207" spans="2:34" s="167" customFormat="1" ht="30.6" customHeight="1" x14ac:dyDescent="0.25">
      <c r="B207" s="575" t="s">
        <v>1027</v>
      </c>
      <c r="C207" s="583">
        <v>88494</v>
      </c>
      <c r="D207" s="577" t="s">
        <v>204</v>
      </c>
      <c r="E207" s="589" t="s">
        <v>17</v>
      </c>
      <c r="F207" s="578">
        <v>18.88</v>
      </c>
      <c r="G207" s="578">
        <v>88.58</v>
      </c>
      <c r="H207" s="580"/>
      <c r="I207" s="580"/>
      <c r="J207" s="579"/>
      <c r="K207" s="580"/>
      <c r="L207" s="580"/>
      <c r="M207" s="580"/>
      <c r="N207" s="578"/>
      <c r="O207" s="578"/>
      <c r="P207" s="580"/>
      <c r="Q207" s="580"/>
      <c r="R207" s="580">
        <f>VLOOKUP(B207,'MEMÓRIA MEDIÇÃO 11'!$A$4:$F$202,6,FALSE)</f>
        <v>0</v>
      </c>
      <c r="S207" s="578">
        <f t="shared" ref="S207:S208" si="100">H207+I207+J207+K207+L207+M207+N207+O207+P207+Q207+R207</f>
        <v>0</v>
      </c>
      <c r="T207" s="593">
        <f t="shared" si="96"/>
        <v>88.58</v>
      </c>
      <c r="U207" s="593">
        <f t="shared" si="97"/>
        <v>1672.3903999999998</v>
      </c>
      <c r="V207" s="346">
        <f t="shared" si="87"/>
        <v>0</v>
      </c>
      <c r="W207" s="346">
        <f t="shared" si="88"/>
        <v>0</v>
      </c>
      <c r="X207" s="346">
        <f t="shared" si="89"/>
        <v>0</v>
      </c>
      <c r="Y207" s="346">
        <f t="shared" si="90"/>
        <v>0</v>
      </c>
      <c r="Z207" s="346">
        <f t="shared" si="91"/>
        <v>0</v>
      </c>
      <c r="AA207" s="346">
        <f t="shared" si="92"/>
        <v>0</v>
      </c>
      <c r="AB207" s="346">
        <f t="shared" si="93"/>
        <v>0</v>
      </c>
      <c r="AC207" s="346">
        <f t="shared" si="94"/>
        <v>0</v>
      </c>
      <c r="AD207" s="346">
        <f t="shared" si="95"/>
        <v>0</v>
      </c>
      <c r="AE207" s="346">
        <f t="shared" si="98"/>
        <v>0</v>
      </c>
      <c r="AF207" s="346">
        <f t="shared" ref="AF207:AF208" si="101">ROUND(R207*F207,2)</f>
        <v>0</v>
      </c>
      <c r="AG207" s="581">
        <f t="shared" ref="AG207:AG208" si="102">V207+W207+X207+Y207+Z207+AA207+AB207+AC207+AD207+AE207+AF207</f>
        <v>0</v>
      </c>
      <c r="AH207" s="598">
        <f t="shared" si="99"/>
        <v>1672.3903999999998</v>
      </c>
    </row>
    <row r="208" spans="2:34" s="167" customFormat="1" ht="30.6" customHeight="1" thickBot="1" x14ac:dyDescent="0.3">
      <c r="B208" s="604" t="s">
        <v>1028</v>
      </c>
      <c r="C208" s="605">
        <v>88486</v>
      </c>
      <c r="D208" s="606" t="s">
        <v>1045</v>
      </c>
      <c r="E208" s="607" t="s">
        <v>17</v>
      </c>
      <c r="F208" s="593">
        <v>12.17</v>
      </c>
      <c r="G208" s="593">
        <v>88.58</v>
      </c>
      <c r="H208" s="580"/>
      <c r="I208" s="580"/>
      <c r="J208" s="579"/>
      <c r="K208" s="580"/>
      <c r="L208" s="580"/>
      <c r="M208" s="580"/>
      <c r="N208" s="578"/>
      <c r="O208" s="578"/>
      <c r="P208" s="580"/>
      <c r="Q208" s="580"/>
      <c r="R208" s="580">
        <f>VLOOKUP(B208,'MEMÓRIA MEDIÇÃO 11'!$A$4:$F$202,6,FALSE)</f>
        <v>0</v>
      </c>
      <c r="S208" s="578">
        <f t="shared" si="100"/>
        <v>0</v>
      </c>
      <c r="T208" s="593">
        <f t="shared" si="96"/>
        <v>88.58</v>
      </c>
      <c r="U208" s="593">
        <f t="shared" si="97"/>
        <v>1078.0185999999999</v>
      </c>
      <c r="V208" s="346">
        <f t="shared" si="87"/>
        <v>0</v>
      </c>
      <c r="W208" s="346">
        <f t="shared" si="88"/>
        <v>0</v>
      </c>
      <c r="X208" s="346">
        <f t="shared" si="89"/>
        <v>0</v>
      </c>
      <c r="Y208" s="346">
        <f t="shared" si="90"/>
        <v>0</v>
      </c>
      <c r="Z208" s="346">
        <f t="shared" si="91"/>
        <v>0</v>
      </c>
      <c r="AA208" s="346">
        <f t="shared" si="92"/>
        <v>0</v>
      </c>
      <c r="AB208" s="346">
        <f t="shared" si="93"/>
        <v>0</v>
      </c>
      <c r="AC208" s="346">
        <f t="shared" si="94"/>
        <v>0</v>
      </c>
      <c r="AD208" s="346">
        <f t="shared" si="95"/>
        <v>0</v>
      </c>
      <c r="AE208" s="346">
        <f t="shared" si="98"/>
        <v>0</v>
      </c>
      <c r="AF208" s="346">
        <f t="shared" si="101"/>
        <v>0</v>
      </c>
      <c r="AG208" s="581">
        <f t="shared" si="102"/>
        <v>0</v>
      </c>
      <c r="AH208" s="598">
        <f t="shared" si="99"/>
        <v>1078.0185999999999</v>
      </c>
    </row>
    <row r="209" spans="2:36" ht="15.75" thickBot="1" x14ac:dyDescent="0.3">
      <c r="B209" s="167"/>
      <c r="C209" s="167"/>
      <c r="D209" s="167"/>
      <c r="E209" s="231"/>
      <c r="F209" s="231"/>
      <c r="G209" s="231"/>
      <c r="H209" s="195"/>
      <c r="I209" s="230"/>
      <c r="J209" s="230"/>
      <c r="K209" s="230"/>
      <c r="L209" s="230"/>
      <c r="M209" s="230"/>
      <c r="N209" s="230"/>
      <c r="O209" s="230"/>
      <c r="P209" s="230"/>
      <c r="Q209" s="231"/>
      <c r="R209" s="231"/>
      <c r="S209" s="231"/>
      <c r="T209" s="232"/>
      <c r="U209" s="233">
        <f>SUM(U14:U208)</f>
        <v>1382014.517357999</v>
      </c>
      <c r="V209" s="233">
        <f t="shared" ref="V209:Z209" si="103">SUM(V14:V195)</f>
        <v>66571.964737500006</v>
      </c>
      <c r="W209" s="233">
        <f t="shared" si="103"/>
        <v>61443.00776244999</v>
      </c>
      <c r="X209" s="233">
        <f t="shared" si="103"/>
        <v>66865.073129099997</v>
      </c>
      <c r="Y209" s="233">
        <f t="shared" si="103"/>
        <v>79712.63</v>
      </c>
      <c r="Z209" s="233">
        <f t="shared" si="103"/>
        <v>103177.48000000005</v>
      </c>
      <c r="AA209" s="208">
        <f>SUM(AA12:AA195)</f>
        <v>70347.038280000008</v>
      </c>
      <c r="AB209" s="233">
        <f>SUM(AB14:AB195)</f>
        <v>40632.783196400007</v>
      </c>
      <c r="AC209" s="233">
        <f>SUM(AC14:AC195)</f>
        <v>68231.630000000019</v>
      </c>
      <c r="AD209" s="233">
        <f>SUM(AD12:AD195)</f>
        <v>31441.260000000006</v>
      </c>
      <c r="AE209" s="233">
        <f>SUM(AE14:AE208)</f>
        <v>102367.23999999998</v>
      </c>
      <c r="AF209" s="233">
        <f>SUM(AF14:AF208)</f>
        <v>125103.41000000003</v>
      </c>
      <c r="AG209" s="233">
        <f>SUM(AG14:AG208)</f>
        <v>815893.51710544981</v>
      </c>
      <c r="AH209" s="233">
        <f>U209-AG209</f>
        <v>566121.00025254919</v>
      </c>
    </row>
    <row r="210" spans="2:36" ht="15.75" thickBot="1" x14ac:dyDescent="0.3">
      <c r="T210" s="79"/>
      <c r="U210" s="527" t="s">
        <v>546</v>
      </c>
      <c r="V210" s="527" t="s">
        <v>547</v>
      </c>
      <c r="W210" s="527" t="s">
        <v>549</v>
      </c>
      <c r="X210" s="527" t="s">
        <v>550</v>
      </c>
      <c r="Y210" s="527" t="s">
        <v>551</v>
      </c>
      <c r="Z210" s="527" t="s">
        <v>552</v>
      </c>
      <c r="AA210" s="527" t="s">
        <v>553</v>
      </c>
      <c r="AB210" s="527" t="s">
        <v>554</v>
      </c>
      <c r="AC210" s="527" t="s">
        <v>990</v>
      </c>
      <c r="AD210" s="527" t="s">
        <v>991</v>
      </c>
      <c r="AE210" s="529" t="s">
        <v>1029</v>
      </c>
      <c r="AF210" s="529" t="s">
        <v>1091</v>
      </c>
      <c r="AG210" s="528" t="s">
        <v>548</v>
      </c>
      <c r="AH210" s="527" t="s">
        <v>541</v>
      </c>
    </row>
    <row r="211" spans="2:36" ht="24" customHeight="1" thickBot="1" x14ac:dyDescent="0.3">
      <c r="T211" s="79"/>
      <c r="U211" s="527"/>
      <c r="V211" s="527"/>
      <c r="W211" s="527"/>
      <c r="X211" s="527"/>
      <c r="Y211" s="527"/>
      <c r="Z211" s="527"/>
      <c r="AA211" s="527"/>
      <c r="AB211" s="527"/>
      <c r="AC211" s="527"/>
      <c r="AD211" s="527"/>
      <c r="AE211" s="530"/>
      <c r="AF211" s="530"/>
      <c r="AG211" s="528"/>
      <c r="AH211" s="527"/>
    </row>
    <row r="212" spans="2:36" x14ac:dyDescent="0.25">
      <c r="T212"/>
    </row>
    <row r="213" spans="2:36" x14ac:dyDescent="0.25">
      <c r="T213"/>
    </row>
    <row r="214" spans="2:36" x14ac:dyDescent="0.25">
      <c r="T214"/>
    </row>
    <row r="215" spans="2:36" x14ac:dyDescent="0.25">
      <c r="T215"/>
    </row>
    <row r="216" spans="2:36" x14ac:dyDescent="0.25">
      <c r="T216"/>
    </row>
    <row r="217" spans="2:36" x14ac:dyDescent="0.25">
      <c r="T217"/>
    </row>
    <row r="224" spans="2:36" x14ac:dyDescent="0.25">
      <c r="D224" s="615" t="s">
        <v>1092</v>
      </c>
      <c r="E224" s="615"/>
      <c r="F224" s="615"/>
      <c r="G224" s="616"/>
      <c r="R224" s="613" t="s">
        <v>1093</v>
      </c>
      <c r="S224" s="613"/>
      <c r="T224" s="613"/>
      <c r="U224" s="613"/>
      <c r="V224" s="614"/>
      <c r="W224" s="614"/>
      <c r="AF224" s="613" t="s">
        <v>1094</v>
      </c>
      <c r="AG224" s="613"/>
      <c r="AH224" s="613"/>
      <c r="AI224" s="614"/>
      <c r="AJ224" s="614"/>
    </row>
    <row r="225" spans="4:36" x14ac:dyDescent="0.25">
      <c r="D225" s="615" t="s">
        <v>1095</v>
      </c>
      <c r="E225" s="615"/>
      <c r="F225" s="615"/>
      <c r="G225" s="616"/>
      <c r="R225" s="613" t="s">
        <v>1096</v>
      </c>
      <c r="S225" s="613"/>
      <c r="T225" s="613"/>
      <c r="U225" s="613"/>
      <c r="V225" s="614"/>
      <c r="W225" s="614"/>
      <c r="AF225" s="613" t="s">
        <v>1097</v>
      </c>
      <c r="AG225" s="613"/>
      <c r="AH225" s="613"/>
      <c r="AI225" s="614"/>
      <c r="AJ225" s="614"/>
    </row>
  </sheetData>
  <mergeCells count="36">
    <mergeCell ref="AF224:AH224"/>
    <mergeCell ref="AF225:AH225"/>
    <mergeCell ref="R224:U224"/>
    <mergeCell ref="R225:U225"/>
    <mergeCell ref="D224:F224"/>
    <mergeCell ref="D225:F225"/>
    <mergeCell ref="G10:T10"/>
    <mergeCell ref="B2:AH2"/>
    <mergeCell ref="B4:N4"/>
    <mergeCell ref="U4:AB4"/>
    <mergeCell ref="B6:D6"/>
    <mergeCell ref="E6:N6"/>
    <mergeCell ref="S6:AB6"/>
    <mergeCell ref="B8:C8"/>
    <mergeCell ref="U8:AB8"/>
    <mergeCell ref="B10:B11"/>
    <mergeCell ref="C10:C11"/>
    <mergeCell ref="D10:D11"/>
    <mergeCell ref="E10:E11"/>
    <mergeCell ref="F10:F11"/>
    <mergeCell ref="AE3:AH8"/>
    <mergeCell ref="AH210:AH211"/>
    <mergeCell ref="U10:AH10"/>
    <mergeCell ref="U210:U211"/>
    <mergeCell ref="V210:V211"/>
    <mergeCell ref="W210:W211"/>
    <mergeCell ref="X210:X211"/>
    <mergeCell ref="Y210:Y211"/>
    <mergeCell ref="Z210:Z211"/>
    <mergeCell ref="AA210:AA211"/>
    <mergeCell ref="AB210:AB211"/>
    <mergeCell ref="AG210:AG211"/>
    <mergeCell ref="AC210:AC211"/>
    <mergeCell ref="AD210:AD211"/>
    <mergeCell ref="AE210:AE211"/>
    <mergeCell ref="AF210:AF211"/>
  </mergeCells>
  <phoneticPr fontId="20" type="noConversion"/>
  <pageMargins left="0.511811024" right="0.511811024" top="0.78740157499999996" bottom="0.78740157499999996" header="0.31496062000000002" footer="0.31496062000000002"/>
  <pageSetup paperSize="9" scale="56" fitToHeight="0" orientation="landscape" r:id="rId1"/>
  <ignoredErrors>
    <ignoredError sqref="C203:C20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ACB0-B694-42CE-A5AF-A7C17777A871}">
  <sheetPr>
    <pageSetUpPr fitToPage="1"/>
  </sheetPr>
  <dimension ref="A2:AC205"/>
  <sheetViews>
    <sheetView view="pageBreakPreview" topLeftCell="A196" zoomScale="90" zoomScaleNormal="85" zoomScaleSheetLayoutView="90" workbookViewId="0">
      <selection activeCell="F199" sqref="F199"/>
    </sheetView>
  </sheetViews>
  <sheetFormatPr defaultRowHeight="15" x14ac:dyDescent="0.25"/>
  <cols>
    <col min="1" max="1" width="6.28515625" customWidth="1"/>
    <col min="2" max="2" width="11.85546875" customWidth="1"/>
    <col min="3" max="3" width="59.140625" customWidth="1"/>
    <col min="4" max="4" width="7.140625" customWidth="1"/>
    <col min="5" max="5" width="52.42578125" customWidth="1"/>
    <col min="6" max="6" width="15.42578125" customWidth="1"/>
  </cols>
  <sheetData>
    <row r="2" spans="1:7" ht="20.25" x14ac:dyDescent="0.25">
      <c r="A2" s="563" t="s">
        <v>1088</v>
      </c>
      <c r="B2" s="564"/>
      <c r="C2" s="564"/>
      <c r="D2" s="564"/>
      <c r="E2" s="564"/>
      <c r="F2" s="564"/>
    </row>
    <row r="3" spans="1:7" ht="23.25" thickBot="1" x14ac:dyDescent="0.3">
      <c r="A3" s="24"/>
      <c r="B3" s="25" t="s">
        <v>525</v>
      </c>
      <c r="C3" s="26"/>
      <c r="D3" s="26"/>
    </row>
    <row r="4" spans="1:7" x14ac:dyDescent="0.25">
      <c r="A4" s="456" t="s">
        <v>526</v>
      </c>
      <c r="B4" s="456" t="s">
        <v>527</v>
      </c>
      <c r="C4" s="458" t="s">
        <v>528</v>
      </c>
      <c r="D4" s="456" t="s">
        <v>529</v>
      </c>
      <c r="E4" s="460" t="s">
        <v>1090</v>
      </c>
      <c r="F4" s="460" t="s">
        <v>563</v>
      </c>
    </row>
    <row r="5" spans="1:7" x14ac:dyDescent="0.25">
      <c r="A5" s="457"/>
      <c r="B5" s="457"/>
      <c r="C5" s="459"/>
      <c r="D5" s="457"/>
      <c r="E5" s="457"/>
      <c r="F5" s="457"/>
    </row>
    <row r="6" spans="1:7" ht="14.45" customHeight="1" x14ac:dyDescent="0.25">
      <c r="A6" s="565">
        <v>1</v>
      </c>
      <c r="B6" s="566" t="s">
        <v>10</v>
      </c>
      <c r="C6" s="567"/>
      <c r="D6" s="568"/>
      <c r="E6" s="608"/>
      <c r="F6" s="608"/>
    </row>
    <row r="7" spans="1:7" x14ac:dyDescent="0.25">
      <c r="A7" s="565">
        <v>1.1000000000000001</v>
      </c>
      <c r="B7" s="566" t="s">
        <v>12</v>
      </c>
      <c r="C7" s="567"/>
      <c r="D7" s="568"/>
      <c r="E7" s="609"/>
      <c r="F7" s="609"/>
    </row>
    <row r="8" spans="1:7" ht="22.5" x14ac:dyDescent="0.25">
      <c r="A8" s="575" t="s">
        <v>13</v>
      </c>
      <c r="B8" s="576" t="s">
        <v>14</v>
      </c>
      <c r="C8" s="577" t="s">
        <v>15</v>
      </c>
      <c r="D8" s="578" t="s">
        <v>17</v>
      </c>
      <c r="E8" s="609"/>
      <c r="F8" s="609"/>
    </row>
    <row r="9" spans="1:7" ht="22.5" x14ac:dyDescent="0.25">
      <c r="A9" s="575" t="s">
        <v>18</v>
      </c>
      <c r="B9" s="576">
        <v>93209</v>
      </c>
      <c r="C9" s="577" t="s">
        <v>20</v>
      </c>
      <c r="D9" s="578" t="s">
        <v>17</v>
      </c>
      <c r="E9" s="609"/>
      <c r="F9" s="609"/>
    </row>
    <row r="10" spans="1:7" ht="33.75" x14ac:dyDescent="0.25">
      <c r="A10" s="575" t="s">
        <v>22</v>
      </c>
      <c r="B10" s="576">
        <v>93206</v>
      </c>
      <c r="C10" s="577" t="s">
        <v>23</v>
      </c>
      <c r="D10" s="578" t="s">
        <v>17</v>
      </c>
      <c r="E10" s="609"/>
      <c r="F10" s="609"/>
    </row>
    <row r="11" spans="1:7" ht="22.5" x14ac:dyDescent="0.25">
      <c r="A11" s="575" t="s">
        <v>24</v>
      </c>
      <c r="B11" s="576" t="s">
        <v>25</v>
      </c>
      <c r="C11" s="577" t="s">
        <v>26</v>
      </c>
      <c r="D11" s="578" t="s">
        <v>17</v>
      </c>
      <c r="E11" s="609"/>
      <c r="F11" s="609"/>
    </row>
    <row r="12" spans="1:7" s="164" customFormat="1" ht="22.5" x14ac:dyDescent="0.25">
      <c r="A12" s="575" t="s">
        <v>27</v>
      </c>
      <c r="B12" s="576">
        <v>98524</v>
      </c>
      <c r="C12" s="577" t="s">
        <v>28</v>
      </c>
      <c r="D12" s="578" t="s">
        <v>17</v>
      </c>
      <c r="E12" s="610"/>
      <c r="F12" s="610"/>
    </row>
    <row r="13" spans="1:7" s="164" customFormat="1" ht="22.5" x14ac:dyDescent="0.25">
      <c r="A13" s="575" t="s">
        <v>29</v>
      </c>
      <c r="B13" s="583">
        <v>100575</v>
      </c>
      <c r="C13" s="577" t="s">
        <v>31</v>
      </c>
      <c r="D13" s="578" t="s">
        <v>17</v>
      </c>
      <c r="E13" s="610"/>
      <c r="F13" s="610"/>
    </row>
    <row r="14" spans="1:7" ht="14.45" customHeight="1" x14ac:dyDescent="0.25">
      <c r="A14" s="584" t="s">
        <v>32</v>
      </c>
      <c r="B14" s="585" t="s">
        <v>33</v>
      </c>
      <c r="C14" s="577"/>
      <c r="D14" s="578"/>
      <c r="E14" s="609"/>
      <c r="F14" s="609"/>
    </row>
    <row r="15" spans="1:7" ht="32.450000000000003" customHeight="1" x14ac:dyDescent="0.25">
      <c r="A15" s="575" t="s">
        <v>34</v>
      </c>
      <c r="B15" s="583">
        <v>99059</v>
      </c>
      <c r="C15" s="577" t="s">
        <v>36</v>
      </c>
      <c r="D15" s="578" t="s">
        <v>37</v>
      </c>
      <c r="E15" s="609"/>
      <c r="F15" s="609"/>
    </row>
    <row r="16" spans="1:7" s="168" customFormat="1" ht="22.5" x14ac:dyDescent="0.25">
      <c r="A16" s="586" t="s">
        <v>38</v>
      </c>
      <c r="B16" s="583">
        <v>93358</v>
      </c>
      <c r="C16" s="577" t="s">
        <v>40</v>
      </c>
      <c r="D16" s="578" t="s">
        <v>41</v>
      </c>
      <c r="E16" s="611"/>
      <c r="F16" s="611"/>
      <c r="G16" s="163"/>
    </row>
    <row r="17" spans="1:7" s="168" customFormat="1" x14ac:dyDescent="0.25">
      <c r="A17" s="575" t="s">
        <v>42</v>
      </c>
      <c r="B17" s="583">
        <v>96995</v>
      </c>
      <c r="C17" s="577" t="s">
        <v>44</v>
      </c>
      <c r="D17" s="578" t="s">
        <v>41</v>
      </c>
      <c r="E17" s="611"/>
      <c r="F17" s="611"/>
      <c r="G17" s="163"/>
    </row>
    <row r="18" spans="1:7" s="169" customFormat="1" ht="22.5" x14ac:dyDescent="0.25">
      <c r="A18" s="575" t="s">
        <v>45</v>
      </c>
      <c r="B18" s="583">
        <v>94319</v>
      </c>
      <c r="C18" s="577" t="s">
        <v>47</v>
      </c>
      <c r="D18" s="578" t="s">
        <v>41</v>
      </c>
      <c r="E18" s="610"/>
      <c r="F18" s="610"/>
      <c r="G18" s="164"/>
    </row>
    <row r="19" spans="1:7" s="167" customFormat="1" x14ac:dyDescent="0.25">
      <c r="A19" s="584" t="s">
        <v>48</v>
      </c>
      <c r="B19" s="585" t="s">
        <v>49</v>
      </c>
      <c r="C19" s="577"/>
      <c r="D19" s="578"/>
      <c r="E19" s="609"/>
      <c r="F19" s="609"/>
      <c r="G19"/>
    </row>
    <row r="20" spans="1:7" s="168" customFormat="1" ht="43.15" customHeight="1" x14ac:dyDescent="0.25">
      <c r="A20" s="575" t="s">
        <v>50</v>
      </c>
      <c r="B20" s="576" t="s">
        <v>51</v>
      </c>
      <c r="C20" s="577" t="s">
        <v>52</v>
      </c>
      <c r="D20" s="578" t="s">
        <v>41</v>
      </c>
      <c r="E20" s="611"/>
      <c r="F20" s="611"/>
      <c r="G20" s="163"/>
    </row>
    <row r="21" spans="1:7" ht="25.15" customHeight="1" x14ac:dyDescent="0.25">
      <c r="A21" s="575" t="s">
        <v>53</v>
      </c>
      <c r="B21" s="583">
        <v>101616</v>
      </c>
      <c r="C21" s="577" t="s">
        <v>55</v>
      </c>
      <c r="D21" s="578" t="s">
        <v>17</v>
      </c>
      <c r="E21" s="609"/>
      <c r="F21" s="609"/>
    </row>
    <row r="22" spans="1:7" s="164" customFormat="1" ht="30" customHeight="1" x14ac:dyDescent="0.25">
      <c r="A22" s="575" t="s">
        <v>56</v>
      </c>
      <c r="B22" s="583">
        <v>96619</v>
      </c>
      <c r="C22" s="587" t="s">
        <v>58</v>
      </c>
      <c r="D22" s="578" t="s">
        <v>17</v>
      </c>
      <c r="E22" s="610"/>
      <c r="F22" s="610"/>
    </row>
    <row r="23" spans="1:7" s="163" customFormat="1" ht="22.5" x14ac:dyDescent="0.25">
      <c r="A23" s="575" t="s">
        <v>59</v>
      </c>
      <c r="B23" s="583">
        <v>96545</v>
      </c>
      <c r="C23" s="577" t="s">
        <v>61</v>
      </c>
      <c r="D23" s="578" t="s">
        <v>62</v>
      </c>
      <c r="E23" s="611"/>
      <c r="F23" s="611"/>
    </row>
    <row r="24" spans="1:7" s="163" customFormat="1" ht="33.75" x14ac:dyDescent="0.25">
      <c r="A24" s="575" t="s">
        <v>63</v>
      </c>
      <c r="B24" s="583">
        <v>94966</v>
      </c>
      <c r="C24" s="577" t="s">
        <v>65</v>
      </c>
      <c r="D24" s="578" t="s">
        <v>41</v>
      </c>
      <c r="E24" s="611"/>
      <c r="F24" s="611"/>
    </row>
    <row r="25" spans="1:7" ht="33.75" x14ac:dyDescent="0.25">
      <c r="A25" s="575" t="s">
        <v>66</v>
      </c>
      <c r="B25" s="583">
        <v>94964</v>
      </c>
      <c r="C25" s="577" t="s">
        <v>68</v>
      </c>
      <c r="D25" s="578" t="s">
        <v>41</v>
      </c>
      <c r="E25" s="609"/>
      <c r="F25" s="609"/>
    </row>
    <row r="26" spans="1:7" s="163" customFormat="1" ht="22.5" x14ac:dyDescent="0.25">
      <c r="A26" s="575" t="s">
        <v>69</v>
      </c>
      <c r="B26" s="583">
        <v>103670</v>
      </c>
      <c r="C26" s="577" t="s">
        <v>71</v>
      </c>
      <c r="D26" s="578" t="s">
        <v>41</v>
      </c>
      <c r="E26" s="611"/>
      <c r="F26" s="611"/>
    </row>
    <row r="27" spans="1:7" s="163" customFormat="1" ht="22.5" x14ac:dyDescent="0.25">
      <c r="A27" s="575" t="s">
        <v>72</v>
      </c>
      <c r="B27" s="583">
        <v>96543</v>
      </c>
      <c r="C27" s="577" t="s">
        <v>74</v>
      </c>
      <c r="D27" s="578" t="s">
        <v>62</v>
      </c>
      <c r="E27" s="611"/>
      <c r="F27" s="611"/>
    </row>
    <row r="28" spans="1:7" ht="22.5" x14ac:dyDescent="0.25">
      <c r="A28" s="575" t="s">
        <v>75</v>
      </c>
      <c r="B28" s="583">
        <v>96544</v>
      </c>
      <c r="C28" s="577" t="s">
        <v>77</v>
      </c>
      <c r="D28" s="578" t="s">
        <v>62</v>
      </c>
      <c r="E28" s="609"/>
      <c r="F28" s="609"/>
      <c r="G28" s="164"/>
    </row>
    <row r="29" spans="1:7" ht="22.5" x14ac:dyDescent="0.25">
      <c r="A29" s="575" t="s">
        <v>78</v>
      </c>
      <c r="B29" s="583">
        <v>96546</v>
      </c>
      <c r="C29" s="577" t="s">
        <v>80</v>
      </c>
      <c r="D29" s="578" t="s">
        <v>62</v>
      </c>
      <c r="E29" s="609"/>
      <c r="F29" s="609"/>
    </row>
    <row r="30" spans="1:7" s="163" customFormat="1" ht="22.5" x14ac:dyDescent="0.25">
      <c r="A30" s="575" t="s">
        <v>81</v>
      </c>
      <c r="B30" s="583">
        <v>96547</v>
      </c>
      <c r="C30" s="577" t="s">
        <v>83</v>
      </c>
      <c r="D30" s="578" t="s">
        <v>62</v>
      </c>
      <c r="E30" s="611"/>
      <c r="F30" s="611"/>
    </row>
    <row r="31" spans="1:7" s="163" customFormat="1" ht="33.75" x14ac:dyDescent="0.25">
      <c r="A31" s="575" t="s">
        <v>84</v>
      </c>
      <c r="B31" s="583">
        <v>96536</v>
      </c>
      <c r="C31" s="577" t="s">
        <v>86</v>
      </c>
      <c r="D31" s="578" t="s">
        <v>17</v>
      </c>
      <c r="E31" s="611"/>
      <c r="F31" s="611"/>
    </row>
    <row r="32" spans="1:7" s="164" customFormat="1" ht="22.5" x14ac:dyDescent="0.25">
      <c r="A32" s="575" t="s">
        <v>87</v>
      </c>
      <c r="B32" s="583">
        <v>98557</v>
      </c>
      <c r="C32" s="577" t="s">
        <v>89</v>
      </c>
      <c r="D32" s="578" t="s">
        <v>17</v>
      </c>
      <c r="E32" s="610"/>
      <c r="F32" s="610"/>
    </row>
    <row r="33" spans="1:6" x14ac:dyDescent="0.25">
      <c r="A33" s="584" t="s">
        <v>90</v>
      </c>
      <c r="B33" s="585" t="s">
        <v>91</v>
      </c>
      <c r="C33" s="577"/>
      <c r="D33" s="578"/>
      <c r="E33" s="609"/>
      <c r="F33" s="609"/>
    </row>
    <row r="34" spans="1:6" s="164" customFormat="1" ht="45" x14ac:dyDescent="0.35">
      <c r="A34" s="575" t="s">
        <v>92</v>
      </c>
      <c r="B34" s="583">
        <v>92443</v>
      </c>
      <c r="C34" s="577" t="s">
        <v>94</v>
      </c>
      <c r="D34" s="578" t="s">
        <v>17</v>
      </c>
      <c r="E34" s="610"/>
      <c r="F34" s="612"/>
    </row>
    <row r="35" spans="1:6" s="169" customFormat="1" ht="33.75" x14ac:dyDescent="0.25">
      <c r="A35" s="575" t="s">
        <v>95</v>
      </c>
      <c r="B35" s="583">
        <v>92480</v>
      </c>
      <c r="C35" s="587" t="s">
        <v>97</v>
      </c>
      <c r="D35" s="578" t="s">
        <v>17</v>
      </c>
      <c r="E35" s="610"/>
      <c r="F35" s="610"/>
    </row>
    <row r="36" spans="1:6" s="169" customFormat="1" ht="22.5" x14ac:dyDescent="0.25">
      <c r="A36" s="575" t="s">
        <v>98</v>
      </c>
      <c r="B36" s="583">
        <v>92267</v>
      </c>
      <c r="C36" s="577" t="s">
        <v>100</v>
      </c>
      <c r="D36" s="578" t="s">
        <v>17</v>
      </c>
      <c r="E36" s="610"/>
      <c r="F36" s="610"/>
    </row>
    <row r="37" spans="1:6" s="169" customFormat="1" ht="33.75" x14ac:dyDescent="0.25">
      <c r="A37" s="575" t="s">
        <v>101</v>
      </c>
      <c r="B37" s="583">
        <v>92759</v>
      </c>
      <c r="C37" s="577" t="s">
        <v>103</v>
      </c>
      <c r="D37" s="578" t="s">
        <v>62</v>
      </c>
      <c r="E37" s="610"/>
      <c r="F37" s="610"/>
    </row>
    <row r="38" spans="1:6" s="169" customFormat="1" ht="33.75" x14ac:dyDescent="0.25">
      <c r="A38" s="575" t="s">
        <v>104</v>
      </c>
      <c r="B38" s="583">
        <v>92760</v>
      </c>
      <c r="C38" s="577" t="s">
        <v>106</v>
      </c>
      <c r="D38" s="578" t="s">
        <v>62</v>
      </c>
      <c r="E38" s="610"/>
      <c r="F38" s="610"/>
    </row>
    <row r="39" spans="1:6" s="167" customFormat="1" ht="33.75" x14ac:dyDescent="0.25">
      <c r="A39" s="575" t="s">
        <v>107</v>
      </c>
      <c r="B39" s="583">
        <v>92761</v>
      </c>
      <c r="C39" s="577" t="s">
        <v>109</v>
      </c>
      <c r="D39" s="578" t="s">
        <v>62</v>
      </c>
      <c r="E39" s="609"/>
      <c r="F39" s="609"/>
    </row>
    <row r="40" spans="1:6" s="169" customFormat="1" ht="33.75" x14ac:dyDescent="0.25">
      <c r="A40" s="575" t="s">
        <v>110</v>
      </c>
      <c r="B40" s="583">
        <v>92762</v>
      </c>
      <c r="C40" s="577" t="s">
        <v>112</v>
      </c>
      <c r="D40" s="578" t="s">
        <v>62</v>
      </c>
      <c r="E40" s="610"/>
      <c r="F40" s="610"/>
    </row>
    <row r="41" spans="1:6" s="169" customFormat="1" ht="33.75" x14ac:dyDescent="0.25">
      <c r="A41" s="575" t="s">
        <v>113</v>
      </c>
      <c r="B41" s="583">
        <v>92763</v>
      </c>
      <c r="C41" s="577" t="s">
        <v>115</v>
      </c>
      <c r="D41" s="578" t="s">
        <v>62</v>
      </c>
      <c r="E41" s="610"/>
      <c r="F41" s="610"/>
    </row>
    <row r="42" spans="1:6" s="167" customFormat="1" ht="33.75" x14ac:dyDescent="0.25">
      <c r="A42" s="575" t="s">
        <v>116</v>
      </c>
      <c r="B42" s="583">
        <v>92768</v>
      </c>
      <c r="C42" s="577" t="s">
        <v>118</v>
      </c>
      <c r="D42" s="578" t="s">
        <v>62</v>
      </c>
      <c r="E42" s="609"/>
      <c r="F42" s="609"/>
    </row>
    <row r="43" spans="1:6" s="167" customFormat="1" ht="33.75" x14ac:dyDescent="0.25">
      <c r="A43" s="575" t="s">
        <v>119</v>
      </c>
      <c r="B43" s="583">
        <v>92769</v>
      </c>
      <c r="C43" s="577" t="s">
        <v>121</v>
      </c>
      <c r="D43" s="578" t="s">
        <v>62</v>
      </c>
      <c r="E43" s="609"/>
      <c r="F43" s="609"/>
    </row>
    <row r="44" spans="1:6" s="167" customFormat="1" ht="33.75" x14ac:dyDescent="0.25">
      <c r="A44" s="575" t="s">
        <v>122</v>
      </c>
      <c r="B44" s="583">
        <v>92770</v>
      </c>
      <c r="C44" s="577" t="s">
        <v>124</v>
      </c>
      <c r="D44" s="578" t="s">
        <v>62</v>
      </c>
      <c r="E44" s="609"/>
      <c r="F44" s="609"/>
    </row>
    <row r="45" spans="1:6" s="164" customFormat="1" ht="33.75" x14ac:dyDescent="0.25">
      <c r="A45" s="575" t="s">
        <v>125</v>
      </c>
      <c r="B45" s="583">
        <v>94966</v>
      </c>
      <c r="C45" s="577" t="s">
        <v>65</v>
      </c>
      <c r="D45" s="578" t="s">
        <v>41</v>
      </c>
      <c r="E45" s="610"/>
      <c r="F45" s="610"/>
    </row>
    <row r="46" spans="1:6" s="167" customFormat="1" ht="22.5" x14ac:dyDescent="0.25">
      <c r="A46" s="575" t="s">
        <v>126</v>
      </c>
      <c r="B46" s="583">
        <v>103670</v>
      </c>
      <c r="C46" s="587" t="s">
        <v>71</v>
      </c>
      <c r="D46" s="578" t="s">
        <v>41</v>
      </c>
      <c r="E46" s="609"/>
      <c r="F46" s="609"/>
    </row>
    <row r="47" spans="1:6" s="167" customFormat="1" ht="33.75" x14ac:dyDescent="0.25">
      <c r="A47" s="575" t="s">
        <v>127</v>
      </c>
      <c r="B47" s="583">
        <v>92771</v>
      </c>
      <c r="C47" s="587" t="s">
        <v>129</v>
      </c>
      <c r="D47" s="578" t="s">
        <v>62</v>
      </c>
      <c r="E47" s="609"/>
      <c r="F47" s="609"/>
    </row>
    <row r="48" spans="1:6" s="167" customFormat="1" ht="33.75" x14ac:dyDescent="0.25">
      <c r="A48" s="575" t="s">
        <v>130</v>
      </c>
      <c r="B48" s="583">
        <v>92772</v>
      </c>
      <c r="C48" s="577" t="s">
        <v>132</v>
      </c>
      <c r="D48" s="578" t="s">
        <v>62</v>
      </c>
      <c r="E48" s="609"/>
      <c r="F48" s="609"/>
    </row>
    <row r="49" spans="1:6" s="167" customFormat="1" x14ac:dyDescent="0.25">
      <c r="A49" s="584">
        <v>1.5</v>
      </c>
      <c r="B49" s="585" t="s">
        <v>134</v>
      </c>
      <c r="C49" s="577"/>
      <c r="D49" s="578"/>
      <c r="E49" s="609"/>
      <c r="F49" s="609"/>
    </row>
    <row r="50" spans="1:6" ht="45" x14ac:dyDescent="0.25">
      <c r="A50" s="575" t="s">
        <v>135</v>
      </c>
      <c r="B50" s="583">
        <v>103356</v>
      </c>
      <c r="C50" s="577" t="s">
        <v>137</v>
      </c>
      <c r="D50" s="578" t="s">
        <v>17</v>
      </c>
      <c r="E50" s="609"/>
      <c r="F50" s="609"/>
    </row>
    <row r="51" spans="1:6" s="167" customFormat="1" ht="22.5" x14ac:dyDescent="0.25">
      <c r="A51" s="575" t="s">
        <v>138</v>
      </c>
      <c r="B51" s="583">
        <v>93189</v>
      </c>
      <c r="C51" s="587" t="s">
        <v>140</v>
      </c>
      <c r="D51" s="578" t="s">
        <v>37</v>
      </c>
      <c r="E51" s="609"/>
      <c r="F51" s="609"/>
    </row>
    <row r="52" spans="1:6" s="167" customFormat="1" ht="33.75" x14ac:dyDescent="0.25">
      <c r="A52" s="575" t="s">
        <v>141</v>
      </c>
      <c r="B52" s="583">
        <v>93191</v>
      </c>
      <c r="C52" s="577" t="s">
        <v>143</v>
      </c>
      <c r="D52" s="578" t="s">
        <v>37</v>
      </c>
      <c r="E52" s="609"/>
      <c r="F52" s="609"/>
    </row>
    <row r="53" spans="1:6" s="167" customFormat="1" ht="22.5" x14ac:dyDescent="0.25">
      <c r="A53" s="575" t="s">
        <v>144</v>
      </c>
      <c r="B53" s="583">
        <v>93197</v>
      </c>
      <c r="C53" s="577" t="s">
        <v>146</v>
      </c>
      <c r="D53" s="578" t="s">
        <v>37</v>
      </c>
      <c r="E53" s="609"/>
      <c r="F53" s="609"/>
    </row>
    <row r="54" spans="1:6" s="167" customFormat="1" ht="14.45" customHeight="1" x14ac:dyDescent="0.25">
      <c r="A54" s="584">
        <v>1.6</v>
      </c>
      <c r="B54" s="585" t="s">
        <v>148</v>
      </c>
      <c r="C54" s="577"/>
      <c r="D54" s="578"/>
      <c r="E54" s="609"/>
      <c r="F54" s="609"/>
    </row>
    <row r="55" spans="1:6" s="167" customFormat="1" ht="45" x14ac:dyDescent="0.25">
      <c r="A55" s="575" t="s">
        <v>149</v>
      </c>
      <c r="B55" s="583">
        <v>87893</v>
      </c>
      <c r="C55" s="577" t="s">
        <v>151</v>
      </c>
      <c r="D55" s="578" t="s">
        <v>17</v>
      </c>
      <c r="E55" s="609"/>
      <c r="F55" s="609"/>
    </row>
    <row r="56" spans="1:6" s="167" customFormat="1" ht="45" x14ac:dyDescent="0.25">
      <c r="A56" s="575" t="s">
        <v>152</v>
      </c>
      <c r="B56" s="583">
        <v>87548</v>
      </c>
      <c r="C56" s="577" t="s">
        <v>154</v>
      </c>
      <c r="D56" s="578" t="s">
        <v>17</v>
      </c>
      <c r="E56" s="609"/>
      <c r="F56" s="609"/>
    </row>
    <row r="57" spans="1:6" s="167" customFormat="1" ht="56.25" x14ac:dyDescent="0.25">
      <c r="A57" s="575" t="s">
        <v>155</v>
      </c>
      <c r="B57" s="583">
        <v>87536</v>
      </c>
      <c r="C57" s="577" t="s">
        <v>157</v>
      </c>
      <c r="D57" s="578" t="s">
        <v>17</v>
      </c>
      <c r="E57" s="609"/>
      <c r="F57" s="609"/>
    </row>
    <row r="58" spans="1:6" s="167" customFormat="1" ht="33.75" x14ac:dyDescent="0.25">
      <c r="A58" s="575" t="s">
        <v>158</v>
      </c>
      <c r="B58" s="583">
        <v>87275</v>
      </c>
      <c r="C58" s="577" t="s">
        <v>160</v>
      </c>
      <c r="D58" s="578" t="s">
        <v>17</v>
      </c>
      <c r="E58" s="609"/>
      <c r="F58" s="609"/>
    </row>
    <row r="59" spans="1:6" s="167" customFormat="1" x14ac:dyDescent="0.25">
      <c r="A59" s="584">
        <v>1.7</v>
      </c>
      <c r="B59" s="585" t="s">
        <v>162</v>
      </c>
      <c r="C59" s="577"/>
      <c r="D59" s="578"/>
      <c r="E59" s="609"/>
      <c r="F59" s="609"/>
    </row>
    <row r="60" spans="1:6" s="167" customFormat="1" ht="56.25" x14ac:dyDescent="0.25">
      <c r="A60" s="575" t="s">
        <v>163</v>
      </c>
      <c r="B60" s="583">
        <v>91315</v>
      </c>
      <c r="C60" s="587" t="s">
        <v>165</v>
      </c>
      <c r="D60" s="578" t="s">
        <v>166</v>
      </c>
      <c r="E60" s="609"/>
      <c r="F60" s="609"/>
    </row>
    <row r="61" spans="1:6" s="167" customFormat="1" ht="45" x14ac:dyDescent="0.25">
      <c r="A61" s="575" t="s">
        <v>167</v>
      </c>
      <c r="B61" s="583">
        <v>94570</v>
      </c>
      <c r="C61" s="577" t="s">
        <v>169</v>
      </c>
      <c r="D61" s="578" t="s">
        <v>17</v>
      </c>
      <c r="E61" s="609"/>
      <c r="F61" s="609"/>
    </row>
    <row r="62" spans="1:6" s="167" customFormat="1" ht="56.25" x14ac:dyDescent="0.25">
      <c r="A62" s="575" t="s">
        <v>170</v>
      </c>
      <c r="B62" s="583">
        <v>100689</v>
      </c>
      <c r="C62" s="577" t="s">
        <v>172</v>
      </c>
      <c r="D62" s="578" t="s">
        <v>166</v>
      </c>
      <c r="E62" s="609"/>
      <c r="F62" s="609"/>
    </row>
    <row r="63" spans="1:6" s="167" customFormat="1" ht="33.75" x14ac:dyDescent="0.25">
      <c r="A63" s="575" t="s">
        <v>173</v>
      </c>
      <c r="B63" s="576" t="s">
        <v>174</v>
      </c>
      <c r="C63" s="577" t="s">
        <v>175</v>
      </c>
      <c r="D63" s="578" t="s">
        <v>5</v>
      </c>
      <c r="E63" s="609"/>
      <c r="F63" s="609"/>
    </row>
    <row r="64" spans="1:6" s="167" customFormat="1" ht="33.75" x14ac:dyDescent="0.25">
      <c r="A64" s="575" t="s">
        <v>176</v>
      </c>
      <c r="B64" s="576" t="s">
        <v>177</v>
      </c>
      <c r="C64" s="577" t="s">
        <v>178</v>
      </c>
      <c r="D64" s="578" t="s">
        <v>5</v>
      </c>
      <c r="E64" s="609"/>
      <c r="F64" s="609"/>
    </row>
    <row r="65" spans="1:6" s="167" customFormat="1" ht="33.75" x14ac:dyDescent="0.25">
      <c r="A65" s="575" t="s">
        <v>179</v>
      </c>
      <c r="B65" s="583">
        <v>91341</v>
      </c>
      <c r="C65" s="577" t="s">
        <v>181</v>
      </c>
      <c r="D65" s="578" t="s">
        <v>17</v>
      </c>
      <c r="E65" s="609"/>
      <c r="F65" s="609"/>
    </row>
    <row r="66" spans="1:6" s="167" customFormat="1" ht="33.75" x14ac:dyDescent="0.25">
      <c r="A66" s="575" t="s">
        <v>182</v>
      </c>
      <c r="B66" s="583">
        <v>100702</v>
      </c>
      <c r="C66" s="577" t="s">
        <v>184</v>
      </c>
      <c r="D66" s="578" t="s">
        <v>17</v>
      </c>
      <c r="E66" s="609"/>
      <c r="F66" s="609"/>
    </row>
    <row r="67" spans="1:6" s="167" customFormat="1" ht="45" x14ac:dyDescent="0.25">
      <c r="A67" s="575" t="s">
        <v>185</v>
      </c>
      <c r="B67" s="583">
        <v>90831</v>
      </c>
      <c r="C67" s="577" t="s">
        <v>187</v>
      </c>
      <c r="D67" s="578" t="s">
        <v>166</v>
      </c>
      <c r="E67" s="609"/>
      <c r="F67" s="609"/>
    </row>
    <row r="68" spans="1:6" s="167" customFormat="1" x14ac:dyDescent="0.25">
      <c r="A68" s="584">
        <v>1.8</v>
      </c>
      <c r="B68" s="585" t="s">
        <v>189</v>
      </c>
      <c r="C68" s="577"/>
      <c r="D68" s="589"/>
      <c r="E68" s="609"/>
      <c r="F68" s="609"/>
    </row>
    <row r="69" spans="1:6" s="167" customFormat="1" ht="22.5" x14ac:dyDescent="0.25">
      <c r="A69" s="575" t="s">
        <v>190</v>
      </c>
      <c r="B69" s="583">
        <v>88485</v>
      </c>
      <c r="C69" s="577" t="s">
        <v>192</v>
      </c>
      <c r="D69" s="589" t="s">
        <v>17</v>
      </c>
      <c r="E69" s="609"/>
      <c r="F69" s="609"/>
    </row>
    <row r="70" spans="1:6" s="167" customFormat="1" ht="22.5" x14ac:dyDescent="0.25">
      <c r="A70" s="575" t="s">
        <v>193</v>
      </c>
      <c r="B70" s="583">
        <v>88495</v>
      </c>
      <c r="C70" s="577" t="s">
        <v>195</v>
      </c>
      <c r="D70" s="589" t="s">
        <v>17</v>
      </c>
      <c r="E70" s="609"/>
      <c r="F70" s="609"/>
    </row>
    <row r="71" spans="1:6" s="167" customFormat="1" ht="22.5" x14ac:dyDescent="0.25">
      <c r="A71" s="575" t="s">
        <v>196</v>
      </c>
      <c r="B71" s="583">
        <v>88489</v>
      </c>
      <c r="C71" s="577" t="s">
        <v>198</v>
      </c>
      <c r="D71" s="589" t="s">
        <v>17</v>
      </c>
      <c r="E71" s="609"/>
      <c r="F71" s="609"/>
    </row>
    <row r="72" spans="1:6" s="167" customFormat="1" ht="22.5" x14ac:dyDescent="0.25">
      <c r="A72" s="575" t="s">
        <v>199</v>
      </c>
      <c r="B72" s="583">
        <v>88484</v>
      </c>
      <c r="C72" s="577" t="s">
        <v>201</v>
      </c>
      <c r="D72" s="589" t="s">
        <v>17</v>
      </c>
      <c r="E72" s="609"/>
      <c r="F72" s="609"/>
    </row>
    <row r="73" spans="1:6" s="167" customFormat="1" ht="22.5" x14ac:dyDescent="0.25">
      <c r="A73" s="575" t="s">
        <v>202</v>
      </c>
      <c r="B73" s="583">
        <v>88494</v>
      </c>
      <c r="C73" s="577" t="s">
        <v>204</v>
      </c>
      <c r="D73" s="589" t="s">
        <v>17</v>
      </c>
      <c r="E73" s="609"/>
      <c r="F73" s="609"/>
    </row>
    <row r="74" spans="1:6" s="167" customFormat="1" ht="22.5" x14ac:dyDescent="0.25">
      <c r="A74" s="575" t="s">
        <v>205</v>
      </c>
      <c r="B74" s="583">
        <v>88488</v>
      </c>
      <c r="C74" s="577" t="s">
        <v>207</v>
      </c>
      <c r="D74" s="589" t="s">
        <v>17</v>
      </c>
      <c r="E74" s="609"/>
      <c r="F74" s="609"/>
    </row>
    <row r="75" spans="1:6" s="167" customFormat="1" ht="14.45" customHeight="1" x14ac:dyDescent="0.25">
      <c r="A75" s="584" t="s">
        <v>208</v>
      </c>
      <c r="B75" s="585" t="s">
        <v>209</v>
      </c>
      <c r="C75" s="577"/>
      <c r="D75" s="589"/>
      <c r="E75" s="609"/>
      <c r="F75" s="609"/>
    </row>
    <row r="76" spans="1:6" s="167" customFormat="1" ht="45" x14ac:dyDescent="0.25">
      <c r="A76" s="575" t="s">
        <v>210</v>
      </c>
      <c r="B76" s="583">
        <v>87894</v>
      </c>
      <c r="C76" s="577" t="s">
        <v>212</v>
      </c>
      <c r="D76" s="589" t="s">
        <v>17</v>
      </c>
      <c r="E76" s="609"/>
      <c r="F76" s="609"/>
    </row>
    <row r="77" spans="1:6" s="167" customFormat="1" ht="56.25" x14ac:dyDescent="0.25">
      <c r="A77" s="575" t="s">
        <v>213</v>
      </c>
      <c r="B77" s="583">
        <v>104233</v>
      </c>
      <c r="C77" s="577" t="s">
        <v>215</v>
      </c>
      <c r="D77" s="589" t="s">
        <v>17</v>
      </c>
      <c r="E77" s="609"/>
      <c r="F77" s="609"/>
    </row>
    <row r="78" spans="1:6" s="167" customFormat="1" ht="33.75" x14ac:dyDescent="0.25">
      <c r="A78" s="575" t="s">
        <v>216</v>
      </c>
      <c r="B78" s="576" t="s">
        <v>217</v>
      </c>
      <c r="C78" s="587" t="s">
        <v>218</v>
      </c>
      <c r="D78" s="589" t="s">
        <v>17</v>
      </c>
      <c r="E78" s="609"/>
      <c r="F78" s="609"/>
    </row>
    <row r="79" spans="1:6" s="167" customFormat="1" ht="33.75" x14ac:dyDescent="0.25">
      <c r="A79" s="575" t="s">
        <v>219</v>
      </c>
      <c r="B79" s="576" t="s">
        <v>220</v>
      </c>
      <c r="C79" s="577" t="s">
        <v>221</v>
      </c>
      <c r="D79" s="589" t="s">
        <v>222</v>
      </c>
      <c r="E79" s="609"/>
      <c r="F79" s="609"/>
    </row>
    <row r="80" spans="1:6" s="167" customFormat="1" ht="22.5" x14ac:dyDescent="0.25">
      <c r="A80" s="575" t="s">
        <v>223</v>
      </c>
      <c r="B80" s="583">
        <v>88485</v>
      </c>
      <c r="C80" s="577" t="s">
        <v>192</v>
      </c>
      <c r="D80" s="589" t="s">
        <v>17</v>
      </c>
      <c r="E80" s="609"/>
      <c r="F80" s="609"/>
    </row>
    <row r="81" spans="1:6" s="167" customFormat="1" ht="22.5" x14ac:dyDescent="0.25">
      <c r="A81" s="575" t="s">
        <v>224</v>
      </c>
      <c r="B81" s="583">
        <v>96130</v>
      </c>
      <c r="C81" s="577" t="s">
        <v>226</v>
      </c>
      <c r="D81" s="589" t="s">
        <v>17</v>
      </c>
      <c r="E81" s="609"/>
      <c r="F81" s="609"/>
    </row>
    <row r="82" spans="1:6" s="167" customFormat="1" ht="22.5" x14ac:dyDescent="0.25">
      <c r="A82" s="575" t="s">
        <v>227</v>
      </c>
      <c r="B82" s="583">
        <v>88489</v>
      </c>
      <c r="C82" s="577" t="s">
        <v>198</v>
      </c>
      <c r="D82" s="589" t="s">
        <v>17</v>
      </c>
      <c r="E82" s="609"/>
      <c r="F82" s="609"/>
    </row>
    <row r="83" spans="1:6" s="167" customFormat="1" ht="14.45" customHeight="1" x14ac:dyDescent="0.25">
      <c r="A83" s="585">
        <v>1.1000000000000001</v>
      </c>
      <c r="B83" s="585" t="s">
        <v>229</v>
      </c>
      <c r="C83" s="577"/>
      <c r="D83" s="589"/>
      <c r="E83" s="609"/>
      <c r="F83" s="609"/>
    </row>
    <row r="84" spans="1:6" s="167" customFormat="1" ht="33.75" x14ac:dyDescent="0.25">
      <c r="A84" s="575" t="s">
        <v>230</v>
      </c>
      <c r="B84" s="583">
        <v>92868</v>
      </c>
      <c r="C84" s="577" t="s">
        <v>232</v>
      </c>
      <c r="D84" s="590" t="s">
        <v>166</v>
      </c>
      <c r="E84" s="609"/>
      <c r="F84" s="609"/>
    </row>
    <row r="85" spans="1:6" s="167" customFormat="1" ht="22.5" x14ac:dyDescent="0.25">
      <c r="A85" s="575" t="s">
        <v>233</v>
      </c>
      <c r="B85" s="583">
        <v>91937</v>
      </c>
      <c r="C85" s="577" t="s">
        <v>235</v>
      </c>
      <c r="D85" s="590" t="s">
        <v>166</v>
      </c>
      <c r="E85" s="609"/>
      <c r="F85" s="609"/>
    </row>
    <row r="86" spans="1:6" s="167" customFormat="1" ht="33.75" x14ac:dyDescent="0.25">
      <c r="A86" s="575" t="s">
        <v>236</v>
      </c>
      <c r="B86" s="583">
        <v>91924</v>
      </c>
      <c r="C86" s="577" t="s">
        <v>238</v>
      </c>
      <c r="D86" s="590" t="s">
        <v>37</v>
      </c>
      <c r="E86" s="609"/>
      <c r="F86" s="609"/>
    </row>
    <row r="87" spans="1:6" s="167" customFormat="1" ht="33.75" x14ac:dyDescent="0.25">
      <c r="A87" s="575" t="s">
        <v>239</v>
      </c>
      <c r="B87" s="583">
        <v>91926</v>
      </c>
      <c r="C87" s="577" t="s">
        <v>241</v>
      </c>
      <c r="D87" s="590" t="s">
        <v>37</v>
      </c>
      <c r="E87" s="609"/>
      <c r="F87" s="609"/>
    </row>
    <row r="88" spans="1:6" s="167" customFormat="1" ht="33.75" x14ac:dyDescent="0.25">
      <c r="A88" s="575" t="s">
        <v>242</v>
      </c>
      <c r="B88" s="583">
        <v>91928</v>
      </c>
      <c r="C88" s="587" t="s">
        <v>244</v>
      </c>
      <c r="D88" s="590" t="s">
        <v>37</v>
      </c>
      <c r="E88" s="609"/>
      <c r="F88" s="609"/>
    </row>
    <row r="89" spans="1:6" s="167" customFormat="1" ht="33.75" x14ac:dyDescent="0.25">
      <c r="A89" s="575" t="s">
        <v>245</v>
      </c>
      <c r="B89" s="583">
        <v>91931</v>
      </c>
      <c r="C89" s="577" t="s">
        <v>247</v>
      </c>
      <c r="D89" s="590" t="s">
        <v>37</v>
      </c>
      <c r="E89" s="609"/>
      <c r="F89" s="609"/>
    </row>
    <row r="90" spans="1:6" s="167" customFormat="1" ht="22.5" x14ac:dyDescent="0.25">
      <c r="A90" s="575" t="s">
        <v>248</v>
      </c>
      <c r="B90" s="583">
        <v>39773</v>
      </c>
      <c r="C90" s="577" t="s">
        <v>250</v>
      </c>
      <c r="D90" s="590" t="s">
        <v>166</v>
      </c>
      <c r="E90" s="609"/>
      <c r="F90" s="609"/>
    </row>
    <row r="91" spans="1:6" s="167" customFormat="1" ht="22.5" x14ac:dyDescent="0.25">
      <c r="A91" s="575" t="s">
        <v>251</v>
      </c>
      <c r="B91" s="583">
        <v>101890</v>
      </c>
      <c r="C91" s="577" t="s">
        <v>253</v>
      </c>
      <c r="D91" s="590" t="s">
        <v>166</v>
      </c>
      <c r="E91" s="609"/>
      <c r="F91" s="609"/>
    </row>
    <row r="92" spans="1:6" s="167" customFormat="1" ht="22.5" x14ac:dyDescent="0.25">
      <c r="A92" s="575" t="s">
        <v>254</v>
      </c>
      <c r="B92" s="583">
        <v>93670</v>
      </c>
      <c r="C92" s="577" t="s">
        <v>256</v>
      </c>
      <c r="D92" s="590" t="s">
        <v>166</v>
      </c>
      <c r="E92" s="609"/>
      <c r="F92" s="609"/>
    </row>
    <row r="93" spans="1:6" s="167" customFormat="1" ht="22.5" x14ac:dyDescent="0.25">
      <c r="A93" s="575" t="s">
        <v>257</v>
      </c>
      <c r="B93" s="583">
        <v>93671</v>
      </c>
      <c r="C93" s="577" t="s">
        <v>259</v>
      </c>
      <c r="D93" s="590" t="s">
        <v>166</v>
      </c>
      <c r="E93" s="609"/>
      <c r="F93" s="609"/>
    </row>
    <row r="94" spans="1:6" s="167" customFormat="1" ht="22.5" x14ac:dyDescent="0.25">
      <c r="A94" s="575" t="s">
        <v>260</v>
      </c>
      <c r="B94" s="583">
        <v>39466</v>
      </c>
      <c r="C94" s="577" t="s">
        <v>262</v>
      </c>
      <c r="D94" s="590" t="s">
        <v>166</v>
      </c>
      <c r="E94" s="609"/>
      <c r="F94" s="609"/>
    </row>
    <row r="95" spans="1:6" s="167" customFormat="1" ht="22.5" x14ac:dyDescent="0.25">
      <c r="A95" s="575" t="s">
        <v>263</v>
      </c>
      <c r="B95" s="583">
        <v>39445</v>
      </c>
      <c r="C95" s="577" t="s">
        <v>265</v>
      </c>
      <c r="D95" s="590" t="s">
        <v>166</v>
      </c>
      <c r="E95" s="609"/>
      <c r="F95" s="609"/>
    </row>
    <row r="96" spans="1:6" s="167" customFormat="1" ht="22.5" x14ac:dyDescent="0.25">
      <c r="A96" s="575" t="s">
        <v>266</v>
      </c>
      <c r="B96" s="583">
        <v>39446</v>
      </c>
      <c r="C96" s="577" t="s">
        <v>268</v>
      </c>
      <c r="D96" s="590" t="s">
        <v>166</v>
      </c>
      <c r="E96" s="609"/>
      <c r="F96" s="609"/>
    </row>
    <row r="97" spans="1:6" s="167" customFormat="1" ht="33.75" x14ac:dyDescent="0.25">
      <c r="A97" s="575" t="s">
        <v>269</v>
      </c>
      <c r="B97" s="583">
        <v>91953</v>
      </c>
      <c r="C97" s="577" t="s">
        <v>271</v>
      </c>
      <c r="D97" s="590" t="s">
        <v>166</v>
      </c>
      <c r="E97" s="609"/>
      <c r="F97" s="609"/>
    </row>
    <row r="98" spans="1:6" s="167" customFormat="1" ht="33.75" x14ac:dyDescent="0.25">
      <c r="A98" s="575" t="s">
        <v>272</v>
      </c>
      <c r="B98" s="583">
        <v>91967</v>
      </c>
      <c r="C98" s="577" t="s">
        <v>274</v>
      </c>
      <c r="D98" s="590" t="s">
        <v>166</v>
      </c>
      <c r="E98" s="609"/>
      <c r="F98" s="609"/>
    </row>
    <row r="99" spans="1:6" s="167" customFormat="1" ht="33.75" x14ac:dyDescent="0.25">
      <c r="A99" s="575" t="s">
        <v>275</v>
      </c>
      <c r="B99" s="583">
        <v>92000</v>
      </c>
      <c r="C99" s="577" t="s">
        <v>277</v>
      </c>
      <c r="D99" s="590" t="s">
        <v>166</v>
      </c>
      <c r="E99" s="609"/>
      <c r="F99" s="609"/>
    </row>
    <row r="100" spans="1:6" s="167" customFormat="1" ht="33.75" x14ac:dyDescent="0.25">
      <c r="A100" s="575" t="s">
        <v>278</v>
      </c>
      <c r="B100" s="583">
        <v>92008</v>
      </c>
      <c r="C100" s="577" t="s">
        <v>280</v>
      </c>
      <c r="D100" s="590" t="s">
        <v>166</v>
      </c>
      <c r="E100" s="609"/>
      <c r="F100" s="609"/>
    </row>
    <row r="101" spans="1:6" s="167" customFormat="1" ht="33.75" x14ac:dyDescent="0.25">
      <c r="A101" s="575" t="s">
        <v>281</v>
      </c>
      <c r="B101" s="583">
        <v>91959</v>
      </c>
      <c r="C101" s="587" t="s">
        <v>283</v>
      </c>
      <c r="D101" s="590" t="s">
        <v>166</v>
      </c>
      <c r="E101" s="609"/>
      <c r="F101" s="609"/>
    </row>
    <row r="102" spans="1:6" s="167" customFormat="1" ht="33.75" x14ac:dyDescent="0.25">
      <c r="A102" s="575" t="s">
        <v>284</v>
      </c>
      <c r="B102" s="583">
        <v>91834</v>
      </c>
      <c r="C102" s="587" t="s">
        <v>286</v>
      </c>
      <c r="D102" s="590" t="s">
        <v>37</v>
      </c>
      <c r="E102" s="609"/>
      <c r="F102" s="609"/>
    </row>
    <row r="103" spans="1:6" s="167" customFormat="1" ht="33.75" x14ac:dyDescent="0.25">
      <c r="A103" s="575" t="s">
        <v>287</v>
      </c>
      <c r="B103" s="583">
        <v>91868</v>
      </c>
      <c r="C103" s="577" t="s">
        <v>289</v>
      </c>
      <c r="D103" s="590" t="s">
        <v>37</v>
      </c>
      <c r="E103" s="609"/>
      <c r="F103" s="609"/>
    </row>
    <row r="104" spans="1:6" s="167" customFormat="1" ht="33.75" x14ac:dyDescent="0.25">
      <c r="A104" s="575" t="s">
        <v>290</v>
      </c>
      <c r="B104" s="583">
        <v>91867</v>
      </c>
      <c r="C104" s="577" t="s">
        <v>292</v>
      </c>
      <c r="D104" s="590" t="s">
        <v>37</v>
      </c>
      <c r="E104" s="609"/>
      <c r="F104" s="609"/>
    </row>
    <row r="105" spans="1:6" s="167" customFormat="1" ht="22.5" x14ac:dyDescent="0.25">
      <c r="A105" s="575" t="s">
        <v>293</v>
      </c>
      <c r="B105" s="583">
        <v>101654</v>
      </c>
      <c r="C105" s="577" t="s">
        <v>295</v>
      </c>
      <c r="D105" s="590" t="s">
        <v>166</v>
      </c>
      <c r="E105" s="609"/>
      <c r="F105" s="609"/>
    </row>
    <row r="106" spans="1:6" s="167" customFormat="1" ht="22.5" x14ac:dyDescent="0.25">
      <c r="A106" s="575" t="s">
        <v>296</v>
      </c>
      <c r="B106" s="583">
        <v>103782</v>
      </c>
      <c r="C106" s="577" t="s">
        <v>298</v>
      </c>
      <c r="D106" s="590" t="s">
        <v>166</v>
      </c>
      <c r="E106" s="609"/>
      <c r="F106" s="609"/>
    </row>
    <row r="107" spans="1:6" s="167" customFormat="1" ht="33.75" x14ac:dyDescent="0.25">
      <c r="A107" s="575" t="s">
        <v>299</v>
      </c>
      <c r="B107" s="583">
        <v>101509</v>
      </c>
      <c r="C107" s="577" t="s">
        <v>301</v>
      </c>
      <c r="D107" s="590" t="s">
        <v>166</v>
      </c>
      <c r="E107" s="609"/>
      <c r="F107" s="609"/>
    </row>
    <row r="108" spans="1:6" s="167" customFormat="1" ht="33.75" x14ac:dyDescent="0.25">
      <c r="A108" s="575" t="s">
        <v>302</v>
      </c>
      <c r="B108" s="583">
        <v>5044</v>
      </c>
      <c r="C108" s="577" t="s">
        <v>304</v>
      </c>
      <c r="D108" s="590" t="s">
        <v>166</v>
      </c>
      <c r="E108" s="609"/>
      <c r="F108" s="609"/>
    </row>
    <row r="109" spans="1:6" s="167" customFormat="1" ht="45" x14ac:dyDescent="0.25">
      <c r="A109" s="575" t="s">
        <v>305</v>
      </c>
      <c r="B109" s="583">
        <v>101879</v>
      </c>
      <c r="C109" s="577" t="s">
        <v>307</v>
      </c>
      <c r="D109" s="590" t="s">
        <v>166</v>
      </c>
      <c r="E109" s="609"/>
      <c r="F109" s="609"/>
    </row>
    <row r="110" spans="1:6" s="167" customFormat="1" ht="33.75" x14ac:dyDescent="0.25">
      <c r="A110" s="575" t="s">
        <v>308</v>
      </c>
      <c r="B110" s="583">
        <v>5044</v>
      </c>
      <c r="C110" s="577" t="s">
        <v>304</v>
      </c>
      <c r="D110" s="590" t="s">
        <v>166</v>
      </c>
      <c r="E110" s="609"/>
      <c r="F110" s="609"/>
    </row>
    <row r="111" spans="1:6" s="167" customFormat="1" ht="33.75" x14ac:dyDescent="0.25">
      <c r="A111" s="575" t="s">
        <v>309</v>
      </c>
      <c r="B111" s="583">
        <v>92023</v>
      </c>
      <c r="C111" s="577" t="s">
        <v>311</v>
      </c>
      <c r="D111" s="590" t="s">
        <v>166</v>
      </c>
      <c r="E111" s="609"/>
      <c r="F111" s="609"/>
    </row>
    <row r="112" spans="1:6" s="167" customFormat="1" x14ac:dyDescent="0.25">
      <c r="A112" s="584" t="s">
        <v>312</v>
      </c>
      <c r="B112" s="591" t="s">
        <v>313</v>
      </c>
      <c r="C112" s="577"/>
      <c r="D112" s="590"/>
      <c r="E112" s="609"/>
      <c r="F112" s="609"/>
    </row>
    <row r="113" spans="1:6" s="167" customFormat="1" ht="22.5" x14ac:dyDescent="0.25">
      <c r="A113" s="575" t="s">
        <v>314</v>
      </c>
      <c r="B113" s="583">
        <v>96620</v>
      </c>
      <c r="C113" s="577" t="s">
        <v>316</v>
      </c>
      <c r="D113" s="589" t="s">
        <v>41</v>
      </c>
      <c r="E113" s="609"/>
      <c r="F113" s="609"/>
    </row>
    <row r="114" spans="1:6" s="167" customFormat="1" ht="67.5" x14ac:dyDescent="0.25">
      <c r="A114" s="575" t="s">
        <v>317</v>
      </c>
      <c r="B114" s="583">
        <v>94439</v>
      </c>
      <c r="C114" s="577" t="s">
        <v>319</v>
      </c>
      <c r="D114" s="589" t="s">
        <v>17</v>
      </c>
      <c r="E114" s="609"/>
      <c r="F114" s="609"/>
    </row>
    <row r="115" spans="1:6" s="167" customFormat="1" ht="33.75" x14ac:dyDescent="0.25">
      <c r="A115" s="575" t="s">
        <v>320</v>
      </c>
      <c r="B115" s="583">
        <v>87257</v>
      </c>
      <c r="C115" s="577" t="s">
        <v>322</v>
      </c>
      <c r="D115" s="589" t="s">
        <v>17</v>
      </c>
      <c r="E115" s="609"/>
      <c r="F115" s="609"/>
    </row>
    <row r="116" spans="1:6" s="167" customFormat="1" ht="33.75" x14ac:dyDescent="0.25">
      <c r="A116" s="575" t="s">
        <v>323</v>
      </c>
      <c r="B116" s="583">
        <v>92403</v>
      </c>
      <c r="C116" s="577" t="s">
        <v>325</v>
      </c>
      <c r="D116" s="589" t="s">
        <v>17</v>
      </c>
      <c r="E116" s="609"/>
      <c r="F116" s="609"/>
    </row>
    <row r="117" spans="1:6" s="167" customFormat="1" ht="56.25" x14ac:dyDescent="0.25">
      <c r="A117" s="575" t="s">
        <v>326</v>
      </c>
      <c r="B117" s="583">
        <v>94273</v>
      </c>
      <c r="C117" s="577" t="s">
        <v>328</v>
      </c>
      <c r="D117" s="589" t="s">
        <v>37</v>
      </c>
      <c r="E117" s="609" t="s">
        <v>1098</v>
      </c>
      <c r="F117" s="609">
        <f>21.95+36.08+1.5</f>
        <v>59.53</v>
      </c>
    </row>
    <row r="118" spans="1:6" s="167" customFormat="1" ht="22.5" x14ac:dyDescent="0.25">
      <c r="A118" s="575" t="s">
        <v>329</v>
      </c>
      <c r="B118" s="583">
        <v>368</v>
      </c>
      <c r="C118" s="577" t="s">
        <v>331</v>
      </c>
      <c r="D118" s="589" t="s">
        <v>41</v>
      </c>
      <c r="E118" s="609"/>
      <c r="F118" s="609"/>
    </row>
    <row r="119" spans="1:6" s="167" customFormat="1" x14ac:dyDescent="0.25">
      <c r="A119" s="575" t="s">
        <v>332</v>
      </c>
      <c r="B119" s="583">
        <v>98504</v>
      </c>
      <c r="C119" s="577" t="s">
        <v>334</v>
      </c>
      <c r="D119" s="589" t="s">
        <v>17</v>
      </c>
      <c r="E119" s="609"/>
      <c r="F119" s="609"/>
    </row>
    <row r="120" spans="1:6" s="167" customFormat="1" ht="22.5" x14ac:dyDescent="0.25">
      <c r="A120" s="575" t="s">
        <v>335</v>
      </c>
      <c r="B120" s="583">
        <v>103913</v>
      </c>
      <c r="C120" s="577" t="s">
        <v>337</v>
      </c>
      <c r="D120" s="589" t="s">
        <v>17</v>
      </c>
      <c r="E120" s="609"/>
      <c r="F120" s="609"/>
    </row>
    <row r="121" spans="1:6" s="167" customFormat="1" x14ac:dyDescent="0.25">
      <c r="A121" s="584" t="s">
        <v>338</v>
      </c>
      <c r="B121" s="591" t="s">
        <v>339</v>
      </c>
      <c r="C121" s="577"/>
      <c r="D121" s="589"/>
      <c r="E121" s="609"/>
      <c r="F121" s="609"/>
    </row>
    <row r="122" spans="1:6" s="167" customFormat="1" ht="45" x14ac:dyDescent="0.25">
      <c r="A122" s="575" t="s">
        <v>340</v>
      </c>
      <c r="B122" s="583">
        <v>94207</v>
      </c>
      <c r="C122" s="577" t="s">
        <v>342</v>
      </c>
      <c r="D122" s="589" t="s">
        <v>17</v>
      </c>
      <c r="E122" s="609" t="s">
        <v>1099</v>
      </c>
      <c r="F122" s="609">
        <v>471.51</v>
      </c>
    </row>
    <row r="123" spans="1:6" s="167" customFormat="1" ht="33.75" x14ac:dyDescent="0.25">
      <c r="A123" s="575" t="s">
        <v>343</v>
      </c>
      <c r="B123" s="583">
        <v>98546</v>
      </c>
      <c r="C123" s="577" t="s">
        <v>345</v>
      </c>
      <c r="D123" s="589" t="s">
        <v>17</v>
      </c>
      <c r="E123" s="609" t="s">
        <v>1100</v>
      </c>
      <c r="F123" s="609">
        <f>6.3*1.8+0.9*2.75+3.6*4.9+9.45*2.8+4.5*2.9+5.5*5.4</f>
        <v>100.66499999999999</v>
      </c>
    </row>
    <row r="124" spans="1:6" s="167" customFormat="1" ht="33.75" x14ac:dyDescent="0.25">
      <c r="A124" s="575" t="s">
        <v>346</v>
      </c>
      <c r="B124" s="583">
        <v>98565</v>
      </c>
      <c r="C124" s="577" t="s">
        <v>348</v>
      </c>
      <c r="D124" s="589" t="s">
        <v>17</v>
      </c>
      <c r="E124" s="609"/>
      <c r="F124" s="609"/>
    </row>
    <row r="125" spans="1:6" s="167" customFormat="1" ht="45" x14ac:dyDescent="0.25">
      <c r="A125" s="575" t="s">
        <v>349</v>
      </c>
      <c r="B125" s="583">
        <v>100374</v>
      </c>
      <c r="C125" s="577" t="s">
        <v>351</v>
      </c>
      <c r="D125" s="589" t="s">
        <v>166</v>
      </c>
      <c r="E125" s="609" t="s">
        <v>1101</v>
      </c>
      <c r="F125" s="609">
        <v>10</v>
      </c>
    </row>
    <row r="126" spans="1:6" s="167" customFormat="1" ht="45" x14ac:dyDescent="0.25">
      <c r="A126" s="575" t="s">
        <v>352</v>
      </c>
      <c r="B126" s="583">
        <v>100375</v>
      </c>
      <c r="C126" s="577" t="s">
        <v>354</v>
      </c>
      <c r="D126" s="589" t="s">
        <v>166</v>
      </c>
      <c r="E126" s="609" t="str">
        <f>E125</f>
        <v>10 unidades</v>
      </c>
      <c r="F126" s="609">
        <v>10</v>
      </c>
    </row>
    <row r="127" spans="1:6" s="167" customFormat="1" ht="33.75" x14ac:dyDescent="0.25">
      <c r="A127" s="575" t="s">
        <v>355</v>
      </c>
      <c r="B127" s="583">
        <v>92544</v>
      </c>
      <c r="C127" s="577" t="s">
        <v>357</v>
      </c>
      <c r="D127" s="589" t="s">
        <v>17</v>
      </c>
      <c r="E127" s="609" t="s">
        <v>1102</v>
      </c>
      <c r="F127" s="609">
        <f>F122</f>
        <v>471.51</v>
      </c>
    </row>
    <row r="128" spans="1:6" s="167" customFormat="1" ht="33.75" x14ac:dyDescent="0.25">
      <c r="A128" s="575" t="s">
        <v>358</v>
      </c>
      <c r="B128" s="583">
        <v>100435</v>
      </c>
      <c r="C128" s="577" t="s">
        <v>360</v>
      </c>
      <c r="D128" s="589" t="s">
        <v>37</v>
      </c>
      <c r="E128" s="609"/>
      <c r="F128" s="609"/>
    </row>
    <row r="129" spans="1:6" s="167" customFormat="1" ht="33.75" x14ac:dyDescent="0.25">
      <c r="A129" s="575" t="s">
        <v>361</v>
      </c>
      <c r="B129" s="583">
        <v>94229</v>
      </c>
      <c r="C129" s="577" t="s">
        <v>363</v>
      </c>
      <c r="D129" s="589" t="s">
        <v>37</v>
      </c>
      <c r="E129" s="609"/>
      <c r="F129" s="609"/>
    </row>
    <row r="130" spans="1:6" s="167" customFormat="1" ht="22.5" x14ac:dyDescent="0.25">
      <c r="A130" s="575" t="s">
        <v>364</v>
      </c>
      <c r="B130" s="583">
        <v>96113</v>
      </c>
      <c r="C130" s="577" t="s">
        <v>366</v>
      </c>
      <c r="D130" s="589" t="s">
        <v>17</v>
      </c>
      <c r="E130" s="609"/>
      <c r="F130" s="609"/>
    </row>
    <row r="131" spans="1:6" s="167" customFormat="1" ht="14.45" customHeight="1" x14ac:dyDescent="0.25">
      <c r="A131" s="584">
        <v>1.1299999999999999</v>
      </c>
      <c r="B131" s="585" t="s">
        <v>368</v>
      </c>
      <c r="C131" s="577"/>
      <c r="D131" s="589"/>
      <c r="E131" s="609"/>
      <c r="F131" s="609"/>
    </row>
    <row r="132" spans="1:6" s="167" customFormat="1" ht="56.25" x14ac:dyDescent="0.25">
      <c r="A132" s="575" t="s">
        <v>369</v>
      </c>
      <c r="B132" s="583">
        <v>91785</v>
      </c>
      <c r="C132" s="577" t="s">
        <v>371</v>
      </c>
      <c r="D132" s="589" t="s">
        <v>37</v>
      </c>
      <c r="E132" s="609"/>
      <c r="F132" s="609"/>
    </row>
    <row r="133" spans="1:6" s="167" customFormat="1" ht="56.25" x14ac:dyDescent="0.25">
      <c r="A133" s="575" t="s">
        <v>372</v>
      </c>
      <c r="B133" s="583">
        <v>91784</v>
      </c>
      <c r="C133" s="577" t="s">
        <v>374</v>
      </c>
      <c r="D133" s="589" t="s">
        <v>37</v>
      </c>
      <c r="E133" s="609"/>
      <c r="F133" s="609"/>
    </row>
    <row r="134" spans="1:6" s="167" customFormat="1" ht="56.25" x14ac:dyDescent="0.25">
      <c r="A134" s="575" t="s">
        <v>375</v>
      </c>
      <c r="B134" s="583">
        <v>91786</v>
      </c>
      <c r="C134" s="577" t="s">
        <v>377</v>
      </c>
      <c r="D134" s="589" t="s">
        <v>37</v>
      </c>
      <c r="E134" s="609" t="s">
        <v>1103</v>
      </c>
      <c r="F134" s="609">
        <v>24.75</v>
      </c>
    </row>
    <row r="135" spans="1:6" s="167" customFormat="1" ht="45" x14ac:dyDescent="0.25">
      <c r="A135" s="575" t="s">
        <v>378</v>
      </c>
      <c r="B135" s="583">
        <v>91787</v>
      </c>
      <c r="C135" s="577" t="s">
        <v>380</v>
      </c>
      <c r="D135" s="589" t="s">
        <v>37</v>
      </c>
      <c r="E135" s="609" t="s">
        <v>1103</v>
      </c>
      <c r="F135" s="609">
        <v>25.92</v>
      </c>
    </row>
    <row r="136" spans="1:6" s="167" customFormat="1" ht="33.75" x14ac:dyDescent="0.25">
      <c r="A136" s="575" t="s">
        <v>381</v>
      </c>
      <c r="B136" s="583">
        <v>89987</v>
      </c>
      <c r="C136" s="577" t="s">
        <v>383</v>
      </c>
      <c r="D136" s="589" t="s">
        <v>166</v>
      </c>
      <c r="E136" s="609" t="s">
        <v>1103</v>
      </c>
      <c r="F136" s="609">
        <v>10</v>
      </c>
    </row>
    <row r="137" spans="1:6" s="167" customFormat="1" ht="22.5" x14ac:dyDescent="0.25">
      <c r="A137" s="575" t="s">
        <v>384</v>
      </c>
      <c r="B137" s="583">
        <v>94490</v>
      </c>
      <c r="C137" s="577" t="s">
        <v>386</v>
      </c>
      <c r="D137" s="589" t="s">
        <v>166</v>
      </c>
      <c r="E137" s="609"/>
      <c r="F137" s="609"/>
    </row>
    <row r="138" spans="1:6" s="167" customFormat="1" ht="33.75" x14ac:dyDescent="0.25">
      <c r="A138" s="575" t="s">
        <v>387</v>
      </c>
      <c r="B138" s="583">
        <v>89985</v>
      </c>
      <c r="C138" s="577" t="s">
        <v>389</v>
      </c>
      <c r="D138" s="589" t="s">
        <v>166</v>
      </c>
      <c r="E138" s="609" t="s">
        <v>1103</v>
      </c>
      <c r="F138" s="609">
        <v>6</v>
      </c>
    </row>
    <row r="139" spans="1:6" s="167" customFormat="1" ht="33.75" x14ac:dyDescent="0.25">
      <c r="A139" s="575" t="s">
        <v>390</v>
      </c>
      <c r="B139" s="583">
        <v>102613</v>
      </c>
      <c r="C139" s="577" t="s">
        <v>392</v>
      </c>
      <c r="D139" s="589" t="s">
        <v>166</v>
      </c>
      <c r="E139" s="609" t="s">
        <v>1103</v>
      </c>
      <c r="F139" s="609">
        <v>2</v>
      </c>
    </row>
    <row r="140" spans="1:6" s="167" customFormat="1" ht="22.5" x14ac:dyDescent="0.25">
      <c r="A140" s="575" t="s">
        <v>393</v>
      </c>
      <c r="B140" s="583">
        <v>102609</v>
      </c>
      <c r="C140" s="577" t="s">
        <v>395</v>
      </c>
      <c r="D140" s="589" t="s">
        <v>166</v>
      </c>
      <c r="E140" s="609" t="s">
        <v>1103</v>
      </c>
      <c r="F140" s="609">
        <v>2</v>
      </c>
    </row>
    <row r="141" spans="1:6" s="167" customFormat="1" ht="22.5" x14ac:dyDescent="0.25">
      <c r="A141" s="575" t="s">
        <v>396</v>
      </c>
      <c r="B141" s="583">
        <v>94796</v>
      </c>
      <c r="C141" s="577" t="s">
        <v>398</v>
      </c>
      <c r="D141" s="589" t="s">
        <v>166</v>
      </c>
      <c r="E141" s="609"/>
      <c r="F141" s="609"/>
    </row>
    <row r="142" spans="1:6" s="167" customFormat="1" ht="22.5" x14ac:dyDescent="0.25">
      <c r="A142" s="575" t="s">
        <v>399</v>
      </c>
      <c r="B142" s="583">
        <v>94491</v>
      </c>
      <c r="C142" s="577" t="s">
        <v>401</v>
      </c>
      <c r="D142" s="589" t="s">
        <v>166</v>
      </c>
      <c r="E142" s="609"/>
      <c r="F142" s="609"/>
    </row>
    <row r="143" spans="1:6" s="167" customFormat="1" ht="22.5" x14ac:dyDescent="0.25">
      <c r="A143" s="575" t="s">
        <v>402</v>
      </c>
      <c r="B143" s="583">
        <v>94492</v>
      </c>
      <c r="C143" s="577" t="s">
        <v>404</v>
      </c>
      <c r="D143" s="589" t="s">
        <v>166</v>
      </c>
      <c r="E143" s="609"/>
      <c r="F143" s="609"/>
    </row>
    <row r="144" spans="1:6" s="167" customFormat="1" ht="22.5" x14ac:dyDescent="0.25">
      <c r="A144" s="575" t="s">
        <v>405</v>
      </c>
      <c r="B144" s="583">
        <v>95675</v>
      </c>
      <c r="C144" s="577" t="s">
        <v>407</v>
      </c>
      <c r="D144" s="589" t="s">
        <v>166</v>
      </c>
      <c r="E144" s="609"/>
      <c r="F144" s="609"/>
    </row>
    <row r="145" spans="1:6" s="167" customFormat="1" ht="33.75" x14ac:dyDescent="0.25">
      <c r="A145" s="575" t="s">
        <v>408</v>
      </c>
      <c r="B145" s="583">
        <v>97902</v>
      </c>
      <c r="C145" s="577" t="s">
        <v>410</v>
      </c>
      <c r="D145" s="589" t="s">
        <v>166</v>
      </c>
      <c r="E145" s="609" t="s">
        <v>1104</v>
      </c>
      <c r="F145" s="609">
        <v>7</v>
      </c>
    </row>
    <row r="146" spans="1:6" s="167" customFormat="1" ht="33.75" x14ac:dyDescent="0.25">
      <c r="A146" s="575" t="s">
        <v>411</v>
      </c>
      <c r="B146" s="583">
        <v>99258</v>
      </c>
      <c r="C146" s="577" t="s">
        <v>413</v>
      </c>
      <c r="D146" s="589" t="s">
        <v>166</v>
      </c>
      <c r="E146" s="609" t="s">
        <v>1105</v>
      </c>
      <c r="F146" s="609">
        <v>1</v>
      </c>
    </row>
    <row r="147" spans="1:6" s="167" customFormat="1" ht="33.75" x14ac:dyDescent="0.25">
      <c r="A147" s="575" t="s">
        <v>414</v>
      </c>
      <c r="B147" s="583">
        <v>89482</v>
      </c>
      <c r="C147" s="577" t="s">
        <v>416</v>
      </c>
      <c r="D147" s="589" t="s">
        <v>166</v>
      </c>
      <c r="E147" s="609" t="s">
        <v>1103</v>
      </c>
      <c r="F147" s="609">
        <v>10</v>
      </c>
    </row>
    <row r="148" spans="1:6" s="167" customFormat="1" ht="56.25" x14ac:dyDescent="0.25">
      <c r="A148" s="575" t="s">
        <v>417</v>
      </c>
      <c r="B148" s="583">
        <v>91792</v>
      </c>
      <c r="C148" s="577" t="s">
        <v>419</v>
      </c>
      <c r="D148" s="589" t="s">
        <v>37</v>
      </c>
      <c r="E148" s="609"/>
      <c r="F148" s="609"/>
    </row>
    <row r="149" spans="1:6" s="167" customFormat="1" ht="56.25" x14ac:dyDescent="0.25">
      <c r="A149" s="575" t="s">
        <v>420</v>
      </c>
      <c r="B149" s="583">
        <v>91793</v>
      </c>
      <c r="C149" s="577" t="s">
        <v>422</v>
      </c>
      <c r="D149" s="589" t="s">
        <v>37</v>
      </c>
      <c r="E149" s="609"/>
      <c r="F149" s="609"/>
    </row>
    <row r="150" spans="1:6" s="167" customFormat="1" ht="45" x14ac:dyDescent="0.25">
      <c r="A150" s="575" t="s">
        <v>423</v>
      </c>
      <c r="B150" s="583">
        <v>98107</v>
      </c>
      <c r="C150" s="577" t="s">
        <v>425</v>
      </c>
      <c r="D150" s="589" t="s">
        <v>166</v>
      </c>
      <c r="E150" s="609" t="s">
        <v>1105</v>
      </c>
      <c r="F150" s="609">
        <v>1</v>
      </c>
    </row>
    <row r="151" spans="1:6" s="167" customFormat="1" ht="56.25" x14ac:dyDescent="0.25">
      <c r="A151" s="575" t="s">
        <v>426</v>
      </c>
      <c r="B151" s="583">
        <v>91795</v>
      </c>
      <c r="C151" s="577" t="s">
        <v>428</v>
      </c>
      <c r="D151" s="589" t="s">
        <v>37</v>
      </c>
      <c r="E151" s="609" t="s">
        <v>1106</v>
      </c>
      <c r="F151" s="609">
        <v>60.38</v>
      </c>
    </row>
    <row r="152" spans="1:6" s="167" customFormat="1" ht="33.75" x14ac:dyDescent="0.25">
      <c r="A152" s="575" t="s">
        <v>429</v>
      </c>
      <c r="B152" s="583">
        <v>99251</v>
      </c>
      <c r="C152" s="587" t="s">
        <v>431</v>
      </c>
      <c r="D152" s="589" t="s">
        <v>166</v>
      </c>
      <c r="E152" s="609"/>
      <c r="F152" s="609"/>
    </row>
    <row r="153" spans="1:6" s="167" customFormat="1" ht="56.25" x14ac:dyDescent="0.25">
      <c r="A153" s="575" t="s">
        <v>432</v>
      </c>
      <c r="B153" s="583">
        <v>91790</v>
      </c>
      <c r="C153" s="587" t="s">
        <v>434</v>
      </c>
      <c r="D153" s="589" t="s">
        <v>37</v>
      </c>
      <c r="E153" s="609"/>
      <c r="F153" s="609"/>
    </row>
    <row r="154" spans="1:6" s="167" customFormat="1" ht="14.45" customHeight="1" x14ac:dyDescent="0.25">
      <c r="A154" s="584">
        <v>1.1399999999999999</v>
      </c>
      <c r="B154" s="585" t="s">
        <v>436</v>
      </c>
      <c r="C154" s="577"/>
      <c r="D154" s="589"/>
      <c r="E154" s="609"/>
      <c r="F154" s="609"/>
    </row>
    <row r="155" spans="1:6" s="167" customFormat="1" ht="22.5" x14ac:dyDescent="0.25">
      <c r="A155" s="575" t="s">
        <v>437</v>
      </c>
      <c r="B155" s="576" t="s">
        <v>438</v>
      </c>
      <c r="C155" s="577" t="s">
        <v>439</v>
      </c>
      <c r="D155" s="589" t="s">
        <v>17</v>
      </c>
      <c r="E155" s="609"/>
      <c r="F155" s="609"/>
    </row>
    <row r="156" spans="1:6" s="167" customFormat="1" ht="33.75" x14ac:dyDescent="0.25">
      <c r="A156" s="575" t="s">
        <v>440</v>
      </c>
      <c r="B156" s="583">
        <v>86906</v>
      </c>
      <c r="C156" s="587" t="s">
        <v>442</v>
      </c>
      <c r="D156" s="589" t="s">
        <v>166</v>
      </c>
      <c r="E156" s="609"/>
      <c r="F156" s="609"/>
    </row>
    <row r="157" spans="1:6" s="167" customFormat="1" ht="33.75" x14ac:dyDescent="0.25">
      <c r="A157" s="575" t="s">
        <v>443</v>
      </c>
      <c r="B157" s="583">
        <v>86911</v>
      </c>
      <c r="C157" s="577" t="s">
        <v>445</v>
      </c>
      <c r="D157" s="589" t="s">
        <v>166</v>
      </c>
      <c r="E157" s="609"/>
      <c r="F157" s="609"/>
    </row>
    <row r="158" spans="1:6" s="167" customFormat="1" ht="22.5" x14ac:dyDescent="0.25">
      <c r="A158" s="575" t="s">
        <v>446</v>
      </c>
      <c r="B158" s="583">
        <v>10428</v>
      </c>
      <c r="C158" s="577" t="s">
        <v>448</v>
      </c>
      <c r="D158" s="589" t="s">
        <v>166</v>
      </c>
      <c r="E158" s="609"/>
      <c r="F158" s="609"/>
    </row>
    <row r="159" spans="1:6" s="167" customFormat="1" ht="45" x14ac:dyDescent="0.25">
      <c r="A159" s="575" t="s">
        <v>449</v>
      </c>
      <c r="B159" s="583">
        <v>86932</v>
      </c>
      <c r="C159" s="577" t="s">
        <v>451</v>
      </c>
      <c r="D159" s="589" t="s">
        <v>166</v>
      </c>
      <c r="E159" s="609"/>
      <c r="F159" s="609"/>
    </row>
    <row r="160" spans="1:6" s="167" customFormat="1" ht="45" x14ac:dyDescent="0.25">
      <c r="A160" s="575" t="s">
        <v>452</v>
      </c>
      <c r="B160" s="583">
        <v>86935</v>
      </c>
      <c r="C160" s="577" t="s">
        <v>454</v>
      </c>
      <c r="D160" s="589" t="s">
        <v>166</v>
      </c>
      <c r="E160" s="609"/>
      <c r="F160" s="609"/>
    </row>
    <row r="161" spans="1:6" s="167" customFormat="1" ht="33.75" x14ac:dyDescent="0.25">
      <c r="A161" s="575" t="s">
        <v>455</v>
      </c>
      <c r="B161" s="583">
        <v>100868</v>
      </c>
      <c r="C161" s="577" t="s">
        <v>457</v>
      </c>
      <c r="D161" s="589" t="s">
        <v>166</v>
      </c>
      <c r="E161" s="609"/>
      <c r="F161" s="609"/>
    </row>
    <row r="162" spans="1:6" s="167" customFormat="1" ht="56.25" x14ac:dyDescent="0.25">
      <c r="A162" s="575" t="s">
        <v>458</v>
      </c>
      <c r="B162" s="583">
        <v>86942</v>
      </c>
      <c r="C162" s="577" t="s">
        <v>460</v>
      </c>
      <c r="D162" s="589" t="s">
        <v>166</v>
      </c>
      <c r="E162" s="609"/>
      <c r="F162" s="609"/>
    </row>
    <row r="163" spans="1:6" s="167" customFormat="1" ht="56.25" x14ac:dyDescent="0.25">
      <c r="A163" s="575" t="s">
        <v>461</v>
      </c>
      <c r="B163" s="583">
        <v>86923</v>
      </c>
      <c r="C163" s="577" t="s">
        <v>463</v>
      </c>
      <c r="D163" s="589" t="s">
        <v>166</v>
      </c>
      <c r="E163" s="609"/>
      <c r="F163" s="609"/>
    </row>
    <row r="164" spans="1:6" s="167" customFormat="1" ht="45" x14ac:dyDescent="0.25">
      <c r="A164" s="575" t="s">
        <v>464</v>
      </c>
      <c r="B164" s="583">
        <v>95472</v>
      </c>
      <c r="C164" s="577" t="s">
        <v>466</v>
      </c>
      <c r="D164" s="589" t="s">
        <v>166</v>
      </c>
      <c r="E164" s="609"/>
      <c r="F164" s="609"/>
    </row>
    <row r="165" spans="1:6" s="167" customFormat="1" ht="33.75" x14ac:dyDescent="0.25">
      <c r="A165" s="575" t="s">
        <v>467</v>
      </c>
      <c r="B165" s="583">
        <v>102253</v>
      </c>
      <c r="C165" s="577" t="s">
        <v>469</v>
      </c>
      <c r="D165" s="589" t="s">
        <v>17</v>
      </c>
      <c r="E165" s="609"/>
      <c r="F165" s="609"/>
    </row>
    <row r="166" spans="1:6" s="167" customFormat="1" ht="22.5" x14ac:dyDescent="0.25">
      <c r="A166" s="575" t="s">
        <v>470</v>
      </c>
      <c r="B166" s="583">
        <v>100860</v>
      </c>
      <c r="C166" s="577" t="s">
        <v>472</v>
      </c>
      <c r="D166" s="589" t="s">
        <v>166</v>
      </c>
      <c r="E166" s="609"/>
      <c r="F166" s="609"/>
    </row>
    <row r="167" spans="1:6" s="167" customFormat="1" ht="14.45" customHeight="1" x14ac:dyDescent="0.25">
      <c r="A167" s="584">
        <v>1.1499999999999999</v>
      </c>
      <c r="B167" s="585" t="s">
        <v>474</v>
      </c>
      <c r="C167" s="577"/>
      <c r="D167" s="589"/>
      <c r="E167" s="609"/>
      <c r="F167" s="609"/>
    </row>
    <row r="168" spans="1:6" s="167" customFormat="1" ht="33.75" x14ac:dyDescent="0.25">
      <c r="A168" s="575" t="s">
        <v>475</v>
      </c>
      <c r="B168" s="583">
        <v>99059</v>
      </c>
      <c r="C168" s="577" t="s">
        <v>36</v>
      </c>
      <c r="D168" s="589" t="s">
        <v>37</v>
      </c>
      <c r="E168" s="609"/>
      <c r="F168" s="609"/>
    </row>
    <row r="169" spans="1:6" s="167" customFormat="1" ht="22.5" x14ac:dyDescent="0.25">
      <c r="A169" s="575" t="s">
        <v>476</v>
      </c>
      <c r="B169" s="583">
        <v>93358</v>
      </c>
      <c r="C169" s="577" t="s">
        <v>40</v>
      </c>
      <c r="D169" s="589" t="s">
        <v>41</v>
      </c>
      <c r="E169" s="609"/>
      <c r="F169" s="609"/>
    </row>
    <row r="170" spans="1:6" s="167" customFormat="1" x14ac:dyDescent="0.25">
      <c r="A170" s="575" t="s">
        <v>477</v>
      </c>
      <c r="B170" s="583">
        <v>96995</v>
      </c>
      <c r="C170" s="577" t="s">
        <v>44</v>
      </c>
      <c r="D170" s="589" t="s">
        <v>41</v>
      </c>
      <c r="E170" s="609"/>
      <c r="F170" s="609"/>
    </row>
    <row r="171" spans="1:6" s="168" customFormat="1" ht="22.5" x14ac:dyDescent="0.25">
      <c r="A171" s="575" t="s">
        <v>478</v>
      </c>
      <c r="B171" s="583">
        <v>93205</v>
      </c>
      <c r="C171" s="577" t="s">
        <v>480</v>
      </c>
      <c r="D171" s="589" t="s">
        <v>37</v>
      </c>
      <c r="E171" s="611"/>
      <c r="F171" s="611"/>
    </row>
    <row r="172" spans="1:6" s="167" customFormat="1" ht="22.5" x14ac:dyDescent="0.25">
      <c r="A172" s="575" t="s">
        <v>481</v>
      </c>
      <c r="B172" s="583">
        <v>101616</v>
      </c>
      <c r="C172" s="577" t="s">
        <v>55</v>
      </c>
      <c r="D172" s="589" t="s">
        <v>17</v>
      </c>
      <c r="E172" s="609"/>
      <c r="F172" s="609"/>
    </row>
    <row r="173" spans="1:6" s="167" customFormat="1" ht="33.75" x14ac:dyDescent="0.25">
      <c r="A173" s="575" t="s">
        <v>482</v>
      </c>
      <c r="B173" s="583">
        <v>96619</v>
      </c>
      <c r="C173" s="577" t="s">
        <v>58</v>
      </c>
      <c r="D173" s="589" t="s">
        <v>17</v>
      </c>
      <c r="E173" s="609"/>
      <c r="F173" s="609"/>
    </row>
    <row r="174" spans="1:6" s="167" customFormat="1" ht="22.5" x14ac:dyDescent="0.25">
      <c r="A174" s="575" t="s">
        <v>483</v>
      </c>
      <c r="B174" s="583">
        <v>96545</v>
      </c>
      <c r="C174" s="587" t="s">
        <v>61</v>
      </c>
      <c r="D174" s="589" t="s">
        <v>62</v>
      </c>
      <c r="E174" s="609"/>
      <c r="F174" s="609"/>
    </row>
    <row r="175" spans="1:6" s="168" customFormat="1" ht="33.75" x14ac:dyDescent="0.25">
      <c r="A175" s="575" t="s">
        <v>484</v>
      </c>
      <c r="B175" s="583">
        <v>94966</v>
      </c>
      <c r="C175" s="587" t="s">
        <v>65</v>
      </c>
      <c r="D175" s="589" t="s">
        <v>41</v>
      </c>
      <c r="E175" s="611"/>
      <c r="F175" s="611"/>
    </row>
    <row r="176" spans="1:6" s="167" customFormat="1" ht="41.45" customHeight="1" x14ac:dyDescent="0.25">
      <c r="A176" s="575" t="s">
        <v>485</v>
      </c>
      <c r="B176" s="583">
        <v>103800</v>
      </c>
      <c r="C176" s="577" t="s">
        <v>487</v>
      </c>
      <c r="D176" s="589" t="s">
        <v>41</v>
      </c>
      <c r="E176" s="609"/>
      <c r="F176" s="609"/>
    </row>
    <row r="177" spans="1:6" s="168" customFormat="1" ht="22.5" x14ac:dyDescent="0.25">
      <c r="A177" s="575" t="s">
        <v>488</v>
      </c>
      <c r="B177" s="583">
        <v>103670</v>
      </c>
      <c r="C177" s="577" t="s">
        <v>71</v>
      </c>
      <c r="D177" s="589" t="s">
        <v>41</v>
      </c>
      <c r="E177" s="611"/>
      <c r="F177" s="611"/>
    </row>
    <row r="178" spans="1:6" s="168" customFormat="1" ht="22.5" x14ac:dyDescent="0.25">
      <c r="A178" s="575" t="s">
        <v>489</v>
      </c>
      <c r="B178" s="583">
        <v>96543</v>
      </c>
      <c r="C178" s="577" t="s">
        <v>74</v>
      </c>
      <c r="D178" s="589" t="s">
        <v>62</v>
      </c>
      <c r="E178" s="611"/>
      <c r="F178" s="611"/>
    </row>
    <row r="179" spans="1:6" s="168" customFormat="1" ht="22.5" x14ac:dyDescent="0.25">
      <c r="A179" s="575" t="s">
        <v>490</v>
      </c>
      <c r="B179" s="583">
        <v>96546</v>
      </c>
      <c r="C179" s="587" t="s">
        <v>80</v>
      </c>
      <c r="D179" s="589" t="s">
        <v>62</v>
      </c>
      <c r="E179" s="611"/>
      <c r="F179" s="611"/>
    </row>
    <row r="180" spans="1:6" s="168" customFormat="1" ht="33.75" x14ac:dyDescent="0.25">
      <c r="A180" s="575" t="s">
        <v>491</v>
      </c>
      <c r="B180" s="583">
        <v>96536</v>
      </c>
      <c r="C180" s="577" t="s">
        <v>86</v>
      </c>
      <c r="D180" s="589" t="s">
        <v>17</v>
      </c>
      <c r="E180" s="611"/>
      <c r="F180" s="611"/>
    </row>
    <row r="181" spans="1:6" s="169" customFormat="1" ht="22.5" x14ac:dyDescent="0.25">
      <c r="A181" s="575" t="s">
        <v>492</v>
      </c>
      <c r="B181" s="583">
        <v>98557</v>
      </c>
      <c r="C181" s="577" t="s">
        <v>89</v>
      </c>
      <c r="D181" s="589" t="s">
        <v>17</v>
      </c>
      <c r="E181" s="610"/>
      <c r="F181" s="610"/>
    </row>
    <row r="182" spans="1:6" s="169" customFormat="1" ht="45" x14ac:dyDescent="0.25">
      <c r="A182" s="575" t="s">
        <v>493</v>
      </c>
      <c r="B182" s="583">
        <v>103356</v>
      </c>
      <c r="C182" s="577" t="s">
        <v>137</v>
      </c>
      <c r="D182" s="589" t="s">
        <v>17</v>
      </c>
      <c r="E182" s="610"/>
      <c r="F182" s="610"/>
    </row>
    <row r="183" spans="1:6" s="169" customFormat="1" ht="45" x14ac:dyDescent="0.25">
      <c r="A183" s="575" t="s">
        <v>494</v>
      </c>
      <c r="B183" s="583">
        <v>87893</v>
      </c>
      <c r="C183" s="577" t="s">
        <v>151</v>
      </c>
      <c r="D183" s="589" t="s">
        <v>17</v>
      </c>
      <c r="E183" s="610"/>
      <c r="F183" s="610"/>
    </row>
    <row r="184" spans="1:6" s="167" customFormat="1" ht="45" x14ac:dyDescent="0.25">
      <c r="A184" s="575" t="s">
        <v>495</v>
      </c>
      <c r="B184" s="583">
        <v>87548</v>
      </c>
      <c r="C184" s="577" t="s">
        <v>154</v>
      </c>
      <c r="D184" s="589" t="s">
        <v>17</v>
      </c>
      <c r="E184" s="609"/>
      <c r="F184" s="609"/>
    </row>
    <row r="185" spans="1:6" s="167" customFormat="1" ht="22.5" x14ac:dyDescent="0.25">
      <c r="A185" s="575" t="s">
        <v>496</v>
      </c>
      <c r="B185" s="583">
        <v>88489</v>
      </c>
      <c r="C185" s="577" t="s">
        <v>198</v>
      </c>
      <c r="D185" s="589" t="s">
        <v>17</v>
      </c>
      <c r="E185" s="609"/>
      <c r="F185" s="609"/>
    </row>
    <row r="186" spans="1:6" s="167" customFormat="1" ht="22.5" x14ac:dyDescent="0.25">
      <c r="A186" s="575" t="s">
        <v>497</v>
      </c>
      <c r="B186" s="583">
        <v>95305</v>
      </c>
      <c r="C186" s="577" t="s">
        <v>499</v>
      </c>
      <c r="D186" s="589" t="s">
        <v>17</v>
      </c>
      <c r="E186" s="609"/>
      <c r="F186" s="609"/>
    </row>
    <row r="187" spans="1:6" s="167" customFormat="1" ht="14.45" customHeight="1" x14ac:dyDescent="0.25">
      <c r="A187" s="584">
        <v>1.1599999999999999</v>
      </c>
      <c r="B187" s="585" t="s">
        <v>501</v>
      </c>
      <c r="C187" s="577"/>
      <c r="D187" s="589"/>
      <c r="E187" s="609"/>
      <c r="F187" s="609"/>
    </row>
    <row r="188" spans="1:6" s="167" customFormat="1" ht="33.75" x14ac:dyDescent="0.25">
      <c r="A188" s="575" t="s">
        <v>502</v>
      </c>
      <c r="B188" s="576" t="s">
        <v>503</v>
      </c>
      <c r="C188" s="577" t="s">
        <v>504</v>
      </c>
      <c r="D188" s="589" t="s">
        <v>166</v>
      </c>
      <c r="E188" s="609"/>
      <c r="F188" s="609"/>
    </row>
    <row r="189" spans="1:6" s="167" customFormat="1" ht="45" x14ac:dyDescent="0.25">
      <c r="A189" s="575" t="s">
        <v>505</v>
      </c>
      <c r="B189" s="576" t="s">
        <v>506</v>
      </c>
      <c r="C189" s="592" t="s">
        <v>507</v>
      </c>
      <c r="D189" s="589" t="s">
        <v>166</v>
      </c>
      <c r="E189" s="609"/>
      <c r="F189" s="609"/>
    </row>
    <row r="190" spans="1:6" s="167" customFormat="1" x14ac:dyDescent="0.25">
      <c r="A190" s="599">
        <v>1.17</v>
      </c>
      <c r="B190" s="600" t="s">
        <v>1030</v>
      </c>
      <c r="C190" s="601"/>
      <c r="D190" s="602"/>
      <c r="E190" s="609"/>
      <c r="F190" s="609"/>
    </row>
    <row r="191" spans="1:6" s="167" customFormat="1" ht="30.6" customHeight="1" x14ac:dyDescent="0.25">
      <c r="A191" s="575" t="s">
        <v>1017</v>
      </c>
      <c r="B191" s="583">
        <v>94316</v>
      </c>
      <c r="C191" s="577" t="s">
        <v>1035</v>
      </c>
      <c r="D191" s="589" t="s">
        <v>41</v>
      </c>
      <c r="E191" s="609"/>
      <c r="F191" s="609"/>
    </row>
    <row r="192" spans="1:6" s="167" customFormat="1" ht="30.6" customHeight="1" x14ac:dyDescent="0.25">
      <c r="A192" s="575" t="s">
        <v>1018</v>
      </c>
      <c r="B192" s="583">
        <v>97626</v>
      </c>
      <c r="C192" s="577" t="s">
        <v>1036</v>
      </c>
      <c r="D192" s="589" t="s">
        <v>41</v>
      </c>
      <c r="E192" s="609"/>
      <c r="F192" s="609"/>
    </row>
    <row r="193" spans="1:6" s="167" customFormat="1" ht="30.6" customHeight="1" x14ac:dyDescent="0.25">
      <c r="A193" s="575" t="s">
        <v>1019</v>
      </c>
      <c r="B193" s="583">
        <v>97622</v>
      </c>
      <c r="C193" s="577" t="s">
        <v>1037</v>
      </c>
      <c r="D193" s="589" t="s">
        <v>41</v>
      </c>
      <c r="E193" s="609"/>
      <c r="F193" s="609"/>
    </row>
    <row r="194" spans="1:6" s="167" customFormat="1" ht="30.6" customHeight="1" x14ac:dyDescent="0.25">
      <c r="A194" s="575" t="s">
        <v>1020</v>
      </c>
      <c r="B194" s="583" t="s">
        <v>1031</v>
      </c>
      <c r="C194" s="577" t="s">
        <v>1038</v>
      </c>
      <c r="D194" s="589" t="s">
        <v>1046</v>
      </c>
      <c r="E194" s="609"/>
      <c r="F194" s="609"/>
    </row>
    <row r="195" spans="1:6" s="167" customFormat="1" ht="30.6" customHeight="1" x14ac:dyDescent="0.25">
      <c r="A195" s="575" t="s">
        <v>1021</v>
      </c>
      <c r="B195" s="583">
        <v>101493</v>
      </c>
      <c r="C195" s="577" t="s">
        <v>1039</v>
      </c>
      <c r="D195" s="589" t="s">
        <v>166</v>
      </c>
      <c r="E195" s="609"/>
      <c r="F195" s="609"/>
    </row>
    <row r="196" spans="1:6" s="167" customFormat="1" ht="30.6" customHeight="1" x14ac:dyDescent="0.25">
      <c r="A196" s="575" t="s">
        <v>1022</v>
      </c>
      <c r="B196" s="583" t="s">
        <v>1032</v>
      </c>
      <c r="C196" s="577" t="s">
        <v>1040</v>
      </c>
      <c r="D196" s="589" t="s">
        <v>166</v>
      </c>
      <c r="E196" s="609"/>
      <c r="F196" s="609"/>
    </row>
    <row r="197" spans="1:6" s="167" customFormat="1" ht="30.6" customHeight="1" x14ac:dyDescent="0.25">
      <c r="A197" s="575" t="s">
        <v>1023</v>
      </c>
      <c r="B197" s="583" t="s">
        <v>1033</v>
      </c>
      <c r="C197" s="577" t="s">
        <v>1041</v>
      </c>
      <c r="D197" s="589" t="s">
        <v>37</v>
      </c>
      <c r="E197" s="609" t="s">
        <v>1107</v>
      </c>
      <c r="F197" s="609">
        <v>32</v>
      </c>
    </row>
    <row r="198" spans="1:6" s="167" customFormat="1" ht="30.6" customHeight="1" x14ac:dyDescent="0.25">
      <c r="A198" s="575" t="s">
        <v>1024</v>
      </c>
      <c r="B198" s="583" t="s">
        <v>1034</v>
      </c>
      <c r="C198" s="577" t="s">
        <v>1042</v>
      </c>
      <c r="D198" s="589" t="s">
        <v>37</v>
      </c>
      <c r="E198" s="609" t="s">
        <v>1108</v>
      </c>
      <c r="F198" s="609">
        <v>13</v>
      </c>
    </row>
    <row r="199" spans="1:6" s="167" customFormat="1" ht="30.6" customHeight="1" x14ac:dyDescent="0.25">
      <c r="A199" s="575" t="s">
        <v>1025</v>
      </c>
      <c r="B199" s="583">
        <v>87887</v>
      </c>
      <c r="C199" s="577" t="s">
        <v>1043</v>
      </c>
      <c r="D199" s="589" t="s">
        <v>17</v>
      </c>
      <c r="E199" s="609"/>
      <c r="F199" s="609"/>
    </row>
    <row r="200" spans="1:6" s="167" customFormat="1" ht="30.6" customHeight="1" x14ac:dyDescent="0.25">
      <c r="A200" s="575" t="s">
        <v>1026</v>
      </c>
      <c r="B200" s="583">
        <v>90408</v>
      </c>
      <c r="C200" s="577" t="s">
        <v>1044</v>
      </c>
      <c r="D200" s="589" t="s">
        <v>17</v>
      </c>
      <c r="E200" s="609"/>
      <c r="F200" s="609"/>
    </row>
    <row r="201" spans="1:6" s="167" customFormat="1" ht="30.6" customHeight="1" x14ac:dyDescent="0.25">
      <c r="A201" s="575" t="s">
        <v>1027</v>
      </c>
      <c r="B201" s="583">
        <v>88494</v>
      </c>
      <c r="C201" s="577" t="s">
        <v>204</v>
      </c>
      <c r="D201" s="589" t="s">
        <v>17</v>
      </c>
      <c r="E201" s="609"/>
      <c r="F201" s="609"/>
    </row>
    <row r="202" spans="1:6" s="167" customFormat="1" ht="30.6" customHeight="1" thickBot="1" x14ac:dyDescent="0.3">
      <c r="A202" s="604" t="s">
        <v>1028</v>
      </c>
      <c r="B202" s="605">
        <v>88486</v>
      </c>
      <c r="C202" s="606" t="s">
        <v>1045</v>
      </c>
      <c r="D202" s="607" t="s">
        <v>17</v>
      </c>
      <c r="E202" s="609"/>
      <c r="F202" s="609"/>
    </row>
    <row r="203" spans="1:6" x14ac:dyDescent="0.25">
      <c r="A203" s="167"/>
      <c r="B203" s="167"/>
      <c r="C203" s="167"/>
      <c r="D203" s="231"/>
    </row>
    <row r="205" spans="1:6" ht="24" customHeight="1" x14ac:dyDescent="0.25"/>
  </sheetData>
  <mergeCells count="7">
    <mergeCell ref="E4:E5"/>
    <mergeCell ref="F4:F5"/>
    <mergeCell ref="A2:F2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  <pageSetup paperSize="9" scale="6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0DE3-A014-4742-B93F-E9DD2CE1A43D}">
  <sheetPr>
    <pageSetUpPr fitToPage="1"/>
  </sheetPr>
  <dimension ref="A1:U594"/>
  <sheetViews>
    <sheetView topLeftCell="A300" zoomScale="78" zoomScaleNormal="205" workbookViewId="0">
      <selection activeCell="J317" sqref="J317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33" t="s">
        <v>1047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f>'BOLETIM DE MEDIÇÃO 11'!B8:C8</f>
        <v>45926</v>
      </c>
      <c r="C8" s="448"/>
      <c r="D8" s="23" t="str">
        <f>'BOLETIM DE MEDIÇÃO 11'!D8</f>
        <v>14/03/2025 a 26/09/2025</v>
      </c>
      <c r="E8" s="449">
        <f>'BOLETIM DE MEDIÇÃO 11'!E8</f>
        <v>125103.41000000003</v>
      </c>
      <c r="F8" s="450"/>
      <c r="G8" s="451"/>
      <c r="H8" s="452">
        <f>'BOLETIM DE MEDIÇÃO 11'!P8</f>
        <v>690790.10710544977</v>
      </c>
      <c r="I8" s="453"/>
      <c r="J8" s="454" t="s">
        <v>1006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hidden="1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10'!K14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10'!K15</f>
        <v>2.25</v>
      </c>
      <c r="K15" s="81">
        <f>F15*G15*H15</f>
        <v>2.75</v>
      </c>
      <c r="L15" s="82">
        <f t="shared" ref="L15:L453" si="0">J15+K15</f>
        <v>5</v>
      </c>
      <c r="M15" s="82">
        <f>'BOLETIM DE MEDIÇÃO 05'!G15</f>
        <v>5</v>
      </c>
      <c r="N15" s="86">
        <f t="shared" ref="N15:N453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10'!K16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10'!K17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10'!K19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10'!K21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10'!K24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10'!K25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2">
        <v>1</v>
      </c>
      <c r="G70" s="499">
        <f>43.05</f>
        <v>43.05</v>
      </c>
      <c r="H70" s="500"/>
      <c r="I70" s="501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3"/>
      <c r="G71" s="502"/>
      <c r="H71" s="503"/>
      <c r="I71" s="504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6" t="s">
        <v>883</v>
      </c>
      <c r="H72" s="497"/>
      <c r="I72" s="498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4" t="s">
        <v>838</v>
      </c>
      <c r="H73" s="495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4">
        <v>9</v>
      </c>
      <c r="H74" s="495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4">
        <v>5</v>
      </c>
      <c r="H75" s="495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4">
        <f xml:space="preserve"> (13.03 * 2.7)</f>
        <v>35.180999999999997</v>
      </c>
      <c r="H76" s="495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4">
        <v>3</v>
      </c>
      <c r="H77" s="495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4">
        <v>7</v>
      </c>
      <c r="H78" s="495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4">
        <v>21</v>
      </c>
      <c r="H79" s="495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4">
        <v>27</v>
      </c>
      <c r="H80" s="495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4">
        <v>26</v>
      </c>
      <c r="H81" s="495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4">
        <v>1.6</v>
      </c>
      <c r="H82" s="495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4">
        <v>1.6</v>
      </c>
      <c r="H83" s="495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4">
        <v>45</v>
      </c>
      <c r="H84" s="495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4">
        <v>19</v>
      </c>
      <c r="H85" s="495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4">
        <v>19</v>
      </c>
      <c r="H86" s="495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4">
        <v>5</v>
      </c>
      <c r="H87" s="495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4">
        <v>14</v>
      </c>
      <c r="H88" s="495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5">
        <v>36</v>
      </c>
      <c r="H89" s="506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5">
        <v>46</v>
      </c>
      <c r="H90" s="506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4">
        <v>41</v>
      </c>
      <c r="H91" s="495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4">
        <v>27</v>
      </c>
      <c r="H92" s="495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4">
        <v>53</v>
      </c>
      <c r="H93" s="495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4">
        <f xml:space="preserve"> (2.65*1.8)</f>
        <v>4.7699999999999996</v>
      </c>
      <c r="H94" s="495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4">
        <v>30</v>
      </c>
      <c r="H95" s="495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4">
        <v>30</v>
      </c>
      <c r="H96" s="495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4">
        <v>14</v>
      </c>
      <c r="H97" s="495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4">
        <v>14</v>
      </c>
      <c r="H98" s="495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4">
        <v>20</v>
      </c>
      <c r="H99" s="495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4">
        <v>3</v>
      </c>
      <c r="H100" s="495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4">
        <v>4</v>
      </c>
      <c r="H101" s="495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4">
        <v>12</v>
      </c>
      <c r="H102" s="495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4">
        <v>20</v>
      </c>
      <c r="H103" s="495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4">
        <v>4</v>
      </c>
      <c r="H104" s="495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4">
        <v>5</v>
      </c>
      <c r="H105" s="495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4">
        <f>1184.23-SUM(G74:H105)</f>
        <v>582.07900000000006</v>
      </c>
      <c r="H106" s="495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94"/>
      <c r="H107" s="495"/>
      <c r="I107" s="105"/>
      <c r="J107" s="99"/>
      <c r="K107" s="81"/>
      <c r="L107" s="82"/>
      <c r="M107" s="82"/>
      <c r="N107" s="86"/>
    </row>
    <row r="108" spans="2:14" ht="40.9" customHeight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31" t="s">
        <v>1074</v>
      </c>
      <c r="H108" s="532"/>
      <c r="I108" s="533"/>
      <c r="J108" s="99">
        <f>'BOLETIM DE MEDIÇÃO 11'!S26</f>
        <v>51.695410000000003</v>
      </c>
      <c r="K108" s="81">
        <f>SUM(K110:K187)-13.99</f>
        <v>41.333933999999992</v>
      </c>
      <c r="L108" s="82">
        <f t="shared" si="0"/>
        <v>93.029343999999995</v>
      </c>
      <c r="M108" s="82">
        <f>'BOLETIM DE MEDIÇÃO 11'!G26</f>
        <v>55.32</v>
      </c>
      <c r="N108" s="86">
        <f t="shared" si="1"/>
        <v>-37.709343999999994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656</v>
      </c>
      <c r="E110" s="64"/>
      <c r="F110" s="94"/>
      <c r="G110" s="159">
        <v>4.758</v>
      </c>
      <c r="H110" s="92">
        <v>0.2</v>
      </c>
      <c r="I110" s="105" t="s">
        <v>660</v>
      </c>
      <c r="J110" s="99"/>
      <c r="K110" s="82">
        <v>0.58999199999999996</v>
      </c>
      <c r="L110" s="82"/>
      <c r="M110" s="82"/>
      <c r="N110" s="86"/>
    </row>
    <row r="111" spans="2:14" x14ac:dyDescent="0.25">
      <c r="B111" s="49"/>
      <c r="C111" s="58"/>
      <c r="D111" s="144" t="s">
        <v>657</v>
      </c>
      <c r="E111" s="64"/>
      <c r="F111" s="94"/>
      <c r="G111" s="159">
        <v>3.097</v>
      </c>
      <c r="H111" s="92">
        <v>0.2</v>
      </c>
      <c r="I111" s="105" t="s">
        <v>655</v>
      </c>
      <c r="J111" s="99"/>
      <c r="K111" s="82">
        <v>0.30040899999999998</v>
      </c>
      <c r="L111" s="82"/>
      <c r="M111" s="82"/>
      <c r="N111" s="86"/>
    </row>
    <row r="112" spans="2:14" x14ac:dyDescent="0.25">
      <c r="B112" s="49"/>
      <c r="C112" s="58"/>
      <c r="D112" s="144" t="s">
        <v>658</v>
      </c>
      <c r="E112" s="64"/>
      <c r="F112" s="94"/>
      <c r="G112" s="159">
        <v>3.0470000000000002</v>
      </c>
      <c r="H112" s="92">
        <v>0.2</v>
      </c>
      <c r="I112" s="105" t="s">
        <v>655</v>
      </c>
      <c r="J112" s="99"/>
      <c r="K112" s="82">
        <v>0.29555900000000002</v>
      </c>
      <c r="L112" s="82"/>
      <c r="M112" s="82"/>
      <c r="N112" s="86"/>
    </row>
    <row r="113" spans="2:14" x14ac:dyDescent="0.25">
      <c r="B113" s="49"/>
      <c r="C113" s="58"/>
      <c r="D113" s="144" t="s">
        <v>659</v>
      </c>
      <c r="E113" s="64"/>
      <c r="F113" s="94"/>
      <c r="G113" s="159">
        <v>5.109</v>
      </c>
      <c r="H113" s="92">
        <v>0.2</v>
      </c>
      <c r="I113" s="105" t="s">
        <v>660</v>
      </c>
      <c r="J113" s="99"/>
      <c r="K113" s="82">
        <v>0.49557300000000004</v>
      </c>
      <c r="L113" s="82"/>
      <c r="M113" s="82"/>
      <c r="N113" s="86"/>
    </row>
    <row r="114" spans="2:14" x14ac:dyDescent="0.25">
      <c r="B114" s="49"/>
      <c r="C114" s="58"/>
      <c r="D114" s="144" t="s">
        <v>661</v>
      </c>
      <c r="E114" s="64"/>
      <c r="F114" s="94"/>
      <c r="G114" s="159">
        <v>2.5640000000000001</v>
      </c>
      <c r="H114" s="92">
        <v>0.2</v>
      </c>
      <c r="I114" s="105" t="s">
        <v>664</v>
      </c>
      <c r="J114" s="99"/>
      <c r="K114" s="82">
        <v>0.17948</v>
      </c>
      <c r="L114" s="82"/>
      <c r="M114" s="82"/>
      <c r="N114" s="86"/>
    </row>
    <row r="115" spans="2:14" x14ac:dyDescent="0.25">
      <c r="B115" s="49"/>
      <c r="C115" s="58"/>
      <c r="D115" s="144" t="s">
        <v>662</v>
      </c>
      <c r="E115" s="64"/>
      <c r="F115" s="94"/>
      <c r="G115" s="159">
        <v>1.6779999999999999</v>
      </c>
      <c r="H115" s="92">
        <v>0.2</v>
      </c>
      <c r="I115" s="105" t="s">
        <v>664</v>
      </c>
      <c r="J115" s="99"/>
      <c r="K115" s="82">
        <v>0.11745999999999999</v>
      </c>
      <c r="L115" s="82"/>
      <c r="M115" s="82"/>
      <c r="N115" s="86"/>
    </row>
    <row r="116" spans="2:14" x14ac:dyDescent="0.25">
      <c r="B116" s="49"/>
      <c r="C116" s="58"/>
      <c r="D116" s="144" t="s">
        <v>663</v>
      </c>
      <c r="E116" s="64"/>
      <c r="F116" s="94"/>
      <c r="G116" s="159">
        <v>6.5330000000000004</v>
      </c>
      <c r="H116" s="92">
        <v>0.2</v>
      </c>
      <c r="I116" s="105" t="s">
        <v>665</v>
      </c>
      <c r="J116" s="99"/>
      <c r="K116" s="82">
        <v>0.64676700000000009</v>
      </c>
      <c r="L116" s="82"/>
      <c r="M116" s="82"/>
      <c r="N116" s="86"/>
    </row>
    <row r="117" spans="2:14" x14ac:dyDescent="0.25">
      <c r="B117" s="49"/>
      <c r="C117" s="58"/>
      <c r="D117" s="144" t="s">
        <v>666</v>
      </c>
      <c r="E117" s="64"/>
      <c r="F117" s="94"/>
      <c r="G117" s="104">
        <v>12.68</v>
      </c>
      <c r="H117" s="92">
        <v>0.2</v>
      </c>
      <c r="I117" s="105" t="s">
        <v>668</v>
      </c>
      <c r="J117" s="99"/>
      <c r="K117" s="82">
        <v>1.36944</v>
      </c>
      <c r="L117" s="82"/>
      <c r="M117" s="82"/>
      <c r="N117" s="86"/>
    </row>
    <row r="118" spans="2:14" x14ac:dyDescent="0.25">
      <c r="B118" s="49"/>
      <c r="C118" s="58"/>
      <c r="D118" s="144" t="s">
        <v>667</v>
      </c>
      <c r="E118" s="64"/>
      <c r="F118" s="94"/>
      <c r="G118" s="104">
        <v>1.85</v>
      </c>
      <c r="H118" s="92">
        <v>0.2</v>
      </c>
      <c r="I118" s="105" t="s">
        <v>669</v>
      </c>
      <c r="J118" s="99"/>
      <c r="K118" s="82">
        <v>0.18500000000000003</v>
      </c>
      <c r="L118" s="82"/>
      <c r="M118" s="82"/>
      <c r="N118" s="86"/>
    </row>
    <row r="119" spans="2:14" x14ac:dyDescent="0.25">
      <c r="B119" s="49"/>
      <c r="C119" s="58"/>
      <c r="D119" s="144" t="s">
        <v>671</v>
      </c>
      <c r="E119" s="64"/>
      <c r="F119" s="94"/>
      <c r="G119" s="104">
        <v>9.4600000000000009</v>
      </c>
      <c r="H119" s="92">
        <v>0.2</v>
      </c>
      <c r="I119" s="105" t="s">
        <v>670</v>
      </c>
      <c r="J119" s="99"/>
      <c r="K119" s="82">
        <v>0.97438000000000025</v>
      </c>
      <c r="L119" s="82"/>
      <c r="M119" s="82"/>
      <c r="N119" s="86"/>
    </row>
    <row r="120" spans="2:14" x14ac:dyDescent="0.25">
      <c r="B120" s="49"/>
      <c r="C120" s="58"/>
      <c r="D120" s="144" t="s">
        <v>673</v>
      </c>
      <c r="E120" s="64"/>
      <c r="F120" s="94"/>
      <c r="G120" s="104">
        <v>2.33</v>
      </c>
      <c r="H120" s="92">
        <v>0.2</v>
      </c>
      <c r="I120" s="105" t="s">
        <v>672</v>
      </c>
      <c r="J120" s="99"/>
      <c r="K120" s="82">
        <v>0.25630000000000003</v>
      </c>
      <c r="L120" s="82"/>
      <c r="M120" s="82"/>
      <c r="N120" s="86"/>
    </row>
    <row r="121" spans="2:14" x14ac:dyDescent="0.25">
      <c r="B121" s="49"/>
      <c r="C121" s="58"/>
      <c r="D121" s="144" t="s">
        <v>674</v>
      </c>
      <c r="E121" s="64"/>
      <c r="F121" s="94"/>
      <c r="G121" s="104">
        <v>9.7899999999999991</v>
      </c>
      <c r="H121" s="92">
        <v>0.2</v>
      </c>
      <c r="I121" s="105" t="s">
        <v>675</v>
      </c>
      <c r="J121" s="99"/>
      <c r="K121" s="82">
        <v>1.0475299999999999</v>
      </c>
      <c r="L121" s="82"/>
      <c r="M121" s="82"/>
      <c r="N121" s="86"/>
    </row>
    <row r="122" spans="2:14" x14ac:dyDescent="0.25">
      <c r="B122" s="49"/>
      <c r="C122" s="58"/>
      <c r="D122" s="241" t="s">
        <v>677</v>
      </c>
      <c r="E122" s="242"/>
      <c r="F122" s="94"/>
      <c r="G122" s="244">
        <v>2.38</v>
      </c>
      <c r="H122" s="245">
        <v>0.2</v>
      </c>
      <c r="I122" s="246" t="s">
        <v>660</v>
      </c>
      <c r="J122" s="99"/>
      <c r="K122" s="82">
        <v>0.26179999999999998</v>
      </c>
      <c r="L122" s="82"/>
      <c r="M122" s="82"/>
      <c r="N122" s="86"/>
    </row>
    <row r="123" spans="2:14" x14ac:dyDescent="0.25">
      <c r="B123" s="49"/>
      <c r="C123" s="58"/>
      <c r="D123" s="144" t="s">
        <v>678</v>
      </c>
      <c r="E123" s="64"/>
      <c r="F123" s="94"/>
      <c r="G123" s="104">
        <v>2.65</v>
      </c>
      <c r="H123" s="92">
        <v>0.2</v>
      </c>
      <c r="I123" s="105" t="s">
        <v>660</v>
      </c>
      <c r="J123" s="99"/>
      <c r="K123" s="82">
        <v>0.3286</v>
      </c>
      <c r="L123" s="82"/>
      <c r="M123" s="82"/>
      <c r="N123" s="86"/>
    </row>
    <row r="124" spans="2:14" x14ac:dyDescent="0.25">
      <c r="B124" s="49"/>
      <c r="C124" s="58"/>
      <c r="D124" s="144" t="s">
        <v>1048</v>
      </c>
      <c r="E124" s="64"/>
      <c r="F124" s="94"/>
      <c r="G124" s="104">
        <v>2.38</v>
      </c>
      <c r="H124" s="92">
        <v>0.2</v>
      </c>
      <c r="I124" s="105" t="s">
        <v>660</v>
      </c>
      <c r="J124" s="99"/>
      <c r="K124" s="82">
        <v>0.29511999999999999</v>
      </c>
      <c r="L124" s="82"/>
      <c r="M124" s="82"/>
      <c r="N124" s="86"/>
    </row>
    <row r="125" spans="2:14" x14ac:dyDescent="0.25">
      <c r="B125" s="49"/>
      <c r="C125" s="58"/>
      <c r="D125" s="144" t="s">
        <v>715</v>
      </c>
      <c r="E125" s="64"/>
      <c r="F125" s="94"/>
      <c r="G125" s="104">
        <v>15.175000000000001</v>
      </c>
      <c r="H125" s="92">
        <v>0.2</v>
      </c>
      <c r="I125" s="105" t="s">
        <v>716</v>
      </c>
      <c r="J125" s="99"/>
      <c r="K125" s="82">
        <v>1.107775</v>
      </c>
      <c r="L125" s="82"/>
      <c r="M125" s="82"/>
      <c r="N125" s="86"/>
    </row>
    <row r="126" spans="2:14" x14ac:dyDescent="0.25">
      <c r="B126" s="49"/>
      <c r="C126" s="58"/>
      <c r="D126" s="144" t="s">
        <v>717</v>
      </c>
      <c r="E126" s="64"/>
      <c r="F126" s="94"/>
      <c r="G126" s="104">
        <v>11</v>
      </c>
      <c r="H126" s="92">
        <v>0.2</v>
      </c>
      <c r="I126" s="105" t="s">
        <v>718</v>
      </c>
      <c r="J126" s="99"/>
      <c r="K126" s="82">
        <v>0.44000000000000006</v>
      </c>
      <c r="L126" s="82"/>
      <c r="M126" s="82"/>
      <c r="N126" s="86"/>
    </row>
    <row r="127" spans="2:14" x14ac:dyDescent="0.25">
      <c r="B127" s="49"/>
      <c r="C127" s="58"/>
      <c r="D127" s="144" t="s">
        <v>719</v>
      </c>
      <c r="E127" s="64"/>
      <c r="F127" s="94"/>
      <c r="G127" s="104">
        <v>1.9</v>
      </c>
      <c r="H127" s="92">
        <v>0.2</v>
      </c>
      <c r="I127" s="105" t="s">
        <v>718</v>
      </c>
      <c r="J127" s="99"/>
      <c r="K127" s="82">
        <v>7.6000000000000012E-2</v>
      </c>
      <c r="L127" s="82"/>
      <c r="M127" s="82"/>
      <c r="N127" s="86"/>
    </row>
    <row r="128" spans="2:14" x14ac:dyDescent="0.25">
      <c r="B128" s="49"/>
      <c r="C128" s="58"/>
      <c r="D128" s="144" t="s">
        <v>720</v>
      </c>
      <c r="E128" s="64"/>
      <c r="F128" s="94"/>
      <c r="G128" s="104">
        <v>6.38</v>
      </c>
      <c r="H128" s="92">
        <v>0.2</v>
      </c>
      <c r="I128" s="105" t="s">
        <v>721</v>
      </c>
      <c r="J128" s="99"/>
      <c r="K128" s="82">
        <v>0.31262000000000001</v>
      </c>
      <c r="L128" s="82"/>
      <c r="M128" s="82"/>
      <c r="N128" s="86"/>
    </row>
    <row r="129" spans="2:14" x14ac:dyDescent="0.25">
      <c r="B129" s="49"/>
      <c r="C129" s="58"/>
      <c r="D129" s="144" t="s">
        <v>722</v>
      </c>
      <c r="E129" s="64"/>
      <c r="F129" s="94"/>
      <c r="G129" s="104">
        <v>8.31</v>
      </c>
      <c r="H129" s="92">
        <v>0.2</v>
      </c>
      <c r="I129" s="105" t="s">
        <v>723</v>
      </c>
      <c r="J129" s="99"/>
      <c r="K129" s="82">
        <v>0.52353000000000005</v>
      </c>
      <c r="L129" s="82"/>
      <c r="M129" s="82"/>
      <c r="N129" s="86"/>
    </row>
    <row r="130" spans="2:14" x14ac:dyDescent="0.25">
      <c r="B130" s="49"/>
      <c r="C130" s="58"/>
      <c r="D130" s="144" t="s">
        <v>796</v>
      </c>
      <c r="E130" s="64"/>
      <c r="F130" s="94"/>
      <c r="G130" s="104">
        <v>24.074999999999999</v>
      </c>
      <c r="H130" s="92">
        <v>0.2</v>
      </c>
      <c r="I130" s="105" t="s">
        <v>797</v>
      </c>
      <c r="J130" s="99"/>
      <c r="K130" s="82">
        <v>1.9260000000000002</v>
      </c>
      <c r="L130" s="82"/>
      <c r="M130" s="82"/>
      <c r="N130" s="86"/>
    </row>
    <row r="131" spans="2:14" x14ac:dyDescent="0.25">
      <c r="B131" s="49"/>
      <c r="C131" s="58"/>
      <c r="D131" s="144" t="s">
        <v>724</v>
      </c>
      <c r="E131" s="64"/>
      <c r="F131" s="94"/>
      <c r="G131" s="104">
        <v>5.31</v>
      </c>
      <c r="H131" s="92">
        <v>0.2</v>
      </c>
      <c r="I131" s="105" t="s">
        <v>725</v>
      </c>
      <c r="J131" s="99"/>
      <c r="K131" s="82">
        <v>0.41417999999999999</v>
      </c>
      <c r="L131" s="82"/>
      <c r="M131" s="82"/>
      <c r="N131" s="86"/>
    </row>
    <row r="132" spans="2:14" x14ac:dyDescent="0.25">
      <c r="B132" s="49"/>
      <c r="C132" s="58"/>
      <c r="D132" s="144" t="s">
        <v>726</v>
      </c>
      <c r="E132" s="64"/>
      <c r="F132" s="94"/>
      <c r="G132" s="104">
        <v>5.47</v>
      </c>
      <c r="H132" s="92">
        <v>0.2</v>
      </c>
      <c r="I132" s="105" t="s">
        <v>727</v>
      </c>
      <c r="J132" s="99"/>
      <c r="K132" s="82">
        <v>0.33914</v>
      </c>
      <c r="L132" s="82"/>
      <c r="M132" s="82"/>
      <c r="N132" s="86"/>
    </row>
    <row r="133" spans="2:14" x14ac:dyDescent="0.25">
      <c r="B133" s="49"/>
      <c r="C133" s="58"/>
      <c r="D133" s="144" t="s">
        <v>816</v>
      </c>
      <c r="E133" s="64"/>
      <c r="F133" s="94"/>
      <c r="G133" s="104">
        <v>13.42</v>
      </c>
      <c r="H133" s="92">
        <v>0.2</v>
      </c>
      <c r="I133" s="105" t="s">
        <v>865</v>
      </c>
      <c r="J133" s="99"/>
      <c r="K133" s="82">
        <v>1.3151600000000001</v>
      </c>
      <c r="L133" s="82"/>
      <c r="M133" s="82"/>
      <c r="N133" s="86"/>
    </row>
    <row r="134" spans="2:14" x14ac:dyDescent="0.25">
      <c r="B134" s="49"/>
      <c r="C134" s="58"/>
      <c r="D134" s="144" t="s">
        <v>728</v>
      </c>
      <c r="E134" s="64"/>
      <c r="F134" s="94"/>
      <c r="G134" s="104">
        <v>5.31</v>
      </c>
      <c r="H134" s="92">
        <v>0.2</v>
      </c>
      <c r="I134" s="105" t="s">
        <v>729</v>
      </c>
      <c r="J134" s="99"/>
      <c r="K134" s="82">
        <v>0.41417999999999999</v>
      </c>
      <c r="L134" s="82"/>
      <c r="M134" s="82"/>
      <c r="N134" s="86"/>
    </row>
    <row r="135" spans="2:14" x14ac:dyDescent="0.25">
      <c r="B135" s="49"/>
      <c r="C135" s="58"/>
      <c r="D135" s="144" t="s">
        <v>730</v>
      </c>
      <c r="E135" s="64"/>
      <c r="F135" s="94"/>
      <c r="G135" s="104">
        <v>5.31</v>
      </c>
      <c r="H135" s="92">
        <v>0.2</v>
      </c>
      <c r="I135" s="105" t="s">
        <v>866</v>
      </c>
      <c r="J135" s="99"/>
      <c r="K135" s="82">
        <v>0.56816999999999984</v>
      </c>
      <c r="L135" s="82"/>
      <c r="M135" s="82"/>
      <c r="N135" s="86"/>
    </row>
    <row r="136" spans="2:14" x14ac:dyDescent="0.25">
      <c r="B136" s="49"/>
      <c r="C136" s="58"/>
      <c r="D136" s="144" t="s">
        <v>731</v>
      </c>
      <c r="E136" s="64"/>
      <c r="F136" s="94"/>
      <c r="G136" s="104">
        <v>19.97</v>
      </c>
      <c r="H136" s="92">
        <v>0.2</v>
      </c>
      <c r="I136" s="105" t="s">
        <v>830</v>
      </c>
      <c r="J136" s="99"/>
      <c r="K136" s="82">
        <v>2.2366400000000004</v>
      </c>
      <c r="L136" s="82"/>
      <c r="M136" s="82"/>
      <c r="N136" s="86"/>
    </row>
    <row r="137" spans="2:14" x14ac:dyDescent="0.25">
      <c r="B137" s="49"/>
      <c r="C137" s="58"/>
      <c r="D137" s="144" t="s">
        <v>732</v>
      </c>
      <c r="E137" s="64"/>
      <c r="F137" s="94"/>
      <c r="G137" s="104">
        <v>7.83</v>
      </c>
      <c r="H137" s="92">
        <v>0.2</v>
      </c>
      <c r="I137" s="105" t="s">
        <v>733</v>
      </c>
      <c r="J137" s="99"/>
      <c r="K137" s="82">
        <v>0.87696000000000007</v>
      </c>
      <c r="L137" s="82"/>
      <c r="M137" s="82"/>
      <c r="N137" s="86"/>
    </row>
    <row r="138" spans="2:14" x14ac:dyDescent="0.25">
      <c r="B138" s="49"/>
      <c r="C138" s="58"/>
      <c r="D138" s="144" t="s">
        <v>735</v>
      </c>
      <c r="E138" s="64"/>
      <c r="F138" s="94"/>
      <c r="G138" s="104">
        <v>2.5350000000000001</v>
      </c>
      <c r="H138" s="92">
        <v>0.2</v>
      </c>
      <c r="I138" s="105" t="s">
        <v>734</v>
      </c>
      <c r="J138" s="99"/>
      <c r="K138" s="82">
        <v>0.30927000000000004</v>
      </c>
      <c r="L138" s="82"/>
      <c r="M138" s="82"/>
      <c r="N138" s="86"/>
    </row>
    <row r="139" spans="2:14" x14ac:dyDescent="0.25">
      <c r="B139" s="49"/>
      <c r="C139" s="58"/>
      <c r="D139" s="144" t="s">
        <v>736</v>
      </c>
      <c r="E139" s="64"/>
      <c r="F139" s="94"/>
      <c r="G139" s="104">
        <v>6.39</v>
      </c>
      <c r="H139" s="92">
        <v>0.2</v>
      </c>
      <c r="I139" s="105" t="s">
        <v>737</v>
      </c>
      <c r="J139" s="99"/>
      <c r="K139" s="82">
        <v>0.60065999999999997</v>
      </c>
      <c r="L139" s="82"/>
      <c r="M139" s="82"/>
      <c r="N139" s="86"/>
    </row>
    <row r="140" spans="2:14" x14ac:dyDescent="0.25">
      <c r="B140" s="49"/>
      <c r="C140" s="58"/>
      <c r="D140" s="144" t="s">
        <v>738</v>
      </c>
      <c r="E140" s="64"/>
      <c r="F140" s="94"/>
      <c r="G140" s="104">
        <v>4.0049999999999999</v>
      </c>
      <c r="H140" s="92">
        <v>0.2</v>
      </c>
      <c r="I140" s="105" t="s">
        <v>739</v>
      </c>
      <c r="J140" s="99"/>
      <c r="K140" s="82">
        <v>0.39249000000000001</v>
      </c>
      <c r="L140" s="82"/>
      <c r="M140" s="82"/>
      <c r="N140" s="86"/>
    </row>
    <row r="141" spans="2:14" x14ac:dyDescent="0.25">
      <c r="B141" s="49"/>
      <c r="C141" s="58"/>
      <c r="D141" s="144" t="s">
        <v>817</v>
      </c>
      <c r="E141" s="64"/>
      <c r="F141" s="94"/>
      <c r="G141" s="104">
        <v>2.2000000000000002</v>
      </c>
      <c r="H141" s="92">
        <v>0.2</v>
      </c>
      <c r="I141" s="105" t="s">
        <v>740</v>
      </c>
      <c r="J141" s="99"/>
      <c r="K141" s="82">
        <v>0.24200000000000005</v>
      </c>
      <c r="L141" s="82"/>
      <c r="M141" s="82"/>
      <c r="N141" s="86"/>
    </row>
    <row r="142" spans="2:14" x14ac:dyDescent="0.25">
      <c r="B142" s="49"/>
      <c r="C142" s="58"/>
      <c r="D142" s="144" t="s">
        <v>741</v>
      </c>
      <c r="E142" s="64"/>
      <c r="F142" s="94"/>
      <c r="G142" s="104">
        <v>7.75</v>
      </c>
      <c r="H142" s="92">
        <v>0.2</v>
      </c>
      <c r="I142" s="105" t="s">
        <v>742</v>
      </c>
      <c r="J142" s="99"/>
      <c r="K142" s="82">
        <v>0.80600000000000005</v>
      </c>
      <c r="L142" s="82"/>
      <c r="M142" s="82"/>
      <c r="N142" s="86"/>
    </row>
    <row r="143" spans="2:14" x14ac:dyDescent="0.25">
      <c r="B143" s="49"/>
      <c r="C143" s="58"/>
      <c r="D143" s="144" t="s">
        <v>743</v>
      </c>
      <c r="E143" s="64"/>
      <c r="F143" s="94"/>
      <c r="G143" s="104">
        <v>3.01</v>
      </c>
      <c r="H143" s="92">
        <v>0.2</v>
      </c>
      <c r="I143" s="105" t="s">
        <v>744</v>
      </c>
      <c r="J143" s="99"/>
      <c r="K143" s="82">
        <v>0.18059999999999998</v>
      </c>
      <c r="L143" s="82"/>
      <c r="M143" s="82"/>
      <c r="N143" s="86"/>
    </row>
    <row r="144" spans="2:14" x14ac:dyDescent="0.25">
      <c r="B144" s="49"/>
      <c r="C144" s="58"/>
      <c r="D144" s="144" t="s">
        <v>745</v>
      </c>
      <c r="E144" s="64"/>
      <c r="F144" s="94"/>
      <c r="G144" s="104">
        <v>3.01</v>
      </c>
      <c r="H144" s="92">
        <v>0.2</v>
      </c>
      <c r="I144" s="105" t="s">
        <v>746</v>
      </c>
      <c r="J144" s="99"/>
      <c r="K144" s="82">
        <v>0.22875999999999999</v>
      </c>
      <c r="L144" s="82"/>
      <c r="M144" s="82"/>
      <c r="N144" s="86"/>
    </row>
    <row r="145" spans="2:14" x14ac:dyDescent="0.25">
      <c r="B145" s="49"/>
      <c r="C145" s="58"/>
      <c r="D145" s="144" t="s">
        <v>800</v>
      </c>
      <c r="E145" s="64"/>
      <c r="F145" s="94"/>
      <c r="G145" s="104">
        <v>22.225000000000001</v>
      </c>
      <c r="H145" s="92">
        <v>0.2</v>
      </c>
      <c r="I145" s="105" t="s">
        <v>801</v>
      </c>
      <c r="J145" s="99"/>
      <c r="K145" s="82">
        <v>1.4001750000000002</v>
      </c>
      <c r="L145" s="82"/>
      <c r="M145" s="82"/>
      <c r="N145" s="86"/>
    </row>
    <row r="146" spans="2:14" x14ac:dyDescent="0.25">
      <c r="B146" s="49"/>
      <c r="C146" s="58"/>
      <c r="D146" s="144" t="s">
        <v>747</v>
      </c>
      <c r="E146" s="64"/>
      <c r="F146" s="94"/>
      <c r="G146" s="104">
        <v>5.2949999999999999</v>
      </c>
      <c r="H146" s="92">
        <v>0.2</v>
      </c>
      <c r="I146" s="105" t="s">
        <v>748</v>
      </c>
      <c r="J146" s="99"/>
      <c r="K146" s="82">
        <v>0.33888000000000001</v>
      </c>
      <c r="L146" s="82"/>
      <c r="M146" s="82"/>
      <c r="N146" s="86"/>
    </row>
    <row r="147" spans="2:14" x14ac:dyDescent="0.25">
      <c r="B147" s="49"/>
      <c r="C147" s="58"/>
      <c r="D147" s="144" t="s">
        <v>810</v>
      </c>
      <c r="E147" s="64"/>
      <c r="F147" s="94"/>
      <c r="G147" s="104">
        <v>16.48</v>
      </c>
      <c r="H147" s="92">
        <v>0.2</v>
      </c>
      <c r="I147" s="105" t="s">
        <v>811</v>
      </c>
      <c r="J147" s="99"/>
      <c r="K147" s="82">
        <v>1.1865600000000001</v>
      </c>
      <c r="L147" s="82"/>
      <c r="M147" s="82"/>
      <c r="N147" s="86"/>
    </row>
    <row r="148" spans="2:14" x14ac:dyDescent="0.25">
      <c r="B148" s="49"/>
      <c r="C148" s="58"/>
      <c r="D148" s="144" t="s">
        <v>749</v>
      </c>
      <c r="E148" s="64"/>
      <c r="F148" s="94"/>
      <c r="G148" s="104">
        <v>5.47</v>
      </c>
      <c r="H148" s="92">
        <v>0.2</v>
      </c>
      <c r="I148" s="105" t="s">
        <v>750</v>
      </c>
      <c r="J148" s="99"/>
      <c r="K148" s="82">
        <v>0.40477999999999997</v>
      </c>
      <c r="L148" s="82"/>
      <c r="M148" s="82"/>
      <c r="N148" s="86"/>
    </row>
    <row r="149" spans="2:14" x14ac:dyDescent="0.25">
      <c r="B149" s="49"/>
      <c r="C149" s="58"/>
      <c r="D149" s="144" t="s">
        <v>751</v>
      </c>
      <c r="E149" s="64"/>
      <c r="F149" s="94"/>
      <c r="G149" s="104">
        <v>2.69</v>
      </c>
      <c r="H149" s="92">
        <v>0.2</v>
      </c>
      <c r="I149" s="105" t="s">
        <v>753</v>
      </c>
      <c r="J149" s="99"/>
      <c r="K149" s="82">
        <v>0.17484999999999998</v>
      </c>
      <c r="L149" s="82"/>
      <c r="M149" s="82"/>
      <c r="N149" s="86"/>
    </row>
    <row r="150" spans="2:14" x14ac:dyDescent="0.25">
      <c r="B150" s="49"/>
      <c r="C150" s="58"/>
      <c r="D150" s="144" t="s">
        <v>752</v>
      </c>
      <c r="E150" s="64"/>
      <c r="F150" s="94"/>
      <c r="G150" s="104">
        <v>2.69</v>
      </c>
      <c r="H150" s="92">
        <v>0.2</v>
      </c>
      <c r="I150" s="105" t="s">
        <v>754</v>
      </c>
      <c r="J150" s="99"/>
      <c r="K150" s="82">
        <v>0.1883</v>
      </c>
      <c r="L150" s="82"/>
      <c r="M150" s="82"/>
      <c r="N150" s="86"/>
    </row>
    <row r="151" spans="2:14" x14ac:dyDescent="0.25">
      <c r="B151" s="49"/>
      <c r="C151" s="58"/>
      <c r="D151" s="144" t="s">
        <v>786</v>
      </c>
      <c r="E151" s="64"/>
      <c r="F151" s="94"/>
      <c r="G151" s="104">
        <v>8.85</v>
      </c>
      <c r="H151" s="92">
        <v>0.2</v>
      </c>
      <c r="I151" s="105" t="s">
        <v>787</v>
      </c>
      <c r="J151" s="99"/>
      <c r="K151" s="82">
        <v>1.0796999999999999</v>
      </c>
      <c r="L151" s="82"/>
      <c r="M151" s="82"/>
      <c r="N151" s="86"/>
    </row>
    <row r="152" spans="2:14" x14ac:dyDescent="0.25">
      <c r="B152" s="49"/>
      <c r="C152" s="58"/>
      <c r="D152" s="144" t="s">
        <v>788</v>
      </c>
      <c r="E152" s="64"/>
      <c r="F152" s="94"/>
      <c r="G152" s="104">
        <v>4.9000000000000004</v>
      </c>
      <c r="H152" s="92">
        <v>0.2</v>
      </c>
      <c r="I152" s="105" t="s">
        <v>789</v>
      </c>
      <c r="J152" s="99"/>
      <c r="K152" s="82">
        <v>0.62230000000000008</v>
      </c>
      <c r="L152" s="82"/>
      <c r="M152" s="82"/>
      <c r="N152" s="86"/>
    </row>
    <row r="153" spans="2:14" x14ac:dyDescent="0.25">
      <c r="B153" s="49"/>
      <c r="C153" s="58"/>
      <c r="D153" s="144" t="s">
        <v>790</v>
      </c>
      <c r="E153" s="64"/>
      <c r="F153" s="94"/>
      <c r="G153" s="104">
        <v>7.21</v>
      </c>
      <c r="H153" s="92">
        <v>0.2</v>
      </c>
      <c r="I153" s="105" t="s">
        <v>791</v>
      </c>
      <c r="J153" s="99"/>
      <c r="K153" s="82">
        <v>0.82194000000000011</v>
      </c>
      <c r="L153" s="82"/>
      <c r="M153" s="82"/>
      <c r="N153" s="86"/>
    </row>
    <row r="154" spans="2:14" x14ac:dyDescent="0.25">
      <c r="B154" s="49"/>
      <c r="C154" s="58"/>
      <c r="D154" s="144" t="s">
        <v>792</v>
      </c>
      <c r="E154" s="64"/>
      <c r="F154" s="94"/>
      <c r="G154" s="104">
        <v>8.85</v>
      </c>
      <c r="H154" s="92">
        <v>0.2</v>
      </c>
      <c r="I154" s="105" t="s">
        <v>793</v>
      </c>
      <c r="J154" s="99"/>
      <c r="K154" s="82">
        <v>1.0885499999999999</v>
      </c>
      <c r="L154" s="82"/>
      <c r="M154" s="82"/>
      <c r="N154" s="86"/>
    </row>
    <row r="155" spans="2:14" x14ac:dyDescent="0.25">
      <c r="B155" s="49"/>
      <c r="C155" s="58"/>
      <c r="D155" s="144" t="s">
        <v>794</v>
      </c>
      <c r="E155" s="64"/>
      <c r="F155" s="94"/>
      <c r="G155" s="104">
        <v>2.46</v>
      </c>
      <c r="H155" s="92">
        <v>0.2</v>
      </c>
      <c r="I155" s="105" t="s">
        <v>795</v>
      </c>
      <c r="J155" s="99"/>
      <c r="K155" s="82">
        <v>0.27798</v>
      </c>
      <c r="L155" s="82"/>
      <c r="M155" s="82"/>
      <c r="N155" s="86"/>
    </row>
    <row r="156" spans="2:14" x14ac:dyDescent="0.25">
      <c r="B156" s="49"/>
      <c r="C156" s="58"/>
      <c r="D156" s="144" t="s">
        <v>802</v>
      </c>
      <c r="E156" s="64"/>
      <c r="F156" s="94"/>
      <c r="G156" s="104">
        <v>3.16</v>
      </c>
      <c r="H156" s="92">
        <v>0.2</v>
      </c>
      <c r="I156" s="105" t="s">
        <v>804</v>
      </c>
      <c r="J156" s="99"/>
      <c r="K156" s="82">
        <v>0.34128000000000003</v>
      </c>
      <c r="L156" s="82"/>
      <c r="M156" s="82"/>
      <c r="N156" s="86"/>
    </row>
    <row r="157" spans="2:14" x14ac:dyDescent="0.25">
      <c r="B157" s="49"/>
      <c r="C157" s="58"/>
      <c r="D157" s="144" t="s">
        <v>798</v>
      </c>
      <c r="E157" s="64"/>
      <c r="F157" s="94"/>
      <c r="G157" s="104">
        <v>5.7</v>
      </c>
      <c r="H157" s="92">
        <v>0.2</v>
      </c>
      <c r="I157" s="105" t="s">
        <v>799</v>
      </c>
      <c r="J157" s="99"/>
      <c r="K157" s="82">
        <v>0.60420000000000007</v>
      </c>
      <c r="L157" s="82"/>
      <c r="M157" s="82"/>
      <c r="N157" s="86"/>
    </row>
    <row r="158" spans="2:14" x14ac:dyDescent="0.25">
      <c r="B158" s="49"/>
      <c r="C158" s="58"/>
      <c r="D158" s="144" t="s">
        <v>803</v>
      </c>
      <c r="E158" s="64"/>
      <c r="F158" s="94"/>
      <c r="G158" s="104">
        <v>7.6849999999999996</v>
      </c>
      <c r="H158" s="92">
        <v>0.2</v>
      </c>
      <c r="I158" s="105" t="s">
        <v>805</v>
      </c>
      <c r="J158" s="99"/>
      <c r="K158" s="82">
        <v>0.73775999999999997</v>
      </c>
      <c r="L158" s="82"/>
      <c r="M158" s="82"/>
      <c r="N158" s="86"/>
    </row>
    <row r="159" spans="2:14" x14ac:dyDescent="0.25">
      <c r="B159" s="49"/>
      <c r="C159" s="58"/>
      <c r="D159" s="144" t="s">
        <v>806</v>
      </c>
      <c r="E159" s="64"/>
      <c r="F159" s="94"/>
      <c r="G159" s="104">
        <v>1.8</v>
      </c>
      <c r="H159" s="92">
        <v>0.2</v>
      </c>
      <c r="I159" s="105" t="s">
        <v>807</v>
      </c>
      <c r="J159" s="99"/>
      <c r="K159" s="82">
        <v>0.1512</v>
      </c>
      <c r="L159" s="82"/>
      <c r="M159" s="82"/>
      <c r="N159" s="86"/>
    </row>
    <row r="160" spans="2:14" x14ac:dyDescent="0.25">
      <c r="B160" s="49"/>
      <c r="C160" s="58"/>
      <c r="D160" s="144" t="s">
        <v>808</v>
      </c>
      <c r="E160" s="64"/>
      <c r="F160" s="94"/>
      <c r="G160" s="104">
        <v>8.3000000000000007</v>
      </c>
      <c r="H160" s="92">
        <v>0.2</v>
      </c>
      <c r="I160" s="105" t="s">
        <v>809</v>
      </c>
      <c r="J160" s="99"/>
      <c r="K160" s="82">
        <v>0.62250000000000005</v>
      </c>
      <c r="L160" s="82"/>
      <c r="M160" s="82"/>
      <c r="N160" s="86"/>
    </row>
    <row r="161" spans="2:14" x14ac:dyDescent="0.25">
      <c r="B161" s="49"/>
      <c r="C161" s="58"/>
      <c r="D161" s="144" t="s">
        <v>812</v>
      </c>
      <c r="E161" s="64"/>
      <c r="F161" s="94"/>
      <c r="G161" s="104">
        <v>3.65</v>
      </c>
      <c r="H161" s="92">
        <v>0.2</v>
      </c>
      <c r="I161" s="105" t="s">
        <v>813</v>
      </c>
      <c r="J161" s="99"/>
      <c r="K161" s="82">
        <v>0.2409</v>
      </c>
      <c r="L161" s="82"/>
      <c r="M161" s="82"/>
      <c r="N161" s="86"/>
    </row>
    <row r="162" spans="2:14" x14ac:dyDescent="0.25">
      <c r="B162" s="49"/>
      <c r="C162" s="58"/>
      <c r="D162" s="144" t="s">
        <v>820</v>
      </c>
      <c r="E162" s="64"/>
      <c r="F162" s="94"/>
      <c r="G162" s="104">
        <v>2.0950000000000002</v>
      </c>
      <c r="H162" s="92">
        <v>0.2</v>
      </c>
      <c r="I162" s="105" t="s">
        <v>821</v>
      </c>
      <c r="J162" s="99"/>
      <c r="K162" s="82">
        <v>0.15712500000000001</v>
      </c>
      <c r="L162" s="82"/>
      <c r="M162" s="82"/>
      <c r="N162" s="86"/>
    </row>
    <row r="163" spans="2:14" x14ac:dyDescent="0.25">
      <c r="B163" s="49"/>
      <c r="C163" s="58"/>
      <c r="D163" s="144" t="s">
        <v>814</v>
      </c>
      <c r="E163" s="64"/>
      <c r="F163" s="94"/>
      <c r="G163" s="104">
        <v>4.3899999999999997</v>
      </c>
      <c r="H163" s="92">
        <v>0.2</v>
      </c>
      <c r="I163" s="105" t="s">
        <v>815</v>
      </c>
      <c r="J163" s="99"/>
      <c r="K163" s="82">
        <v>0.41704999999999998</v>
      </c>
      <c r="L163" s="82"/>
      <c r="M163" s="82"/>
      <c r="N163" s="86"/>
    </row>
    <row r="164" spans="2:14" x14ac:dyDescent="0.25">
      <c r="B164" s="49"/>
      <c r="C164" s="58"/>
      <c r="D164" s="144" t="s">
        <v>818</v>
      </c>
      <c r="E164" s="64"/>
      <c r="F164" s="94"/>
      <c r="G164" s="104">
        <v>2.95</v>
      </c>
      <c r="H164" s="92">
        <v>0.2</v>
      </c>
      <c r="I164" s="105" t="s">
        <v>819</v>
      </c>
      <c r="J164" s="99"/>
      <c r="K164" s="82">
        <v>0.19174999999999998</v>
      </c>
      <c r="L164" s="82"/>
      <c r="M164" s="82"/>
      <c r="N164" s="86"/>
    </row>
    <row r="165" spans="2:14" x14ac:dyDescent="0.25">
      <c r="B165" s="49"/>
      <c r="C165" s="58"/>
      <c r="D165" s="144" t="s">
        <v>822</v>
      </c>
      <c r="E165" s="64"/>
      <c r="F165" s="94"/>
      <c r="G165" s="104">
        <v>2.95</v>
      </c>
      <c r="H165" s="92">
        <v>0.2</v>
      </c>
      <c r="I165" s="105" t="s">
        <v>823</v>
      </c>
      <c r="J165" s="99"/>
      <c r="K165" s="82">
        <v>0.21240000000000003</v>
      </c>
      <c r="L165" s="82"/>
      <c r="M165" s="82"/>
      <c r="N165" s="86"/>
    </row>
    <row r="166" spans="2:14" x14ac:dyDescent="0.25">
      <c r="B166" s="49"/>
      <c r="C166" s="58"/>
      <c r="D166" s="144" t="s">
        <v>824</v>
      </c>
      <c r="E166" s="64"/>
      <c r="F166" s="94"/>
      <c r="G166" s="104">
        <v>2.0950000000000002</v>
      </c>
      <c r="H166" s="92">
        <v>0.2</v>
      </c>
      <c r="I166" s="105" t="s">
        <v>825</v>
      </c>
      <c r="J166" s="99"/>
      <c r="K166" s="82">
        <v>0.12989000000000003</v>
      </c>
      <c r="L166" s="82"/>
      <c r="M166" s="82"/>
      <c r="N166" s="86"/>
    </row>
    <row r="167" spans="2:14" x14ac:dyDescent="0.25">
      <c r="B167" s="49"/>
      <c r="C167" s="58"/>
      <c r="D167" s="144" t="s">
        <v>826</v>
      </c>
      <c r="E167" s="64"/>
      <c r="F167" s="94"/>
      <c r="G167" s="104">
        <v>6.9</v>
      </c>
      <c r="H167" s="92">
        <v>0.2</v>
      </c>
      <c r="I167" s="105" t="s">
        <v>827</v>
      </c>
      <c r="J167" s="99"/>
      <c r="K167" s="82">
        <v>0.67620000000000013</v>
      </c>
      <c r="L167" s="82"/>
      <c r="M167" s="82"/>
      <c r="N167" s="86"/>
    </row>
    <row r="168" spans="2:14" x14ac:dyDescent="0.25">
      <c r="B168" s="49"/>
      <c r="C168" s="58"/>
      <c r="D168" s="144" t="s">
        <v>828</v>
      </c>
      <c r="E168" s="64"/>
      <c r="F168" s="94"/>
      <c r="G168" s="104">
        <v>5.83</v>
      </c>
      <c r="H168" s="92">
        <v>0.2</v>
      </c>
      <c r="I168" s="105" t="s">
        <v>829</v>
      </c>
      <c r="J168" s="99"/>
      <c r="K168" s="82">
        <v>0.39643999999999996</v>
      </c>
      <c r="L168" s="82"/>
      <c r="M168" s="82"/>
      <c r="N168" s="86"/>
    </row>
    <row r="169" spans="2:14" ht="22.5" x14ac:dyDescent="0.25">
      <c r="B169" s="49"/>
      <c r="C169" s="58"/>
      <c r="D169" s="153" t="s">
        <v>1049</v>
      </c>
      <c r="E169" s="64"/>
      <c r="F169" s="94"/>
      <c r="G169" s="99"/>
      <c r="H169" s="92"/>
      <c r="I169" s="105"/>
      <c r="J169" s="99"/>
      <c r="K169" s="82"/>
      <c r="L169" s="82"/>
      <c r="M169" s="82"/>
      <c r="N169" s="86"/>
    </row>
    <row r="170" spans="2:14" ht="33.75" x14ac:dyDescent="0.25">
      <c r="B170" s="49"/>
      <c r="C170" s="58"/>
      <c r="D170" s="144" t="s">
        <v>1050</v>
      </c>
      <c r="E170" s="64"/>
      <c r="F170" s="94"/>
      <c r="G170" s="99">
        <v>0.92700000000000005</v>
      </c>
      <c r="H170" s="92">
        <v>0.2</v>
      </c>
      <c r="I170" s="105" t="s">
        <v>1061</v>
      </c>
      <c r="J170" s="99"/>
      <c r="K170" s="82">
        <v>7.6013999999999998E-2</v>
      </c>
      <c r="L170" s="82"/>
      <c r="M170" s="82"/>
      <c r="N170" s="86"/>
    </row>
    <row r="171" spans="2:14" ht="33.75" x14ac:dyDescent="0.25">
      <c r="B171" s="49"/>
      <c r="C171" s="58"/>
      <c r="D171" s="144" t="s">
        <v>1051</v>
      </c>
      <c r="E171" s="64"/>
      <c r="F171" s="94"/>
      <c r="G171" s="99">
        <v>0.8</v>
      </c>
      <c r="H171" s="92">
        <v>0.2</v>
      </c>
      <c r="I171" s="105" t="s">
        <v>1062</v>
      </c>
      <c r="J171" s="99"/>
      <c r="K171" s="82">
        <v>0.21997500000000003</v>
      </c>
      <c r="L171" s="82"/>
      <c r="M171" s="82"/>
      <c r="N171" s="86"/>
    </row>
    <row r="172" spans="2:14" x14ac:dyDescent="0.25">
      <c r="B172" s="49"/>
      <c r="C172" s="58"/>
      <c r="D172" s="144" t="s">
        <v>1052</v>
      </c>
      <c r="E172" s="64"/>
      <c r="F172" s="94"/>
      <c r="G172" s="99">
        <f>(1.7+0.15+1.855)</f>
        <v>3.7050000000000001</v>
      </c>
      <c r="H172" s="92">
        <v>0.2</v>
      </c>
      <c r="I172" s="105" t="s">
        <v>1063</v>
      </c>
      <c r="J172" s="99"/>
      <c r="K172" s="82">
        <v>0.80730000000000013</v>
      </c>
      <c r="L172" s="82"/>
      <c r="M172" s="82"/>
      <c r="N172" s="86"/>
    </row>
    <row r="173" spans="2:14" x14ac:dyDescent="0.25">
      <c r="B173" s="49"/>
      <c r="C173" s="58"/>
      <c r="D173" s="144" t="s">
        <v>1053</v>
      </c>
      <c r="E173" s="64"/>
      <c r="F173" s="94"/>
      <c r="G173" s="99">
        <v>2.7</v>
      </c>
      <c r="H173" s="92">
        <v>0.2</v>
      </c>
      <c r="I173" s="105" t="s">
        <v>1064</v>
      </c>
      <c r="J173" s="99"/>
      <c r="K173" s="82">
        <v>0.32065000000000005</v>
      </c>
      <c r="L173" s="82"/>
      <c r="M173" s="82"/>
      <c r="N173" s="86"/>
    </row>
    <row r="174" spans="2:14" ht="22.5" x14ac:dyDescent="0.25">
      <c r="B174" s="49"/>
      <c r="C174" s="58"/>
      <c r="D174" s="144" t="s">
        <v>1054</v>
      </c>
      <c r="E174" s="64"/>
      <c r="F174" s="94"/>
      <c r="G174" s="99"/>
      <c r="H174" s="92"/>
      <c r="I174" s="105"/>
      <c r="J174" s="99"/>
      <c r="K174" s="82"/>
      <c r="L174" s="82"/>
      <c r="M174" s="82"/>
      <c r="N174" s="86"/>
    </row>
    <row r="175" spans="2:14" x14ac:dyDescent="0.25">
      <c r="B175" s="49"/>
      <c r="C175" s="58"/>
      <c r="D175" s="144"/>
      <c r="E175" s="64"/>
      <c r="F175" s="94"/>
      <c r="G175" s="99"/>
      <c r="H175" s="92"/>
      <c r="I175" s="105"/>
      <c r="J175" s="99"/>
      <c r="K175" s="82"/>
      <c r="L175" s="82"/>
      <c r="M175" s="82"/>
      <c r="N175" s="86"/>
    </row>
    <row r="176" spans="2:14" ht="23.25" x14ac:dyDescent="0.25">
      <c r="B176" s="49"/>
      <c r="C176" s="58"/>
      <c r="D176" s="419" t="s">
        <v>1055</v>
      </c>
      <c r="E176" s="239"/>
      <c r="F176" s="94"/>
      <c r="G176" s="422" t="s">
        <v>833</v>
      </c>
      <c r="H176" s="276" t="s">
        <v>834</v>
      </c>
      <c r="I176" s="423" t="s">
        <v>835</v>
      </c>
      <c r="J176" s="99"/>
      <c r="K176" s="239"/>
      <c r="L176" s="82"/>
      <c r="M176" s="82"/>
      <c r="N176" s="86"/>
    </row>
    <row r="177" spans="2:14" ht="22.5" x14ac:dyDescent="0.25">
      <c r="B177" s="49"/>
      <c r="C177" s="58"/>
      <c r="D177" s="420" t="s">
        <v>879</v>
      </c>
      <c r="E177" s="239"/>
      <c r="F177" s="94"/>
      <c r="G177" s="424">
        <v>12.5</v>
      </c>
      <c r="H177" s="245">
        <v>0.1</v>
      </c>
      <c r="I177" s="425">
        <v>0.36</v>
      </c>
      <c r="J177" s="99"/>
      <c r="K177" s="245">
        <v>1.0250000000000001</v>
      </c>
      <c r="L177" s="82"/>
      <c r="M177" s="82"/>
      <c r="N177" s="86"/>
    </row>
    <row r="178" spans="2:14" ht="22.5" x14ac:dyDescent="0.25">
      <c r="B178" s="49"/>
      <c r="C178" s="58"/>
      <c r="D178" s="420" t="s">
        <v>876</v>
      </c>
      <c r="E178" s="239"/>
      <c r="F178" s="94"/>
      <c r="G178" s="424">
        <v>11.67</v>
      </c>
      <c r="H178" s="245">
        <v>0.36</v>
      </c>
      <c r="I178" s="425">
        <v>0.53</v>
      </c>
      <c r="J178" s="99"/>
      <c r="K178" s="245">
        <v>1.6571400000000001</v>
      </c>
      <c r="L178" s="82"/>
      <c r="M178" s="82"/>
      <c r="N178" s="86"/>
    </row>
    <row r="179" spans="2:14" ht="33.75" x14ac:dyDescent="0.25">
      <c r="B179" s="49"/>
      <c r="C179" s="58"/>
      <c r="D179" s="420" t="s">
        <v>880</v>
      </c>
      <c r="E179" s="239"/>
      <c r="F179" s="94"/>
      <c r="G179" s="424">
        <v>27.1</v>
      </c>
      <c r="H179" s="245">
        <v>0.53</v>
      </c>
      <c r="I179" s="425">
        <v>0.74</v>
      </c>
      <c r="J179" s="99"/>
      <c r="K179" s="245">
        <v>5.4470999999999998</v>
      </c>
      <c r="L179" s="82"/>
      <c r="M179" s="82"/>
      <c r="N179" s="86"/>
    </row>
    <row r="180" spans="2:14" ht="33.75" x14ac:dyDescent="0.25">
      <c r="B180" s="49"/>
      <c r="C180" s="58"/>
      <c r="D180" s="420" t="s">
        <v>881</v>
      </c>
      <c r="E180" s="239"/>
      <c r="F180" s="94"/>
      <c r="G180" s="424">
        <v>33.9</v>
      </c>
      <c r="H180" s="245">
        <v>0.74</v>
      </c>
      <c r="I180" s="425">
        <v>0.61</v>
      </c>
      <c r="J180" s="99"/>
      <c r="K180" s="245">
        <v>6.644400000000001</v>
      </c>
      <c r="L180" s="82"/>
      <c r="M180" s="82"/>
      <c r="N180" s="86"/>
    </row>
    <row r="181" spans="2:14" ht="22.5" x14ac:dyDescent="0.25">
      <c r="B181" s="49"/>
      <c r="C181" s="58"/>
      <c r="D181" s="420" t="s">
        <v>882</v>
      </c>
      <c r="E181" s="239"/>
      <c r="F181" s="94"/>
      <c r="G181" s="424">
        <v>12.4</v>
      </c>
      <c r="H181" s="245">
        <v>0.61</v>
      </c>
      <c r="I181" s="425">
        <v>0.38</v>
      </c>
      <c r="J181" s="99"/>
      <c r="K181" s="245">
        <v>1.6988000000000003</v>
      </c>
      <c r="L181" s="82"/>
      <c r="M181" s="82"/>
      <c r="N181" s="86"/>
    </row>
    <row r="182" spans="2:14" ht="33.75" x14ac:dyDescent="0.25">
      <c r="B182" s="49"/>
      <c r="C182" s="58"/>
      <c r="D182" s="419" t="s">
        <v>1056</v>
      </c>
      <c r="E182" s="239"/>
      <c r="F182" s="94"/>
      <c r="G182" s="426" t="s">
        <v>1065</v>
      </c>
      <c r="H182" s="427" t="s">
        <v>1066</v>
      </c>
      <c r="I182" s="425" t="s">
        <v>649</v>
      </c>
      <c r="J182" s="99"/>
      <c r="K182" s="245"/>
      <c r="L182" s="82"/>
      <c r="M182" s="82"/>
      <c r="N182" s="86"/>
    </row>
    <row r="183" spans="2:14" x14ac:dyDescent="0.25">
      <c r="B183" s="49"/>
      <c r="C183" s="58"/>
      <c r="D183" s="421" t="s">
        <v>1057</v>
      </c>
      <c r="E183" s="239"/>
      <c r="F183" s="94"/>
      <c r="G183" s="424">
        <f>(11.1+9.1+13.6+1.9+16.3+22.8+5.1+6.3+5.4+2.45+5.4+10.9)</f>
        <v>110.35000000000001</v>
      </c>
      <c r="H183" s="245">
        <v>0.15</v>
      </c>
      <c r="I183" s="425">
        <v>0.2</v>
      </c>
      <c r="J183" s="99"/>
      <c r="K183" s="245">
        <v>3.3105000000000007</v>
      </c>
      <c r="L183" s="82"/>
      <c r="M183" s="82"/>
      <c r="N183" s="86"/>
    </row>
    <row r="184" spans="2:14" ht="33.75" x14ac:dyDescent="0.25">
      <c r="B184" s="49"/>
      <c r="C184" s="58"/>
      <c r="D184" s="419" t="s">
        <v>1058</v>
      </c>
      <c r="E184" s="239"/>
      <c r="F184" s="94"/>
      <c r="G184" s="426" t="s">
        <v>1065</v>
      </c>
      <c r="H184" s="427" t="s">
        <v>1066</v>
      </c>
      <c r="I184" s="425" t="s">
        <v>649</v>
      </c>
      <c r="J184" s="99"/>
      <c r="K184" s="245"/>
      <c r="L184" s="82"/>
      <c r="M184" s="82"/>
      <c r="N184" s="86"/>
    </row>
    <row r="185" spans="2:14" x14ac:dyDescent="0.25">
      <c r="B185" s="49"/>
      <c r="C185" s="58"/>
      <c r="D185" s="421"/>
      <c r="E185" s="239"/>
      <c r="F185" s="94"/>
      <c r="G185" s="424">
        <f>(6.8+3.6)</f>
        <v>10.4</v>
      </c>
      <c r="H185" s="245">
        <v>0.15</v>
      </c>
      <c r="I185" s="425">
        <v>0.2</v>
      </c>
      <c r="J185" s="99"/>
      <c r="K185" s="245">
        <v>0.31200000000000006</v>
      </c>
      <c r="L185" s="82"/>
      <c r="M185" s="82"/>
      <c r="N185" s="86"/>
    </row>
    <row r="186" spans="2:14" ht="33.75" x14ac:dyDescent="0.25">
      <c r="B186" s="49"/>
      <c r="C186" s="58"/>
      <c r="D186" s="419" t="s">
        <v>1059</v>
      </c>
      <c r="E186" s="239"/>
      <c r="F186" s="94"/>
      <c r="G186" s="426" t="s">
        <v>1065</v>
      </c>
      <c r="H186" s="427" t="s">
        <v>1066</v>
      </c>
      <c r="I186" s="425" t="s">
        <v>649</v>
      </c>
      <c r="J186" s="99"/>
      <c r="K186" s="245"/>
      <c r="L186" s="82"/>
      <c r="M186" s="82"/>
      <c r="N186" s="86"/>
    </row>
    <row r="187" spans="2:14" x14ac:dyDescent="0.25">
      <c r="B187" s="49"/>
      <c r="C187" s="58"/>
      <c r="D187" s="421" t="s">
        <v>1060</v>
      </c>
      <c r="E187" s="239"/>
      <c r="F187" s="94"/>
      <c r="G187" s="424">
        <f>(3.55*2)+(5.06*2)</f>
        <v>17.22</v>
      </c>
      <c r="H187" s="245">
        <v>0.2</v>
      </c>
      <c r="I187" s="425">
        <v>0.2</v>
      </c>
      <c r="J187" s="99"/>
      <c r="K187" s="245">
        <v>0.68880000000000008</v>
      </c>
      <c r="L187" s="82"/>
      <c r="M187" s="82"/>
      <c r="N187" s="86"/>
    </row>
    <row r="188" spans="2:14" x14ac:dyDescent="0.25">
      <c r="B188" s="49"/>
      <c r="C188" s="58"/>
      <c r="D188" s="144"/>
      <c r="E188" s="64"/>
      <c r="F188" s="94"/>
      <c r="G188" s="104"/>
      <c r="H188" s="92"/>
      <c r="I188" s="105"/>
      <c r="J188" s="99"/>
      <c r="K188" s="82"/>
      <c r="L188" s="82"/>
      <c r="M188" s="82"/>
      <c r="N188" s="86"/>
    </row>
    <row r="189" spans="2:14" ht="22.5" hidden="1" x14ac:dyDescent="0.25">
      <c r="B189" s="49" t="s">
        <v>53</v>
      </c>
      <c r="C189" s="57">
        <v>101616</v>
      </c>
      <c r="D189" s="52" t="s">
        <v>55</v>
      </c>
      <c r="E189" s="64" t="s">
        <v>17</v>
      </c>
      <c r="F189" s="94"/>
      <c r="G189" s="104"/>
      <c r="H189" s="92">
        <v>0.2</v>
      </c>
      <c r="I189" s="105"/>
      <c r="J189" s="99">
        <f>'BOLETIM DE MEDIÇÃO 05'!O27-'MEMORIAL DE CALCULO 10'!K189</f>
        <v>27.17</v>
      </c>
      <c r="K189" s="81">
        <f>SUM(K191:K197)</f>
        <v>10.64</v>
      </c>
      <c r="L189" s="82">
        <f t="shared" si="0"/>
        <v>37.81</v>
      </c>
      <c r="M189" s="82">
        <f>'BOLETIM DE MEDIÇÃO 05'!G27</f>
        <v>37.81</v>
      </c>
      <c r="N189" s="86">
        <f t="shared" si="1"/>
        <v>0</v>
      </c>
    </row>
    <row r="190" spans="2:14" hidden="1" x14ac:dyDescent="0.25">
      <c r="B190" s="49"/>
      <c r="C190" s="57"/>
      <c r="D190" s="152" t="s">
        <v>588</v>
      </c>
      <c r="E190" s="64"/>
      <c r="F190" s="94"/>
      <c r="G190" s="104"/>
      <c r="H190" s="92">
        <v>0.2</v>
      </c>
      <c r="I190" s="105"/>
      <c r="J190" s="99"/>
      <c r="K190" s="81"/>
      <c r="L190" s="82"/>
      <c r="M190" s="82"/>
      <c r="N190" s="86"/>
    </row>
    <row r="191" spans="2:14" ht="33.75" hidden="1" x14ac:dyDescent="0.25">
      <c r="B191" s="49"/>
      <c r="C191" s="57"/>
      <c r="D191" s="144" t="s">
        <v>569</v>
      </c>
      <c r="E191" s="64"/>
      <c r="F191" s="94">
        <v>32</v>
      </c>
      <c r="G191" s="104">
        <v>0.6</v>
      </c>
      <c r="H191" s="92">
        <v>0.2</v>
      </c>
      <c r="I191" s="156"/>
      <c r="J191" s="99"/>
      <c r="K191" s="82">
        <f>F191*(G191*H191)</f>
        <v>3.84</v>
      </c>
      <c r="L191" s="82"/>
      <c r="M191" s="82"/>
      <c r="N191" s="86"/>
    </row>
    <row r="192" spans="2:14" ht="45" hidden="1" x14ac:dyDescent="0.25">
      <c r="B192" s="49"/>
      <c r="C192" s="57"/>
      <c r="D192" s="144" t="s">
        <v>570</v>
      </c>
      <c r="E192" s="64"/>
      <c r="F192" s="94">
        <v>40</v>
      </c>
      <c r="G192" s="104">
        <v>0.6</v>
      </c>
      <c r="H192" s="92">
        <v>0.2</v>
      </c>
      <c r="I192" s="156"/>
      <c r="J192" s="99"/>
      <c r="K192" s="82">
        <f t="shared" ref="K192:K197" si="6">F192*(G192*H192)</f>
        <v>4.8</v>
      </c>
      <c r="L192" s="82"/>
      <c r="M192" s="82"/>
      <c r="N192" s="86"/>
    </row>
    <row r="193" spans="2:14" hidden="1" x14ac:dyDescent="0.25">
      <c r="B193" s="49"/>
      <c r="C193" s="57"/>
      <c r="D193" s="144" t="s">
        <v>571</v>
      </c>
      <c r="E193" s="64"/>
      <c r="F193" s="94">
        <v>1</v>
      </c>
      <c r="G193" s="104">
        <v>0.6</v>
      </c>
      <c r="H193" s="92">
        <v>0.2</v>
      </c>
      <c r="I193" s="156"/>
      <c r="J193" s="99"/>
      <c r="K193" s="82">
        <f t="shared" si="6"/>
        <v>0.12</v>
      </c>
      <c r="L193" s="82"/>
      <c r="M193" s="82"/>
      <c r="N193" s="86"/>
    </row>
    <row r="194" spans="2:14" hidden="1" x14ac:dyDescent="0.25">
      <c r="B194" s="49"/>
      <c r="C194" s="57"/>
      <c r="D194" s="144" t="s">
        <v>572</v>
      </c>
      <c r="E194" s="64"/>
      <c r="F194" s="94">
        <v>2</v>
      </c>
      <c r="G194" s="104">
        <v>0.9</v>
      </c>
      <c r="H194" s="92">
        <v>0.2</v>
      </c>
      <c r="I194" s="156"/>
      <c r="J194" s="99"/>
      <c r="K194" s="82">
        <f t="shared" si="6"/>
        <v>0.36000000000000004</v>
      </c>
      <c r="L194" s="82"/>
      <c r="M194" s="82"/>
      <c r="N194" s="86"/>
    </row>
    <row r="195" spans="2:14" hidden="1" x14ac:dyDescent="0.25">
      <c r="B195" s="49"/>
      <c r="C195" s="57"/>
      <c r="D195" s="144" t="s">
        <v>573</v>
      </c>
      <c r="E195" s="64"/>
      <c r="F195" s="94">
        <v>7</v>
      </c>
      <c r="G195" s="104">
        <v>0.65</v>
      </c>
      <c r="H195" s="92">
        <v>0.2</v>
      </c>
      <c r="I195" s="156"/>
      <c r="J195" s="99"/>
      <c r="K195" s="82">
        <f t="shared" si="6"/>
        <v>0.91</v>
      </c>
      <c r="L195" s="82"/>
      <c r="M195" s="82"/>
      <c r="N195" s="86"/>
    </row>
    <row r="196" spans="2:14" hidden="1" x14ac:dyDescent="0.25">
      <c r="B196" s="49"/>
      <c r="C196" s="57"/>
      <c r="D196" s="144" t="s">
        <v>574</v>
      </c>
      <c r="E196" s="64"/>
      <c r="F196" s="94">
        <v>3</v>
      </c>
      <c r="G196" s="104">
        <v>0.65</v>
      </c>
      <c r="H196" s="92">
        <v>0.2</v>
      </c>
      <c r="I196" s="156"/>
      <c r="J196" s="99"/>
      <c r="K196" s="82">
        <f t="shared" si="6"/>
        <v>0.39</v>
      </c>
      <c r="L196" s="82"/>
      <c r="M196" s="82"/>
      <c r="N196" s="86"/>
    </row>
    <row r="197" spans="2:14" hidden="1" x14ac:dyDescent="0.25">
      <c r="B197" s="49"/>
      <c r="C197" s="57"/>
      <c r="D197" s="144" t="s">
        <v>575</v>
      </c>
      <c r="E197" s="64"/>
      <c r="F197" s="94">
        <v>2</v>
      </c>
      <c r="G197" s="104">
        <v>0.55000000000000004</v>
      </c>
      <c r="H197" s="92">
        <v>0.2</v>
      </c>
      <c r="I197" s="156"/>
      <c r="J197" s="99"/>
      <c r="K197" s="82">
        <f t="shared" si="6"/>
        <v>0.22000000000000003</v>
      </c>
      <c r="L197" s="82"/>
      <c r="M197" s="82"/>
      <c r="N197" s="86"/>
    </row>
    <row r="198" spans="2:14" ht="33.75" hidden="1" x14ac:dyDescent="0.25">
      <c r="B198" s="49" t="s">
        <v>56</v>
      </c>
      <c r="C198" s="57">
        <v>96619</v>
      </c>
      <c r="D198" s="61" t="s">
        <v>58</v>
      </c>
      <c r="E198" s="64" t="s">
        <v>17</v>
      </c>
      <c r="F198" s="94"/>
      <c r="G198" s="104"/>
      <c r="H198" s="92">
        <v>0.2</v>
      </c>
      <c r="I198" s="105"/>
      <c r="J198" s="99">
        <f>'BOLETIM DE MEDIÇÃO 05'!O28-'MEMORIAL DE CALCULO 10'!K198</f>
        <v>27.17</v>
      </c>
      <c r="K198" s="81">
        <f>SUM(K200:K206)</f>
        <v>10.64</v>
      </c>
      <c r="L198" s="82">
        <f t="shared" si="0"/>
        <v>37.81</v>
      </c>
      <c r="M198" s="82">
        <f>'BOLETIM DE MEDIÇÃO 05'!G28</f>
        <v>77.41</v>
      </c>
      <c r="N198" s="86">
        <f t="shared" si="1"/>
        <v>39.599999999999994</v>
      </c>
    </row>
    <row r="199" spans="2:14" hidden="1" x14ac:dyDescent="0.25">
      <c r="B199" s="49"/>
      <c r="C199" s="57"/>
      <c r="D199" s="152" t="s">
        <v>588</v>
      </c>
      <c r="E199" s="64"/>
      <c r="F199" s="94"/>
      <c r="G199" s="104"/>
      <c r="H199" s="92">
        <v>0.2</v>
      </c>
      <c r="I199" s="105"/>
      <c r="J199" s="99"/>
      <c r="K199" s="81"/>
      <c r="L199" s="82"/>
      <c r="M199" s="82"/>
      <c r="N199" s="86"/>
    </row>
    <row r="200" spans="2:14" ht="33.75" hidden="1" x14ac:dyDescent="0.25">
      <c r="B200" s="49"/>
      <c r="C200" s="57"/>
      <c r="D200" s="144" t="s">
        <v>569</v>
      </c>
      <c r="E200" s="64"/>
      <c r="F200" s="94">
        <v>32</v>
      </c>
      <c r="G200" s="104">
        <v>0.6</v>
      </c>
      <c r="H200" s="92">
        <v>0.2</v>
      </c>
      <c r="I200" s="105"/>
      <c r="J200" s="99"/>
      <c r="K200" s="82">
        <f>F200*(G200*H200)</f>
        <v>3.84</v>
      </c>
      <c r="L200" s="82"/>
      <c r="M200" s="82"/>
      <c r="N200" s="86"/>
    </row>
    <row r="201" spans="2:14" ht="45" hidden="1" x14ac:dyDescent="0.25">
      <c r="B201" s="49"/>
      <c r="C201" s="57"/>
      <c r="D201" s="144" t="s">
        <v>570</v>
      </c>
      <c r="E201" s="64"/>
      <c r="F201" s="94">
        <v>40</v>
      </c>
      <c r="G201" s="104">
        <v>0.6</v>
      </c>
      <c r="H201" s="92">
        <v>0.2</v>
      </c>
      <c r="I201" s="105"/>
      <c r="J201" s="99"/>
      <c r="K201" s="82">
        <f t="shared" ref="K201:K206" si="7">F201*(G201*H201)</f>
        <v>4.8</v>
      </c>
      <c r="L201" s="82"/>
      <c r="M201" s="82"/>
      <c r="N201" s="86"/>
    </row>
    <row r="202" spans="2:14" hidden="1" x14ac:dyDescent="0.25">
      <c r="B202" s="49"/>
      <c r="C202" s="57"/>
      <c r="D202" s="144" t="s">
        <v>571</v>
      </c>
      <c r="E202" s="64"/>
      <c r="F202" s="94">
        <v>1</v>
      </c>
      <c r="G202" s="104">
        <v>0.6</v>
      </c>
      <c r="H202" s="92">
        <v>0.2</v>
      </c>
      <c r="I202" s="105"/>
      <c r="J202" s="99"/>
      <c r="K202" s="82">
        <f t="shared" si="7"/>
        <v>0.12</v>
      </c>
      <c r="L202" s="82"/>
      <c r="M202" s="82"/>
      <c r="N202" s="86"/>
    </row>
    <row r="203" spans="2:14" hidden="1" x14ac:dyDescent="0.25">
      <c r="B203" s="49"/>
      <c r="C203" s="57"/>
      <c r="D203" s="144" t="s">
        <v>572</v>
      </c>
      <c r="E203" s="64"/>
      <c r="F203" s="94">
        <v>2</v>
      </c>
      <c r="G203" s="104">
        <v>0.9</v>
      </c>
      <c r="H203" s="92">
        <v>0.2</v>
      </c>
      <c r="I203" s="105"/>
      <c r="J203" s="99"/>
      <c r="K203" s="82">
        <f t="shared" si="7"/>
        <v>0.36000000000000004</v>
      </c>
      <c r="L203" s="82"/>
      <c r="M203" s="82"/>
      <c r="N203" s="86"/>
    </row>
    <row r="204" spans="2:14" hidden="1" x14ac:dyDescent="0.25">
      <c r="B204" s="49"/>
      <c r="C204" s="57"/>
      <c r="D204" s="144" t="s">
        <v>573</v>
      </c>
      <c r="E204" s="64"/>
      <c r="F204" s="94">
        <v>7</v>
      </c>
      <c r="G204" s="104">
        <v>0.65</v>
      </c>
      <c r="H204" s="92">
        <v>0.2</v>
      </c>
      <c r="I204" s="105"/>
      <c r="J204" s="99"/>
      <c r="K204" s="82">
        <f t="shared" si="7"/>
        <v>0.91</v>
      </c>
      <c r="L204" s="82"/>
      <c r="M204" s="82"/>
      <c r="N204" s="86"/>
    </row>
    <row r="205" spans="2:14" hidden="1" x14ac:dyDescent="0.25">
      <c r="B205" s="49"/>
      <c r="C205" s="57"/>
      <c r="D205" s="144" t="s">
        <v>574</v>
      </c>
      <c r="E205" s="64"/>
      <c r="F205" s="94">
        <v>3</v>
      </c>
      <c r="G205" s="104">
        <v>0.65</v>
      </c>
      <c r="H205" s="92">
        <v>0.2</v>
      </c>
      <c r="I205" s="105"/>
      <c r="J205" s="99"/>
      <c r="K205" s="82">
        <f t="shared" si="7"/>
        <v>0.39</v>
      </c>
      <c r="L205" s="82"/>
      <c r="M205" s="82"/>
      <c r="N205" s="86"/>
    </row>
    <row r="206" spans="2:14" hidden="1" x14ac:dyDescent="0.25">
      <c r="B206" s="49"/>
      <c r="C206" s="57"/>
      <c r="D206" s="144" t="s">
        <v>575</v>
      </c>
      <c r="E206" s="64"/>
      <c r="F206" s="94">
        <v>2</v>
      </c>
      <c r="G206" s="104">
        <v>0.55000000000000004</v>
      </c>
      <c r="H206" s="92">
        <v>0.2</v>
      </c>
      <c r="I206" s="105"/>
      <c r="J206" s="99"/>
      <c r="K206" s="82">
        <f t="shared" si="7"/>
        <v>0.22000000000000003</v>
      </c>
      <c r="L206" s="82"/>
      <c r="M206" s="82"/>
      <c r="N206" s="86"/>
    </row>
    <row r="207" spans="2:14" s="167" customFormat="1" ht="22.5" x14ac:dyDescent="0.25">
      <c r="B207" s="49" t="s">
        <v>59</v>
      </c>
      <c r="C207" s="57">
        <v>96545</v>
      </c>
      <c r="D207" s="52" t="s">
        <v>61</v>
      </c>
      <c r="E207" s="64" t="s">
        <v>62</v>
      </c>
      <c r="F207" s="94"/>
      <c r="G207" s="531" t="s">
        <v>1075</v>
      </c>
      <c r="H207" s="532"/>
      <c r="I207" s="533"/>
      <c r="J207" s="99">
        <v>537.29999999999995</v>
      </c>
      <c r="K207" s="81">
        <f>SUM(K210:K214)</f>
        <v>17.746560000000002</v>
      </c>
      <c r="L207" s="82">
        <f>J207+K207</f>
        <v>555.04656</v>
      </c>
      <c r="M207" s="82">
        <f>'BOLETIM DE MEDIÇÃO 11'!G29</f>
        <v>555.04999999999995</v>
      </c>
      <c r="N207" s="86">
        <f>M207-L207</f>
        <v>3.4399999999550346E-3</v>
      </c>
    </row>
    <row r="208" spans="2:14" s="167" customFormat="1" x14ac:dyDescent="0.25">
      <c r="B208" s="49"/>
      <c r="C208" s="57"/>
      <c r="D208" s="152" t="s">
        <v>1067</v>
      </c>
      <c r="E208" s="64"/>
      <c r="F208" s="94">
        <v>1</v>
      </c>
      <c r="G208" s="475">
        <v>537.29999999999995</v>
      </c>
      <c r="H208" s="477"/>
      <c r="I208" s="478"/>
      <c r="J208" s="82"/>
      <c r="K208" s="82">
        <f>F208*G208</f>
        <v>537.29999999999995</v>
      </c>
      <c r="L208" s="82"/>
      <c r="M208" s="82"/>
      <c r="N208" s="86"/>
    </row>
    <row r="209" spans="2:14" ht="22.5" x14ac:dyDescent="0.25">
      <c r="B209" s="49"/>
      <c r="C209" s="57"/>
      <c r="D209" s="428" t="s">
        <v>1068</v>
      </c>
      <c r="E209" s="64"/>
      <c r="F209" s="94">
        <v>1</v>
      </c>
      <c r="G209" s="157" t="s">
        <v>1069</v>
      </c>
      <c r="H209" s="172" t="s">
        <v>1070</v>
      </c>
      <c r="I209" s="155" t="s">
        <v>611</v>
      </c>
      <c r="J209" s="186"/>
      <c r="K209" s="186"/>
      <c r="L209" s="82"/>
      <c r="M209" s="82"/>
      <c r="N209" s="86"/>
    </row>
    <row r="210" spans="2:14" ht="33.75" x14ac:dyDescent="0.25">
      <c r="B210" s="49"/>
      <c r="C210" s="57"/>
      <c r="D210" s="144" t="s">
        <v>1050</v>
      </c>
      <c r="E210" s="64"/>
      <c r="F210" s="105">
        <v>1</v>
      </c>
      <c r="G210" s="99">
        <v>0.92700000000000005</v>
      </c>
      <c r="H210" s="172">
        <v>4</v>
      </c>
      <c r="I210" s="155">
        <v>0.39500000000000002</v>
      </c>
      <c r="J210" s="82"/>
      <c r="K210" s="429">
        <f>G210*H210*I210</f>
        <v>1.4646600000000001</v>
      </c>
      <c r="L210" s="82"/>
      <c r="M210" s="82"/>
      <c r="N210" s="86"/>
    </row>
    <row r="211" spans="2:14" ht="33.75" x14ac:dyDescent="0.25">
      <c r="B211" s="49"/>
      <c r="C211" s="57"/>
      <c r="D211" s="144" t="s">
        <v>1051</v>
      </c>
      <c r="E211" s="64"/>
      <c r="F211" s="105">
        <v>1</v>
      </c>
      <c r="G211" s="99">
        <v>0.8</v>
      </c>
      <c r="H211" s="172">
        <v>4</v>
      </c>
      <c r="I211" s="155">
        <v>0.39500000000000002</v>
      </c>
      <c r="J211" s="82"/>
      <c r="K211" s="429">
        <f>G211*H211*I211</f>
        <v>1.2640000000000002</v>
      </c>
      <c r="L211" s="82"/>
      <c r="M211" s="82"/>
      <c r="N211" s="86"/>
    </row>
    <row r="212" spans="2:14" x14ac:dyDescent="0.25">
      <c r="B212" s="49"/>
      <c r="C212" s="57"/>
      <c r="D212" s="144" t="s">
        <v>1052</v>
      </c>
      <c r="E212" s="64"/>
      <c r="F212" s="105">
        <v>1</v>
      </c>
      <c r="G212" s="99">
        <f>(1.7+0.15+1.855)</f>
        <v>3.7050000000000001</v>
      </c>
      <c r="H212" s="172">
        <v>4</v>
      </c>
      <c r="I212" s="155">
        <v>0.39500000000000002</v>
      </c>
      <c r="J212" s="82"/>
      <c r="K212" s="429">
        <f>G212*H212*I212</f>
        <v>5.8539000000000003</v>
      </c>
      <c r="L212" s="82"/>
      <c r="M212" s="82"/>
      <c r="N212" s="86"/>
    </row>
    <row r="213" spans="2:14" x14ac:dyDescent="0.25">
      <c r="B213" s="49"/>
      <c r="C213" s="57"/>
      <c r="D213" s="144" t="s">
        <v>1053</v>
      </c>
      <c r="E213" s="64"/>
      <c r="F213" s="105">
        <v>1</v>
      </c>
      <c r="G213" s="99">
        <v>2.7</v>
      </c>
      <c r="H213" s="172">
        <v>4</v>
      </c>
      <c r="I213" s="155">
        <v>0.39500000000000002</v>
      </c>
      <c r="J213" s="82"/>
      <c r="K213" s="429">
        <f>G213*H213*I213</f>
        <v>4.2660000000000009</v>
      </c>
      <c r="L213" s="82"/>
      <c r="M213" s="82"/>
      <c r="N213" s="86"/>
    </row>
    <row r="214" spans="2:14" ht="22.5" x14ac:dyDescent="0.25">
      <c r="B214" s="49"/>
      <c r="C214" s="57"/>
      <c r="D214" s="144" t="s">
        <v>1071</v>
      </c>
      <c r="E214" s="64"/>
      <c r="F214" s="105">
        <v>2</v>
      </c>
      <c r="G214" s="99">
        <v>3.1</v>
      </c>
      <c r="H214" s="172">
        <v>4</v>
      </c>
      <c r="I214" s="155">
        <v>0.39500000000000002</v>
      </c>
      <c r="J214" s="82"/>
      <c r="K214" s="429">
        <f>G214*H214*I214</f>
        <v>4.8980000000000006</v>
      </c>
      <c r="L214" s="82"/>
      <c r="M214" s="82"/>
      <c r="N214" s="86"/>
    </row>
    <row r="215" spans="2:14" x14ac:dyDescent="0.25">
      <c r="B215" s="49"/>
      <c r="C215" s="57"/>
      <c r="D215" s="144"/>
      <c r="E215" s="64"/>
      <c r="F215" s="105"/>
      <c r="G215" s="374"/>
      <c r="H215" s="418"/>
      <c r="I215" s="430"/>
      <c r="J215" s="429"/>
      <c r="K215" s="186"/>
      <c r="L215" s="82"/>
      <c r="M215" s="82"/>
      <c r="N215" s="86"/>
    </row>
    <row r="216" spans="2:14" s="167" customFormat="1" ht="33.75" x14ac:dyDescent="0.25">
      <c r="B216" s="49" t="s">
        <v>63</v>
      </c>
      <c r="C216" s="57">
        <v>94966</v>
      </c>
      <c r="D216" s="52" t="s">
        <v>65</v>
      </c>
      <c r="E216" s="64" t="s">
        <v>41</v>
      </c>
      <c r="F216" s="94"/>
      <c r="G216" s="531" t="s">
        <v>1076</v>
      </c>
      <c r="H216" s="532"/>
      <c r="I216" s="533"/>
      <c r="J216" s="99">
        <f>'BOLETIM DE MEDIÇÃO 11'!S30</f>
        <v>22.889974999999996</v>
      </c>
      <c r="K216" s="81">
        <f>SUM(K218:K263)-21.16</f>
        <v>1.7294349999999952</v>
      </c>
      <c r="L216" s="82">
        <f t="shared" si="0"/>
        <v>24.619409999999991</v>
      </c>
      <c r="M216" s="82">
        <f>'BOLETIM DE MEDIÇÃO 11'!G30</f>
        <v>22.89</v>
      </c>
      <c r="N216" s="86">
        <f t="shared" si="1"/>
        <v>-1.7294099999999908</v>
      </c>
    </row>
    <row r="217" spans="2:14" s="167" customFormat="1" x14ac:dyDescent="0.25">
      <c r="B217" s="49"/>
      <c r="C217" s="57"/>
      <c r="D217" s="160" t="s">
        <v>588</v>
      </c>
      <c r="E217" s="64"/>
      <c r="F217" s="94"/>
      <c r="G217" s="471"/>
      <c r="H217" s="473"/>
      <c r="I217" s="474"/>
      <c r="J217" s="99"/>
      <c r="K217" s="82"/>
      <c r="L217" s="82"/>
      <c r="M217" s="82"/>
      <c r="N217" s="86"/>
    </row>
    <row r="218" spans="2:14" s="167" customFormat="1" ht="33.75" x14ac:dyDescent="0.25">
      <c r="B218" s="49"/>
      <c r="C218" s="57"/>
      <c r="D218" s="144" t="s">
        <v>569</v>
      </c>
      <c r="E218" s="64"/>
      <c r="F218" s="94">
        <v>32</v>
      </c>
      <c r="G218" s="104">
        <v>0.6</v>
      </c>
      <c r="H218" s="92">
        <v>0.7</v>
      </c>
      <c r="I218" s="105">
        <v>0.25</v>
      </c>
      <c r="J218" s="82"/>
      <c r="K218" s="82">
        <v>3.36</v>
      </c>
      <c r="L218" s="82"/>
      <c r="M218" s="82"/>
      <c r="N218" s="86"/>
    </row>
    <row r="219" spans="2:14" s="167" customFormat="1" ht="45" x14ac:dyDescent="0.25">
      <c r="B219" s="49"/>
      <c r="C219" s="57"/>
      <c r="D219" s="144" t="s">
        <v>570</v>
      </c>
      <c r="E219" s="64"/>
      <c r="F219" s="94">
        <v>41</v>
      </c>
      <c r="G219" s="104">
        <v>0.6</v>
      </c>
      <c r="H219" s="92">
        <v>0.7</v>
      </c>
      <c r="I219" s="105">
        <v>0.25</v>
      </c>
      <c r="J219" s="82"/>
      <c r="K219" s="82">
        <v>4.3049999999999997</v>
      </c>
      <c r="L219" s="82"/>
      <c r="M219" s="82"/>
      <c r="N219" s="86"/>
    </row>
    <row r="220" spans="2:14" s="167" customFormat="1" x14ac:dyDescent="0.25">
      <c r="B220" s="49"/>
      <c r="C220" s="57"/>
      <c r="D220" s="144" t="s">
        <v>571</v>
      </c>
      <c r="E220" s="64"/>
      <c r="F220" s="94">
        <v>1</v>
      </c>
      <c r="G220" s="104">
        <v>0.6</v>
      </c>
      <c r="H220" s="92">
        <v>0.8</v>
      </c>
      <c r="I220" s="105">
        <v>0.25</v>
      </c>
      <c r="J220" s="82"/>
      <c r="K220" s="82">
        <v>0.12</v>
      </c>
      <c r="L220" s="82"/>
      <c r="M220" s="82"/>
      <c r="N220" s="86"/>
    </row>
    <row r="221" spans="2:14" s="167" customFormat="1" x14ac:dyDescent="0.25">
      <c r="B221" s="49"/>
      <c r="C221" s="57"/>
      <c r="D221" s="144" t="s">
        <v>572</v>
      </c>
      <c r="E221" s="64"/>
      <c r="F221" s="94">
        <v>2</v>
      </c>
      <c r="G221" s="104">
        <v>0.9</v>
      </c>
      <c r="H221" s="92">
        <v>0.9</v>
      </c>
      <c r="I221" s="105">
        <v>0.25</v>
      </c>
      <c r="J221" s="82"/>
      <c r="K221" s="82">
        <v>0.40500000000000003</v>
      </c>
      <c r="L221" s="82"/>
      <c r="M221" s="82"/>
      <c r="N221" s="86"/>
    </row>
    <row r="222" spans="2:14" s="167" customFormat="1" x14ac:dyDescent="0.25">
      <c r="B222" s="49"/>
      <c r="C222" s="57"/>
      <c r="D222" s="144" t="s">
        <v>573</v>
      </c>
      <c r="E222" s="64"/>
      <c r="F222" s="94">
        <v>7</v>
      </c>
      <c r="G222" s="104">
        <v>0.65</v>
      </c>
      <c r="H222" s="92">
        <v>0.65</v>
      </c>
      <c r="I222" s="105">
        <v>0.25</v>
      </c>
      <c r="J222" s="82"/>
      <c r="K222" s="82">
        <v>0.73937500000000012</v>
      </c>
      <c r="L222" s="82"/>
      <c r="M222" s="82"/>
      <c r="N222" s="86"/>
    </row>
    <row r="223" spans="2:14" s="167" customFormat="1" x14ac:dyDescent="0.25">
      <c r="B223" s="49"/>
      <c r="C223" s="57"/>
      <c r="D223" s="144" t="s">
        <v>574</v>
      </c>
      <c r="E223" s="64"/>
      <c r="F223" s="94">
        <v>3</v>
      </c>
      <c r="G223" s="104">
        <v>0.65</v>
      </c>
      <c r="H223" s="92">
        <v>0.75</v>
      </c>
      <c r="I223" s="105">
        <v>0.25</v>
      </c>
      <c r="J223" s="82"/>
      <c r="K223" s="82">
        <v>0.36562500000000003</v>
      </c>
      <c r="L223" s="82"/>
      <c r="M223" s="82"/>
      <c r="N223" s="86"/>
    </row>
    <row r="224" spans="2:14" s="167" customFormat="1" x14ac:dyDescent="0.25">
      <c r="B224" s="49"/>
      <c r="C224" s="57"/>
      <c r="D224" s="144" t="s">
        <v>575</v>
      </c>
      <c r="E224" s="64"/>
      <c r="F224" s="94">
        <v>2</v>
      </c>
      <c r="G224" s="104">
        <v>0.55000000000000004</v>
      </c>
      <c r="H224" s="92">
        <v>0.95</v>
      </c>
      <c r="I224" s="105">
        <v>0.25</v>
      </c>
      <c r="J224" s="82"/>
      <c r="K224" s="82">
        <v>0.26124999999999998</v>
      </c>
      <c r="L224" s="82"/>
      <c r="M224" s="82"/>
      <c r="N224" s="86"/>
    </row>
    <row r="225" spans="2:14" s="167" customFormat="1" ht="14.45" customHeight="1" x14ac:dyDescent="0.25">
      <c r="B225" s="49"/>
      <c r="C225" s="57"/>
      <c r="D225" s="152" t="s">
        <v>646</v>
      </c>
      <c r="E225" s="64"/>
      <c r="F225" s="94"/>
      <c r="G225" s="475" t="s">
        <v>679</v>
      </c>
      <c r="H225" s="476"/>
      <c r="I225" s="105" t="s">
        <v>651</v>
      </c>
      <c r="J225" s="82"/>
      <c r="K225" s="82"/>
      <c r="L225" s="82"/>
      <c r="M225" s="82"/>
      <c r="N225" s="86"/>
    </row>
    <row r="226" spans="2:14" s="167" customFormat="1" x14ac:dyDescent="0.25">
      <c r="B226" s="49"/>
      <c r="C226" s="57"/>
      <c r="D226" s="144" t="s">
        <v>614</v>
      </c>
      <c r="E226" s="64"/>
      <c r="F226" s="94">
        <v>1</v>
      </c>
      <c r="G226" s="471" t="s">
        <v>680</v>
      </c>
      <c r="H226" s="472"/>
      <c r="I226" s="105">
        <v>1.85</v>
      </c>
      <c r="J226" s="82"/>
      <c r="K226" s="82">
        <v>0.13875000000000001</v>
      </c>
      <c r="L226" s="82"/>
      <c r="M226" s="82"/>
      <c r="N226" s="86"/>
    </row>
    <row r="227" spans="2:14" s="167" customFormat="1" x14ac:dyDescent="0.25">
      <c r="B227" s="49"/>
      <c r="C227" s="57"/>
      <c r="D227" s="144" t="s">
        <v>633</v>
      </c>
      <c r="E227" s="64"/>
      <c r="F227" s="94">
        <v>1</v>
      </c>
      <c r="G227" s="471" t="s">
        <v>681</v>
      </c>
      <c r="H227" s="472"/>
      <c r="I227" s="105">
        <v>1.87</v>
      </c>
      <c r="J227" s="82"/>
      <c r="K227" s="82">
        <v>0.17765000000000003</v>
      </c>
      <c r="L227" s="82"/>
      <c r="M227" s="82"/>
      <c r="N227" s="86"/>
    </row>
    <row r="228" spans="2:14" s="167" customFormat="1" ht="22.5" x14ac:dyDescent="0.25">
      <c r="B228" s="49"/>
      <c r="C228" s="57"/>
      <c r="D228" s="144" t="s">
        <v>629</v>
      </c>
      <c r="E228" s="64"/>
      <c r="F228" s="94">
        <v>1</v>
      </c>
      <c r="G228" s="471" t="s">
        <v>682</v>
      </c>
      <c r="H228" s="472"/>
      <c r="I228" s="105">
        <v>1.9</v>
      </c>
      <c r="J228" s="82"/>
      <c r="K228" s="82">
        <v>0.41800000000000004</v>
      </c>
      <c r="L228" s="82"/>
      <c r="M228" s="82"/>
      <c r="N228" s="86"/>
    </row>
    <row r="229" spans="2:14" s="167" customFormat="1" x14ac:dyDescent="0.25">
      <c r="B229" s="49"/>
      <c r="C229" s="57"/>
      <c r="D229" s="144" t="s">
        <v>630</v>
      </c>
      <c r="E229" s="64"/>
      <c r="F229" s="94">
        <v>1</v>
      </c>
      <c r="G229" s="471" t="s">
        <v>684</v>
      </c>
      <c r="H229" s="472"/>
      <c r="I229" s="105">
        <v>1.92</v>
      </c>
      <c r="J229" s="82"/>
      <c r="K229" s="82">
        <v>0.24</v>
      </c>
      <c r="L229" s="82"/>
      <c r="M229" s="82"/>
      <c r="N229" s="86"/>
    </row>
    <row r="230" spans="2:14" s="167" customFormat="1" x14ac:dyDescent="0.25">
      <c r="B230" s="49"/>
      <c r="C230" s="57"/>
      <c r="D230" s="144" t="s">
        <v>615</v>
      </c>
      <c r="E230" s="64"/>
      <c r="F230" s="94">
        <v>1</v>
      </c>
      <c r="G230" s="471" t="s">
        <v>683</v>
      </c>
      <c r="H230" s="472"/>
      <c r="I230" s="86">
        <v>1.94</v>
      </c>
      <c r="J230" s="82"/>
      <c r="K230" s="82">
        <v>0.26189999999999997</v>
      </c>
      <c r="L230" s="82"/>
      <c r="M230" s="82"/>
      <c r="N230" s="86"/>
    </row>
    <row r="231" spans="2:14" s="167" customFormat="1" ht="22.5" x14ac:dyDescent="0.25">
      <c r="B231" s="49"/>
      <c r="C231" s="57"/>
      <c r="D231" s="144" t="s">
        <v>616</v>
      </c>
      <c r="E231" s="64"/>
      <c r="F231" s="94">
        <v>1</v>
      </c>
      <c r="G231" s="471" t="s">
        <v>685</v>
      </c>
      <c r="H231" s="472"/>
      <c r="I231" s="86">
        <v>1.96</v>
      </c>
      <c r="J231" s="82"/>
      <c r="K231" s="82">
        <v>0.44100000000000006</v>
      </c>
      <c r="L231" s="82"/>
      <c r="M231" s="82"/>
      <c r="N231" s="86"/>
    </row>
    <row r="232" spans="2:14" s="167" customFormat="1" ht="22.9" customHeight="1" x14ac:dyDescent="0.25">
      <c r="B232" s="49"/>
      <c r="C232" s="57"/>
      <c r="D232" s="144" t="s">
        <v>617</v>
      </c>
      <c r="E232" s="64"/>
      <c r="F232" s="94">
        <v>1</v>
      </c>
      <c r="G232" s="475" t="s">
        <v>686</v>
      </c>
      <c r="H232" s="476"/>
      <c r="I232" s="86">
        <v>1.95</v>
      </c>
      <c r="J232" s="82"/>
      <c r="K232" s="82">
        <v>0.55574999999999997</v>
      </c>
      <c r="L232" s="82"/>
      <c r="M232" s="82"/>
      <c r="N232" s="86"/>
    </row>
    <row r="233" spans="2:14" s="167" customFormat="1" x14ac:dyDescent="0.25">
      <c r="B233" s="49"/>
      <c r="C233" s="57"/>
      <c r="D233" s="144" t="s">
        <v>618</v>
      </c>
      <c r="E233" s="64"/>
      <c r="F233" s="94">
        <v>1</v>
      </c>
      <c r="G233" s="471" t="s">
        <v>687</v>
      </c>
      <c r="H233" s="472"/>
      <c r="I233" s="86">
        <v>1.97</v>
      </c>
      <c r="J233" s="82"/>
      <c r="K233" s="82">
        <v>0.27087499999999998</v>
      </c>
      <c r="L233" s="82"/>
      <c r="M233" s="82"/>
      <c r="N233" s="86"/>
    </row>
    <row r="234" spans="2:14" s="167" customFormat="1" x14ac:dyDescent="0.25">
      <c r="B234" s="49"/>
      <c r="C234" s="57"/>
      <c r="D234" s="144" t="s">
        <v>631</v>
      </c>
      <c r="E234" s="64"/>
      <c r="F234" s="94">
        <v>1</v>
      </c>
      <c r="G234" s="471" t="s">
        <v>688</v>
      </c>
      <c r="H234" s="472"/>
      <c r="I234" s="86">
        <v>1.9</v>
      </c>
      <c r="J234" s="82"/>
      <c r="K234" s="82">
        <v>0.21375</v>
      </c>
      <c r="L234" s="82"/>
      <c r="M234" s="82"/>
      <c r="N234" s="86"/>
    </row>
    <row r="235" spans="2:14" s="167" customFormat="1" ht="21" customHeight="1" x14ac:dyDescent="0.25">
      <c r="B235" s="49"/>
      <c r="C235" s="57"/>
      <c r="D235" s="144" t="s">
        <v>632</v>
      </c>
      <c r="E235" s="64"/>
      <c r="F235" s="94">
        <v>1</v>
      </c>
      <c r="G235" s="475" t="s">
        <v>689</v>
      </c>
      <c r="H235" s="476"/>
      <c r="I235" s="86">
        <v>1.86</v>
      </c>
      <c r="J235" s="82"/>
      <c r="K235" s="82">
        <v>0.29294999999999999</v>
      </c>
      <c r="L235" s="82"/>
      <c r="M235" s="82"/>
      <c r="N235" s="86"/>
    </row>
    <row r="236" spans="2:14" s="167" customFormat="1" x14ac:dyDescent="0.25">
      <c r="B236" s="49"/>
      <c r="C236" s="57"/>
      <c r="D236" s="144" t="s">
        <v>634</v>
      </c>
      <c r="E236" s="64"/>
      <c r="F236" s="94">
        <v>1</v>
      </c>
      <c r="G236" s="471" t="s">
        <v>690</v>
      </c>
      <c r="H236" s="472"/>
      <c r="I236" s="86">
        <v>1.87</v>
      </c>
      <c r="J236" s="82"/>
      <c r="K236" s="82">
        <v>0.26180000000000003</v>
      </c>
      <c r="L236" s="82"/>
      <c r="M236" s="82"/>
      <c r="N236" s="86"/>
    </row>
    <row r="237" spans="2:14" s="167" customFormat="1" ht="14.45" customHeight="1" x14ac:dyDescent="0.25">
      <c r="B237" s="49"/>
      <c r="C237" s="57"/>
      <c r="D237" s="144" t="s">
        <v>619</v>
      </c>
      <c r="E237" s="64"/>
      <c r="F237" s="94">
        <v>1</v>
      </c>
      <c r="G237" s="475" t="s">
        <v>691</v>
      </c>
      <c r="H237" s="476"/>
      <c r="I237" s="86">
        <v>1.9</v>
      </c>
      <c r="J237" s="82"/>
      <c r="K237" s="82">
        <v>0.3705</v>
      </c>
      <c r="L237" s="82"/>
      <c r="M237" s="82"/>
      <c r="N237" s="86"/>
    </row>
    <row r="238" spans="2:14" s="167" customFormat="1" x14ac:dyDescent="0.25">
      <c r="B238" s="49"/>
      <c r="C238" s="57"/>
      <c r="D238" s="144" t="s">
        <v>620</v>
      </c>
      <c r="E238" s="64"/>
      <c r="F238" s="94">
        <v>1</v>
      </c>
      <c r="G238" s="471" t="s">
        <v>692</v>
      </c>
      <c r="H238" s="472"/>
      <c r="I238" s="86">
        <v>1.91</v>
      </c>
      <c r="J238" s="82"/>
      <c r="K238" s="82">
        <v>0.18622499999999997</v>
      </c>
      <c r="L238" s="82"/>
      <c r="M238" s="82"/>
      <c r="N238" s="86"/>
    </row>
    <row r="239" spans="2:14" s="167" customFormat="1" ht="20.45" customHeight="1" x14ac:dyDescent="0.25">
      <c r="B239" s="49"/>
      <c r="C239" s="57"/>
      <c r="D239" s="144" t="s">
        <v>621</v>
      </c>
      <c r="E239" s="64"/>
      <c r="F239" s="94">
        <v>1</v>
      </c>
      <c r="G239" s="471" t="s">
        <v>693</v>
      </c>
      <c r="H239" s="472"/>
      <c r="I239" s="86">
        <v>1.94</v>
      </c>
      <c r="J239" s="82"/>
      <c r="K239" s="82">
        <v>0.48499999999999999</v>
      </c>
      <c r="L239" s="82"/>
      <c r="M239" s="82"/>
      <c r="N239" s="86"/>
    </row>
    <row r="240" spans="2:14" s="167" customFormat="1" ht="14.45" customHeight="1" x14ac:dyDescent="0.25">
      <c r="B240" s="49"/>
      <c r="C240" s="57"/>
      <c r="D240" s="144" t="s">
        <v>622</v>
      </c>
      <c r="E240" s="64"/>
      <c r="F240" s="94">
        <v>1</v>
      </c>
      <c r="G240" s="475" t="s">
        <v>694</v>
      </c>
      <c r="H240" s="476"/>
      <c r="I240" s="86">
        <v>1.93</v>
      </c>
      <c r="J240" s="82"/>
      <c r="K240" s="82">
        <v>0.28949999999999998</v>
      </c>
      <c r="L240" s="82"/>
      <c r="M240" s="82"/>
      <c r="N240" s="86"/>
    </row>
    <row r="241" spans="2:14" s="167" customFormat="1" x14ac:dyDescent="0.25">
      <c r="B241" s="49"/>
      <c r="C241" s="57"/>
      <c r="D241" s="144" t="s">
        <v>635</v>
      </c>
      <c r="E241" s="64"/>
      <c r="F241" s="94">
        <v>1</v>
      </c>
      <c r="G241" s="471" t="s">
        <v>695</v>
      </c>
      <c r="H241" s="472"/>
      <c r="I241" s="86">
        <v>1.92</v>
      </c>
      <c r="J241" s="82"/>
      <c r="K241" s="82">
        <v>0.26400000000000001</v>
      </c>
      <c r="L241" s="82"/>
      <c r="M241" s="82"/>
      <c r="N241" s="86"/>
    </row>
    <row r="242" spans="2:14" s="167" customFormat="1" ht="22.15" customHeight="1" x14ac:dyDescent="0.25">
      <c r="B242" s="49"/>
      <c r="C242" s="57"/>
      <c r="D242" s="144" t="s">
        <v>623</v>
      </c>
      <c r="E242" s="64"/>
      <c r="F242" s="94">
        <v>1</v>
      </c>
      <c r="G242" s="471" t="s">
        <v>696</v>
      </c>
      <c r="H242" s="472"/>
      <c r="I242" s="86">
        <v>1.87</v>
      </c>
      <c r="J242" s="82"/>
      <c r="K242" s="82">
        <v>0.32725000000000004</v>
      </c>
      <c r="L242" s="82"/>
      <c r="M242" s="82"/>
      <c r="N242" s="86"/>
    </row>
    <row r="243" spans="2:14" s="167" customFormat="1" x14ac:dyDescent="0.25">
      <c r="B243" s="49"/>
      <c r="C243" s="57"/>
      <c r="D243" s="144" t="s">
        <v>624</v>
      </c>
      <c r="E243" s="64"/>
      <c r="F243" s="94">
        <v>1</v>
      </c>
      <c r="G243" s="471" t="s">
        <v>697</v>
      </c>
      <c r="H243" s="472"/>
      <c r="I243" s="86">
        <v>1.88</v>
      </c>
      <c r="J243" s="82"/>
      <c r="K243" s="82">
        <v>0.30549999999999999</v>
      </c>
      <c r="L243" s="82"/>
      <c r="M243" s="82"/>
      <c r="N243" s="86"/>
    </row>
    <row r="244" spans="2:14" s="167" customFormat="1" ht="27" customHeight="1" x14ac:dyDescent="0.25">
      <c r="B244" s="49"/>
      <c r="C244" s="57"/>
      <c r="D244" s="144" t="s">
        <v>625</v>
      </c>
      <c r="E244" s="64"/>
      <c r="F244" s="94">
        <v>1</v>
      </c>
      <c r="G244" s="471" t="s">
        <v>698</v>
      </c>
      <c r="H244" s="472"/>
      <c r="I244" s="86">
        <v>1.9</v>
      </c>
      <c r="J244" s="82"/>
      <c r="K244" s="82">
        <v>0.40375000000000005</v>
      </c>
      <c r="L244" s="82"/>
      <c r="M244" s="82"/>
      <c r="N244" s="86"/>
    </row>
    <row r="245" spans="2:14" s="167" customFormat="1" x14ac:dyDescent="0.25">
      <c r="B245" s="49"/>
      <c r="C245" s="57"/>
      <c r="D245" s="144" t="s">
        <v>637</v>
      </c>
      <c r="E245" s="64"/>
      <c r="F245" s="94">
        <v>1</v>
      </c>
      <c r="G245" s="471" t="s">
        <v>699</v>
      </c>
      <c r="H245" s="472"/>
      <c r="I245" s="86">
        <v>1.9</v>
      </c>
      <c r="J245" s="82"/>
      <c r="K245" s="82">
        <v>7.6000000000000012E-2</v>
      </c>
      <c r="L245" s="82"/>
      <c r="M245" s="82"/>
      <c r="N245" s="86"/>
    </row>
    <row r="246" spans="2:14" s="167" customFormat="1" x14ac:dyDescent="0.25">
      <c r="B246" s="49"/>
      <c r="C246" s="57"/>
      <c r="D246" s="144" t="s">
        <v>636</v>
      </c>
      <c r="E246" s="64"/>
      <c r="F246" s="94">
        <v>1</v>
      </c>
      <c r="G246" s="471" t="s">
        <v>700</v>
      </c>
      <c r="H246" s="472"/>
      <c r="I246" s="86">
        <v>1.97</v>
      </c>
      <c r="J246" s="82"/>
      <c r="K246" s="82">
        <v>0.172375</v>
      </c>
      <c r="L246" s="82"/>
      <c r="M246" s="82"/>
      <c r="N246" s="86"/>
    </row>
    <row r="247" spans="2:14" s="167" customFormat="1" ht="25.15" customHeight="1" x14ac:dyDescent="0.25">
      <c r="B247" s="49"/>
      <c r="C247" s="57"/>
      <c r="D247" s="144" t="s">
        <v>638</v>
      </c>
      <c r="E247" s="64"/>
      <c r="F247" s="94">
        <v>1</v>
      </c>
      <c r="G247" s="471" t="s">
        <v>701</v>
      </c>
      <c r="H247" s="472"/>
      <c r="I247" s="86">
        <v>2</v>
      </c>
      <c r="J247" s="82"/>
      <c r="K247" s="82">
        <v>0.25</v>
      </c>
      <c r="L247" s="82"/>
      <c r="M247" s="82"/>
      <c r="N247" s="86"/>
    </row>
    <row r="248" spans="2:14" s="167" customFormat="1" ht="20.45" customHeight="1" x14ac:dyDescent="0.25">
      <c r="B248" s="49"/>
      <c r="C248" s="57"/>
      <c r="D248" s="144" t="s">
        <v>626</v>
      </c>
      <c r="E248" s="64"/>
      <c r="F248" s="94">
        <v>1</v>
      </c>
      <c r="G248" s="475" t="s">
        <v>702</v>
      </c>
      <c r="H248" s="476"/>
      <c r="I248" s="86">
        <v>2.0099999999999998</v>
      </c>
      <c r="J248" s="82"/>
      <c r="K248" s="82">
        <v>0.62309999999999999</v>
      </c>
      <c r="L248" s="82"/>
      <c r="M248" s="82"/>
      <c r="N248" s="86"/>
    </row>
    <row r="249" spans="2:14" s="167" customFormat="1" x14ac:dyDescent="0.25">
      <c r="B249" s="49"/>
      <c r="C249" s="57"/>
      <c r="D249" s="144" t="s">
        <v>639</v>
      </c>
      <c r="E249" s="64"/>
      <c r="F249" s="94">
        <v>1</v>
      </c>
      <c r="G249" s="471" t="s">
        <v>704</v>
      </c>
      <c r="H249" s="472"/>
      <c r="I249" s="86">
        <v>1.86</v>
      </c>
      <c r="J249" s="82"/>
      <c r="K249" s="82">
        <v>8.3699999999999997E-2</v>
      </c>
      <c r="L249" s="82"/>
      <c r="M249" s="82"/>
      <c r="N249" s="86"/>
    </row>
    <row r="250" spans="2:14" s="167" customFormat="1" x14ac:dyDescent="0.25">
      <c r="B250" s="49"/>
      <c r="C250" s="57"/>
      <c r="D250" s="144" t="s">
        <v>640</v>
      </c>
      <c r="E250" s="64"/>
      <c r="F250" s="94">
        <v>1</v>
      </c>
      <c r="G250" s="471" t="s">
        <v>703</v>
      </c>
      <c r="H250" s="472"/>
      <c r="I250" s="86">
        <v>1.87</v>
      </c>
      <c r="J250" s="82"/>
      <c r="K250" s="82">
        <v>8.4150000000000003E-2</v>
      </c>
      <c r="L250" s="82"/>
      <c r="M250" s="82"/>
      <c r="N250" s="86"/>
    </row>
    <row r="251" spans="2:14" s="167" customFormat="1" x14ac:dyDescent="0.25">
      <c r="B251" s="49"/>
      <c r="C251" s="57"/>
      <c r="D251" s="144" t="s">
        <v>641</v>
      </c>
      <c r="E251" s="64"/>
      <c r="F251" s="94">
        <v>1</v>
      </c>
      <c r="G251" s="471" t="s">
        <v>703</v>
      </c>
      <c r="H251" s="472"/>
      <c r="I251" s="86">
        <v>1.89</v>
      </c>
      <c r="J251" s="82"/>
      <c r="K251" s="82">
        <v>0.14174999999999999</v>
      </c>
      <c r="L251" s="82"/>
      <c r="M251" s="82"/>
      <c r="N251" s="86"/>
    </row>
    <row r="252" spans="2:14" s="167" customFormat="1" x14ac:dyDescent="0.25">
      <c r="B252" s="49"/>
      <c r="C252" s="57"/>
      <c r="D252" s="144" t="s">
        <v>642</v>
      </c>
      <c r="E252" s="64"/>
      <c r="F252" s="94">
        <v>1</v>
      </c>
      <c r="G252" s="471" t="s">
        <v>705</v>
      </c>
      <c r="H252" s="472"/>
      <c r="I252" s="86">
        <v>1.9</v>
      </c>
      <c r="J252" s="82"/>
      <c r="K252" s="82">
        <v>7.1249999999999994E-2</v>
      </c>
      <c r="L252" s="82"/>
      <c r="M252" s="82"/>
      <c r="N252" s="86"/>
    </row>
    <row r="253" spans="2:14" s="167" customFormat="1" x14ac:dyDescent="0.25">
      <c r="B253" s="49"/>
      <c r="C253" s="57"/>
      <c r="D253" s="144" t="s">
        <v>643</v>
      </c>
      <c r="E253" s="64"/>
      <c r="F253" s="94">
        <v>1</v>
      </c>
      <c r="G253" s="471" t="s">
        <v>704</v>
      </c>
      <c r="H253" s="472"/>
      <c r="I253" s="86">
        <v>1.92</v>
      </c>
      <c r="J253" s="82"/>
      <c r="K253" s="82">
        <v>8.6399999999999991E-2</v>
      </c>
      <c r="L253" s="82"/>
      <c r="M253" s="82"/>
      <c r="N253" s="86"/>
    </row>
    <row r="254" spans="2:14" s="167" customFormat="1" x14ac:dyDescent="0.25">
      <c r="B254" s="49"/>
      <c r="C254" s="57"/>
      <c r="D254" s="144" t="s">
        <v>644</v>
      </c>
      <c r="E254" s="64"/>
      <c r="F254" s="94">
        <v>1</v>
      </c>
      <c r="G254" s="471" t="s">
        <v>705</v>
      </c>
      <c r="H254" s="472"/>
      <c r="I254" s="86">
        <v>1.9</v>
      </c>
      <c r="J254" s="82"/>
      <c r="K254" s="82">
        <v>7.1249999999999994E-2</v>
      </c>
      <c r="L254" s="82"/>
      <c r="M254" s="82"/>
      <c r="N254" s="86"/>
    </row>
    <row r="255" spans="2:14" s="167" customFormat="1" ht="20.45" customHeight="1" x14ac:dyDescent="0.25">
      <c r="B255" s="49"/>
      <c r="C255" s="57"/>
      <c r="D255" s="144" t="s">
        <v>645</v>
      </c>
      <c r="E255" s="64"/>
      <c r="F255" s="94">
        <v>1</v>
      </c>
      <c r="G255" s="471" t="s">
        <v>704</v>
      </c>
      <c r="H255" s="472"/>
      <c r="I255" s="86">
        <v>1.98</v>
      </c>
      <c r="J255" s="82"/>
      <c r="K255" s="82">
        <v>8.9099999999999999E-2</v>
      </c>
      <c r="L255" s="82"/>
      <c r="M255" s="82"/>
      <c r="N255" s="86"/>
    </row>
    <row r="256" spans="2:14" s="167" customFormat="1" x14ac:dyDescent="0.25">
      <c r="B256" s="49"/>
      <c r="C256" s="57"/>
      <c r="D256" s="144" t="s">
        <v>707</v>
      </c>
      <c r="E256" s="64"/>
      <c r="F256" s="94">
        <v>1</v>
      </c>
      <c r="G256" s="471">
        <v>9.6</v>
      </c>
      <c r="H256" s="473"/>
      <c r="I256" s="474"/>
      <c r="J256" s="82"/>
      <c r="K256" s="82">
        <v>-9.6</v>
      </c>
      <c r="L256" s="82"/>
      <c r="M256" s="82"/>
      <c r="N256" s="86"/>
    </row>
    <row r="257" spans="2:21" s="167" customFormat="1" x14ac:dyDescent="0.25">
      <c r="B257" s="49"/>
      <c r="C257" s="57"/>
      <c r="D257" s="152" t="s">
        <v>1067</v>
      </c>
      <c r="E257" s="64"/>
      <c r="F257" s="94">
        <v>1</v>
      </c>
      <c r="G257" s="471">
        <v>14.85</v>
      </c>
      <c r="H257" s="473"/>
      <c r="I257" s="474"/>
      <c r="J257" s="82"/>
      <c r="K257" s="82">
        <v>14.85</v>
      </c>
      <c r="L257" s="82"/>
      <c r="M257" s="82"/>
      <c r="N257" s="86"/>
    </row>
    <row r="258" spans="2:21" s="167" customFormat="1" ht="22.5" x14ac:dyDescent="0.25">
      <c r="B258" s="49"/>
      <c r="C258" s="57"/>
      <c r="D258" s="428" t="s">
        <v>1072</v>
      </c>
      <c r="E258" s="64"/>
      <c r="F258" s="94">
        <v>1</v>
      </c>
      <c r="G258" s="104" t="s">
        <v>1073</v>
      </c>
      <c r="H258" s="92" t="s">
        <v>649</v>
      </c>
      <c r="I258" s="105" t="s">
        <v>651</v>
      </c>
      <c r="J258" s="82"/>
      <c r="K258" s="82"/>
      <c r="L258" s="82"/>
      <c r="M258" s="82"/>
      <c r="N258" s="86"/>
    </row>
    <row r="259" spans="2:21" s="167" customFormat="1" ht="33.75" x14ac:dyDescent="0.25">
      <c r="B259" s="49"/>
      <c r="C259" s="57"/>
      <c r="D259" s="144" t="s">
        <v>1050</v>
      </c>
      <c r="E259" s="64"/>
      <c r="F259" s="105">
        <v>1</v>
      </c>
      <c r="G259" s="99">
        <v>0.92700000000000005</v>
      </c>
      <c r="H259" s="92">
        <v>0.15</v>
      </c>
      <c r="I259" s="105">
        <v>0.2</v>
      </c>
      <c r="J259" s="82"/>
      <c r="K259" s="82">
        <v>2.7810000000000001E-2</v>
      </c>
      <c r="L259" s="82"/>
      <c r="M259" s="82"/>
      <c r="N259" s="86"/>
    </row>
    <row r="260" spans="2:21" s="167" customFormat="1" ht="33.75" x14ac:dyDescent="0.25">
      <c r="B260" s="49"/>
      <c r="C260" s="57"/>
      <c r="D260" s="144" t="s">
        <v>1051</v>
      </c>
      <c r="E260" s="64"/>
      <c r="F260" s="105">
        <v>1</v>
      </c>
      <c r="G260" s="99">
        <v>0.8</v>
      </c>
      <c r="H260" s="92">
        <v>0.15</v>
      </c>
      <c r="I260" s="105">
        <v>0.2</v>
      </c>
      <c r="J260" s="82"/>
      <c r="K260" s="82">
        <v>2.4E-2</v>
      </c>
      <c r="L260" s="82"/>
      <c r="M260" s="82"/>
      <c r="N260" s="86"/>
    </row>
    <row r="261" spans="2:21" s="167" customFormat="1" x14ac:dyDescent="0.25">
      <c r="B261" s="49"/>
      <c r="C261" s="57"/>
      <c r="D261" s="144" t="s">
        <v>1052</v>
      </c>
      <c r="E261" s="64"/>
      <c r="F261" s="105">
        <v>1</v>
      </c>
      <c r="G261" s="99">
        <f>(1.7+0.15+1.855)</f>
        <v>3.7050000000000001</v>
      </c>
      <c r="H261" s="92">
        <v>0.15</v>
      </c>
      <c r="I261" s="105">
        <v>0.2</v>
      </c>
      <c r="J261" s="82"/>
      <c r="K261" s="82">
        <v>0.11115</v>
      </c>
      <c r="L261" s="82"/>
      <c r="M261" s="82"/>
      <c r="N261" s="86"/>
    </row>
    <row r="262" spans="2:21" s="167" customFormat="1" x14ac:dyDescent="0.25">
      <c r="B262" s="49"/>
      <c r="C262" s="57"/>
      <c r="D262" s="144" t="s">
        <v>1053</v>
      </c>
      <c r="E262" s="64"/>
      <c r="F262" s="105">
        <v>1</v>
      </c>
      <c r="G262" s="99">
        <v>2.7</v>
      </c>
      <c r="H262" s="92">
        <v>0.15</v>
      </c>
      <c r="I262" s="105">
        <v>0.2</v>
      </c>
      <c r="J262" s="82"/>
      <c r="K262" s="82">
        <v>8.1000000000000016E-2</v>
      </c>
      <c r="L262" s="82"/>
      <c r="M262" s="82"/>
      <c r="N262" s="86"/>
    </row>
    <row r="263" spans="2:21" s="167" customFormat="1" ht="22.5" x14ac:dyDescent="0.25">
      <c r="B263" s="49"/>
      <c r="C263" s="57"/>
      <c r="D263" s="144" t="s">
        <v>1071</v>
      </c>
      <c r="E263" s="64"/>
      <c r="F263" s="105">
        <v>2</v>
      </c>
      <c r="G263" s="99">
        <v>3.1</v>
      </c>
      <c r="H263" s="92">
        <v>0.15</v>
      </c>
      <c r="I263" s="105">
        <v>0.2</v>
      </c>
      <c r="J263" s="82"/>
      <c r="K263" s="82">
        <v>0.186</v>
      </c>
      <c r="L263" s="82"/>
      <c r="M263" s="82"/>
      <c r="N263" s="86"/>
    </row>
    <row r="264" spans="2:21" ht="30.6" hidden="1" customHeight="1" x14ac:dyDescent="0.25">
      <c r="B264" s="49" t="s">
        <v>66</v>
      </c>
      <c r="C264" s="57">
        <v>94964</v>
      </c>
      <c r="D264" s="52" t="s">
        <v>68</v>
      </c>
      <c r="E264" s="64" t="s">
        <v>41</v>
      </c>
      <c r="F264" s="94"/>
      <c r="G264" s="534" t="s">
        <v>1077</v>
      </c>
      <c r="H264" s="535"/>
      <c r="I264" s="536"/>
      <c r="J264" s="99">
        <f>'BOLETIM DE MEDIÇÃO 05'!O31-'MEMORIAL DE CALCULO 10'!K264</f>
        <v>9.6</v>
      </c>
      <c r="K264" s="81">
        <f>G269</f>
        <v>0</v>
      </c>
      <c r="L264" s="82">
        <f t="shared" si="0"/>
        <v>9.6</v>
      </c>
      <c r="M264" s="82">
        <f>'BOLETIM DE MEDIÇÃO 05'!G31</f>
        <v>9.6</v>
      </c>
      <c r="N264" s="86">
        <f t="shared" si="1"/>
        <v>0</v>
      </c>
    </row>
    <row r="265" spans="2:21" hidden="1" x14ac:dyDescent="0.25">
      <c r="B265" s="49"/>
      <c r="C265" s="57"/>
      <c r="D265" s="160" t="s">
        <v>588</v>
      </c>
      <c r="E265" s="64"/>
      <c r="F265" s="94"/>
      <c r="G265" s="471"/>
      <c r="H265" s="473"/>
      <c r="I265" s="474"/>
      <c r="J265" s="99"/>
      <c r="K265" s="82"/>
      <c r="L265" s="82"/>
      <c r="M265" s="82"/>
      <c r="N265" s="86"/>
    </row>
    <row r="266" spans="2:21" hidden="1" x14ac:dyDescent="0.25">
      <c r="B266" s="49"/>
      <c r="C266" s="57"/>
      <c r="D266" s="160"/>
      <c r="E266" s="64"/>
      <c r="F266" s="94"/>
      <c r="G266" s="373"/>
      <c r="H266" s="374"/>
      <c r="I266" s="318"/>
      <c r="J266" s="99"/>
      <c r="K266" s="82"/>
      <c r="L266" s="82"/>
      <c r="M266" s="82"/>
      <c r="N266" s="86"/>
    </row>
    <row r="267" spans="2:21" hidden="1" x14ac:dyDescent="0.25">
      <c r="B267" s="49"/>
      <c r="C267" s="57"/>
      <c r="D267" s="160"/>
      <c r="E267" s="64"/>
      <c r="F267" s="94"/>
      <c r="G267" s="373"/>
      <c r="H267" s="374"/>
      <c r="I267" s="318"/>
      <c r="J267" s="99"/>
      <c r="K267" s="82"/>
      <c r="L267" s="82"/>
      <c r="M267" s="82"/>
      <c r="N267" s="86"/>
    </row>
    <row r="268" spans="2:21" hidden="1" x14ac:dyDescent="0.25">
      <c r="B268" s="49"/>
      <c r="C268" s="57"/>
      <c r="D268" s="160"/>
      <c r="E268" s="64"/>
      <c r="F268" s="94"/>
      <c r="G268" s="373"/>
      <c r="H268" s="374"/>
      <c r="I268" s="318"/>
      <c r="J268" s="99"/>
      <c r="K268" s="82"/>
      <c r="L268" s="82"/>
      <c r="M268" s="82"/>
      <c r="N268" s="86"/>
    </row>
    <row r="269" spans="2:21" x14ac:dyDescent="0.25">
      <c r="B269" s="49"/>
      <c r="C269" s="57"/>
      <c r="D269" s="144"/>
      <c r="E269" s="64"/>
      <c r="F269" s="94"/>
      <c r="G269" s="471"/>
      <c r="H269" s="473"/>
      <c r="I269" s="474"/>
      <c r="J269" s="99"/>
      <c r="K269" s="82"/>
      <c r="L269" s="82"/>
      <c r="M269" s="82"/>
      <c r="N269" s="86"/>
      <c r="S269" s="161"/>
      <c r="T269" s="161"/>
      <c r="U269" s="162"/>
    </row>
    <row r="270" spans="2:21" ht="33.75" x14ac:dyDescent="0.25">
      <c r="B270" s="49" t="s">
        <v>69</v>
      </c>
      <c r="C270" s="57">
        <v>103670</v>
      </c>
      <c r="D270" s="52" t="s">
        <v>71</v>
      </c>
      <c r="E270" s="64" t="s">
        <v>41</v>
      </c>
      <c r="F270" s="94"/>
      <c r="G270" s="534" t="s">
        <v>1077</v>
      </c>
      <c r="H270" s="535"/>
      <c r="I270" s="536"/>
      <c r="J270" s="99">
        <v>30.76</v>
      </c>
      <c r="K270" s="81">
        <v>1.73</v>
      </c>
      <c r="L270" s="82">
        <f t="shared" si="0"/>
        <v>32.49</v>
      </c>
      <c r="M270" s="82">
        <f>'BOLETIM DE MEDIÇÃO 11'!G32</f>
        <v>32.49</v>
      </c>
      <c r="N270" s="86">
        <f t="shared" si="1"/>
        <v>0</v>
      </c>
    </row>
    <row r="271" spans="2:21" x14ac:dyDescent="0.25">
      <c r="B271" s="49"/>
      <c r="C271" s="57"/>
      <c r="D271" s="143" t="s">
        <v>1078</v>
      </c>
      <c r="E271" s="64"/>
      <c r="F271" s="94">
        <v>1</v>
      </c>
      <c r="G271" s="471">
        <v>30.76</v>
      </c>
      <c r="H271" s="473"/>
      <c r="I271" s="474"/>
      <c r="J271" s="82"/>
      <c r="K271" s="82">
        <f>G271</f>
        <v>30.76</v>
      </c>
      <c r="L271" s="82"/>
      <c r="M271" s="82"/>
      <c r="N271" s="86"/>
    </row>
    <row r="272" spans="2:21" x14ac:dyDescent="0.25">
      <c r="B272" s="49"/>
      <c r="C272" s="57"/>
      <c r="D272" s="143" t="s">
        <v>1079</v>
      </c>
      <c r="E272" s="64"/>
      <c r="F272" s="94">
        <v>1</v>
      </c>
      <c r="G272" s="471">
        <f>J218+9.6</f>
        <v>9.6</v>
      </c>
      <c r="H272" s="473"/>
      <c r="I272" s="474"/>
      <c r="J272" s="82"/>
      <c r="K272" s="82">
        <f>G272</f>
        <v>9.6</v>
      </c>
      <c r="L272" s="82"/>
      <c r="M272" s="82"/>
      <c r="N272" s="86"/>
    </row>
    <row r="273" spans="2:14" x14ac:dyDescent="0.25">
      <c r="B273" s="49"/>
      <c r="C273" s="57"/>
      <c r="D273" s="143"/>
      <c r="E273" s="64"/>
      <c r="F273" s="94"/>
      <c r="G273" s="471"/>
      <c r="H273" s="473"/>
      <c r="I273" s="474"/>
      <c r="J273" s="99"/>
      <c r="K273" s="82">
        <f>F273*G273</f>
        <v>0</v>
      </c>
      <c r="L273" s="82"/>
      <c r="M273" s="82"/>
      <c r="N273" s="86"/>
    </row>
    <row r="274" spans="2:14" ht="23.45" customHeight="1" x14ac:dyDescent="0.25">
      <c r="B274" s="49" t="s">
        <v>72</v>
      </c>
      <c r="C274" s="57">
        <v>96543</v>
      </c>
      <c r="D274" s="52" t="s">
        <v>74</v>
      </c>
      <c r="E274" s="64" t="s">
        <v>62</v>
      </c>
      <c r="F274" s="94"/>
      <c r="G274" s="534" t="s">
        <v>831</v>
      </c>
      <c r="H274" s="535"/>
      <c r="I274" s="536"/>
      <c r="J274" s="99">
        <f>'BOLETIM DE MEDIÇÃO 11'!S33-'MEMORIAL DE CALCULO 10'!K274</f>
        <v>404.40186566666659</v>
      </c>
      <c r="K274" s="81">
        <f>SUM(K276:K312)-404.4</f>
        <v>47.486177533333375</v>
      </c>
      <c r="L274" s="82">
        <f t="shared" si="0"/>
        <v>451.88804319999997</v>
      </c>
      <c r="M274" s="82">
        <v>451.89</v>
      </c>
      <c r="N274" s="86">
        <f>M274-L274</f>
        <v>1.9568000000163011E-3</v>
      </c>
    </row>
    <row r="275" spans="2:14" ht="19.149999999999999" customHeight="1" x14ac:dyDescent="0.25">
      <c r="B275" s="49"/>
      <c r="C275" s="57"/>
      <c r="D275" s="152" t="s">
        <v>646</v>
      </c>
      <c r="E275" s="64"/>
      <c r="F275" s="94"/>
      <c r="G275" s="475" t="s">
        <v>647</v>
      </c>
      <c r="H275" s="476"/>
      <c r="I275" s="122" t="s">
        <v>611</v>
      </c>
      <c r="J275" s="99"/>
      <c r="K275" s="82"/>
      <c r="L275" s="82"/>
      <c r="M275" s="82"/>
      <c r="N275" s="86"/>
    </row>
    <row r="276" spans="2:14" x14ac:dyDescent="0.25">
      <c r="B276" s="49"/>
      <c r="C276" s="57"/>
      <c r="D276" s="144" t="s">
        <v>614</v>
      </c>
      <c r="E276" s="64"/>
      <c r="F276" s="105">
        <v>1</v>
      </c>
      <c r="G276" s="471">
        <f xml:space="preserve"> ((0.59*(1.85/0.1)) * 2)</f>
        <v>21.83</v>
      </c>
      <c r="H276" s="472"/>
      <c r="I276" s="155">
        <v>0.154</v>
      </c>
      <c r="J276" s="99"/>
      <c r="K276" s="82">
        <f>F276*G276*I276</f>
        <v>3.3618199999999998</v>
      </c>
      <c r="L276" s="82"/>
      <c r="M276" s="82"/>
      <c r="N276" s="86"/>
    </row>
    <row r="277" spans="2:14" x14ac:dyDescent="0.25">
      <c r="B277" s="49"/>
      <c r="C277" s="57"/>
      <c r="D277" s="144" t="s">
        <v>633</v>
      </c>
      <c r="E277" s="64"/>
      <c r="F277" s="105">
        <v>1</v>
      </c>
      <c r="G277" s="471">
        <f>(0.69*(1.87/0.1)) + (0.79*(1.87/0.1))</f>
        <v>27.675999999999998</v>
      </c>
      <c r="H277" s="472"/>
      <c r="I277" s="155">
        <v>0.154</v>
      </c>
      <c r="J277" s="99"/>
      <c r="K277" s="82">
        <f t="shared" ref="K277:K305" si="8">F277*G277*I277</f>
        <v>4.2621039999999999</v>
      </c>
      <c r="L277" s="82"/>
      <c r="M277" s="82"/>
      <c r="N277" s="86"/>
    </row>
    <row r="278" spans="2:14" ht="18" customHeight="1" x14ac:dyDescent="0.25">
      <c r="B278" s="49"/>
      <c r="C278" s="57"/>
      <c r="D278" s="144" t="s">
        <v>629</v>
      </c>
      <c r="E278" s="64"/>
      <c r="F278" s="105">
        <v>1</v>
      </c>
      <c r="G278" s="471">
        <f>((0.69*(1.9/0.1))*3) + ((0.59*(1.87/0.1))*2)</f>
        <v>61.395999999999987</v>
      </c>
      <c r="H278" s="472"/>
      <c r="I278" s="155">
        <v>0.154</v>
      </c>
      <c r="J278" s="99"/>
      <c r="K278" s="82">
        <f t="shared" si="8"/>
        <v>9.4549839999999978</v>
      </c>
      <c r="L278" s="82"/>
      <c r="M278" s="82"/>
      <c r="N278" s="86"/>
    </row>
    <row r="279" spans="2:14" x14ac:dyDescent="0.25">
      <c r="B279" s="49"/>
      <c r="C279" s="57"/>
      <c r="D279" s="144" t="s">
        <v>630</v>
      </c>
      <c r="E279" s="64"/>
      <c r="F279" s="105">
        <v>1</v>
      </c>
      <c r="G279" s="471">
        <f>((0.69*(1.92/0.1))*1) + ((0.59*(1.92/0.1))*2)</f>
        <v>35.903999999999996</v>
      </c>
      <c r="H279" s="472"/>
      <c r="I279" s="155">
        <v>0.154</v>
      </c>
      <c r="J279" s="99"/>
      <c r="K279" s="82">
        <f t="shared" si="8"/>
        <v>5.529215999999999</v>
      </c>
      <c r="L279" s="82"/>
      <c r="M279" s="82"/>
      <c r="N279" s="86"/>
    </row>
    <row r="280" spans="2:14" x14ac:dyDescent="0.25">
      <c r="B280" s="49"/>
      <c r="C280" s="57"/>
      <c r="D280" s="144" t="s">
        <v>615</v>
      </c>
      <c r="E280" s="64"/>
      <c r="F280" s="105">
        <v>1</v>
      </c>
      <c r="G280" s="471">
        <f>((0.79*(1.94/0.1))*3)</f>
        <v>45.977999999999994</v>
      </c>
      <c r="H280" s="472"/>
      <c r="I280" s="155">
        <v>0.154</v>
      </c>
      <c r="J280" s="99"/>
      <c r="K280" s="82">
        <f t="shared" si="8"/>
        <v>7.0806119999999995</v>
      </c>
      <c r="L280" s="82"/>
      <c r="M280" s="82"/>
      <c r="N280" s="86"/>
    </row>
    <row r="281" spans="2:14" ht="17.45" customHeight="1" x14ac:dyDescent="0.25">
      <c r="B281" s="49"/>
      <c r="C281" s="57"/>
      <c r="D281" s="144" t="s">
        <v>616</v>
      </c>
      <c r="E281" s="64"/>
      <c r="F281" s="105">
        <v>1</v>
      </c>
      <c r="G281" s="471">
        <f>((0.69*(1.96/0.1))*3) + ((0.59*(1.96/0.1))*2)</f>
        <v>63.699999999999989</v>
      </c>
      <c r="H281" s="472"/>
      <c r="I281" s="155">
        <v>0.154</v>
      </c>
      <c r="J281" s="99"/>
      <c r="K281" s="82">
        <f t="shared" si="8"/>
        <v>9.8097999999999974</v>
      </c>
      <c r="L281" s="82"/>
      <c r="M281" s="82"/>
      <c r="N281" s="86"/>
    </row>
    <row r="282" spans="2:14" ht="22.5" x14ac:dyDescent="0.25">
      <c r="B282" s="49"/>
      <c r="C282" s="57"/>
      <c r="D282" s="144" t="s">
        <v>617</v>
      </c>
      <c r="E282" s="64"/>
      <c r="F282" s="105">
        <v>1</v>
      </c>
      <c r="G282" s="471">
        <f>((0.59*(1.95/0.1))*2) + ((0.69*(1.95/0.1))*3) +((0.79*(1.95/0.1))*1)</f>
        <v>78.78</v>
      </c>
      <c r="H282" s="472"/>
      <c r="I282" s="155">
        <v>0.154</v>
      </c>
      <c r="J282" s="99"/>
      <c r="K282" s="82">
        <f t="shared" si="8"/>
        <v>12.13212</v>
      </c>
      <c r="L282" s="82"/>
      <c r="M282" s="82"/>
      <c r="N282" s="86"/>
    </row>
    <row r="283" spans="2:14" x14ac:dyDescent="0.25">
      <c r="B283" s="49"/>
      <c r="C283" s="57"/>
      <c r="D283" s="144" t="s">
        <v>618</v>
      </c>
      <c r="E283" s="64"/>
      <c r="F283" s="105">
        <v>1</v>
      </c>
      <c r="G283" s="471">
        <f>((0.59*(1.97/0.1))*1)  +((0.79*(1.97/0.1))*2)</f>
        <v>42.749000000000002</v>
      </c>
      <c r="H283" s="472"/>
      <c r="I283" s="155">
        <v>0.154</v>
      </c>
      <c r="J283" s="99"/>
      <c r="K283" s="82">
        <f t="shared" si="8"/>
        <v>6.5833460000000006</v>
      </c>
      <c r="L283" s="82"/>
      <c r="M283" s="82"/>
      <c r="N283" s="86"/>
    </row>
    <row r="284" spans="2:14" x14ac:dyDescent="0.25">
      <c r="B284" s="49"/>
      <c r="C284" s="57"/>
      <c r="D284" s="144" t="s">
        <v>631</v>
      </c>
      <c r="E284" s="64"/>
      <c r="F284" s="105">
        <v>1</v>
      </c>
      <c r="G284" s="471">
        <f>((0.59*(1.9/0.1))*3)</f>
        <v>33.629999999999995</v>
      </c>
      <c r="H284" s="472"/>
      <c r="I284" s="155">
        <v>0.154</v>
      </c>
      <c r="J284" s="99"/>
      <c r="K284" s="82">
        <f t="shared" si="8"/>
        <v>5.1790199999999995</v>
      </c>
      <c r="L284" s="82"/>
      <c r="M284" s="82"/>
      <c r="N284" s="86"/>
    </row>
    <row r="285" spans="2:14" x14ac:dyDescent="0.25">
      <c r="B285" s="49"/>
      <c r="C285" s="57"/>
      <c r="D285" s="144" t="s">
        <v>632</v>
      </c>
      <c r="E285" s="64"/>
      <c r="F285" s="105">
        <v>1</v>
      </c>
      <c r="G285" s="471">
        <f>((0.69*(1.86/0.1))*1) + ((0.69*(1.86/0.1))*1) + ((0.89*(1.86/0.1))*1)</f>
        <v>42.222000000000001</v>
      </c>
      <c r="H285" s="472"/>
      <c r="I285" s="155">
        <v>0.154</v>
      </c>
      <c r="J285" s="99"/>
      <c r="K285" s="82">
        <f t="shared" si="8"/>
        <v>6.5021880000000003</v>
      </c>
      <c r="L285" s="82"/>
      <c r="M285" s="82"/>
      <c r="N285" s="86"/>
    </row>
    <row r="286" spans="2:14" x14ac:dyDescent="0.25">
      <c r="B286" s="49"/>
      <c r="C286" s="57"/>
      <c r="D286" s="144" t="s">
        <v>634</v>
      </c>
      <c r="E286" s="64"/>
      <c r="F286" s="105">
        <v>1</v>
      </c>
      <c r="G286" s="471">
        <f>((0.69*(1.87/0.1))*3)</f>
        <v>38.708999999999996</v>
      </c>
      <c r="H286" s="472"/>
      <c r="I286" s="155">
        <v>0.154</v>
      </c>
      <c r="J286" s="99"/>
      <c r="K286" s="82">
        <f t="shared" si="8"/>
        <v>5.9611859999999997</v>
      </c>
      <c r="L286" s="82"/>
      <c r="M286" s="82"/>
      <c r="N286" s="86"/>
    </row>
    <row r="287" spans="2:14" x14ac:dyDescent="0.25">
      <c r="B287" s="49"/>
      <c r="C287" s="57"/>
      <c r="D287" s="144" t="s">
        <v>619</v>
      </c>
      <c r="E287" s="64"/>
      <c r="F287" s="105">
        <v>1</v>
      </c>
      <c r="G287" s="471">
        <f>((0.69*(1.9/0.1))*1) + ((0.79*(1.9/0.1))*2) + ((0.59*(1.9/0.1))*1)</f>
        <v>54.339999999999989</v>
      </c>
      <c r="H287" s="472"/>
      <c r="I287" s="155">
        <v>0.154</v>
      </c>
      <c r="J287" s="99"/>
      <c r="K287" s="82">
        <f t="shared" si="8"/>
        <v>8.3683599999999974</v>
      </c>
      <c r="L287" s="82"/>
      <c r="M287" s="82"/>
      <c r="N287" s="86"/>
    </row>
    <row r="288" spans="2:14" x14ac:dyDescent="0.25">
      <c r="B288" s="49"/>
      <c r="C288" s="57"/>
      <c r="D288" s="144" t="s">
        <v>620</v>
      </c>
      <c r="E288" s="64"/>
      <c r="F288" s="105">
        <v>1</v>
      </c>
      <c r="G288" s="471">
        <f>((0.79*(1.91/0.1))*1) +((0.59*(1.91/0.1))*1)</f>
        <v>26.357999999999997</v>
      </c>
      <c r="H288" s="472"/>
      <c r="I288" s="155">
        <v>0.154</v>
      </c>
      <c r="J288" s="99"/>
      <c r="K288" s="82">
        <f t="shared" si="8"/>
        <v>4.0591319999999991</v>
      </c>
      <c r="L288" s="82"/>
      <c r="M288" s="82"/>
      <c r="N288" s="86"/>
    </row>
    <row r="289" spans="2:14" ht="22.5" x14ac:dyDescent="0.25">
      <c r="B289" s="49"/>
      <c r="C289" s="57"/>
      <c r="D289" s="144" t="s">
        <v>621</v>
      </c>
      <c r="E289" s="64"/>
      <c r="F289" s="105">
        <v>1</v>
      </c>
      <c r="G289" s="471">
        <f>((0.79*(1.94/0.1))*1) +((0.59*(1.94/0.1))*5)</f>
        <v>72.555999999999983</v>
      </c>
      <c r="H289" s="472"/>
      <c r="I289" s="155">
        <v>0.154</v>
      </c>
      <c r="J289" s="99"/>
      <c r="K289" s="82">
        <f t="shared" si="8"/>
        <v>11.173623999999997</v>
      </c>
      <c r="L289" s="82"/>
      <c r="M289" s="82"/>
      <c r="N289" s="86"/>
    </row>
    <row r="290" spans="2:14" x14ac:dyDescent="0.25">
      <c r="B290" s="49"/>
      <c r="C290" s="57"/>
      <c r="D290" s="144" t="s">
        <v>622</v>
      </c>
      <c r="E290" s="64"/>
      <c r="F290" s="105">
        <v>1</v>
      </c>
      <c r="G290" s="471">
        <f>((0.69*(1.92/0.1))*2) + ((0.69*(1.92/0.1))*1)</f>
        <v>39.744</v>
      </c>
      <c r="H290" s="472"/>
      <c r="I290" s="155">
        <v>0.154</v>
      </c>
      <c r="J290" s="99"/>
      <c r="K290" s="82">
        <f t="shared" si="8"/>
        <v>6.1205759999999998</v>
      </c>
      <c r="L290" s="82"/>
      <c r="M290" s="82"/>
      <c r="N290" s="86"/>
    </row>
    <row r="291" spans="2:14" x14ac:dyDescent="0.25">
      <c r="B291" s="49"/>
      <c r="C291" s="57"/>
      <c r="D291" s="144" t="s">
        <v>635</v>
      </c>
      <c r="E291" s="64"/>
      <c r="F291" s="105">
        <v>1</v>
      </c>
      <c r="G291" s="471">
        <f>((0.59*(1.93/0.1))*2) + ((0.79*(1.93/0.1))*1)</f>
        <v>38.020999999999994</v>
      </c>
      <c r="H291" s="472"/>
      <c r="I291" s="155">
        <v>0.154</v>
      </c>
      <c r="J291" s="99"/>
      <c r="K291" s="82">
        <f t="shared" si="8"/>
        <v>5.8552339999999994</v>
      </c>
      <c r="L291" s="82"/>
      <c r="M291" s="82"/>
      <c r="N291" s="86"/>
    </row>
    <row r="292" spans="2:14" x14ac:dyDescent="0.25">
      <c r="B292" s="49"/>
      <c r="C292" s="57"/>
      <c r="D292" s="144" t="s">
        <v>623</v>
      </c>
      <c r="E292" s="64"/>
      <c r="F292" s="105">
        <v>1</v>
      </c>
      <c r="G292" s="471">
        <f>((0.59*(1.87/0.1))*2) + ((0.69*(1.87/0.1))*2)</f>
        <v>47.872</v>
      </c>
      <c r="H292" s="472"/>
      <c r="I292" s="155">
        <v>0.154</v>
      </c>
      <c r="J292" s="99"/>
      <c r="K292" s="82">
        <f t="shared" si="8"/>
        <v>7.3722880000000002</v>
      </c>
      <c r="L292" s="82"/>
      <c r="M292" s="82"/>
      <c r="N292" s="86"/>
    </row>
    <row r="293" spans="2:14" x14ac:dyDescent="0.25">
      <c r="B293" s="49"/>
      <c r="C293" s="57"/>
      <c r="D293" s="144" t="s">
        <v>624</v>
      </c>
      <c r="E293" s="64"/>
      <c r="F293" s="105">
        <v>1</v>
      </c>
      <c r="G293" s="471">
        <f>((0.59*(1.88/0.1))*3) + ((0.69*(1.88/0.1))*1)</f>
        <v>46.24799999999999</v>
      </c>
      <c r="H293" s="472"/>
      <c r="I293" s="155">
        <v>0.154</v>
      </c>
      <c r="J293" s="99"/>
      <c r="K293" s="82">
        <f t="shared" si="8"/>
        <v>7.1221919999999983</v>
      </c>
      <c r="L293" s="82"/>
      <c r="M293" s="82"/>
      <c r="N293" s="86"/>
    </row>
    <row r="294" spans="2:14" x14ac:dyDescent="0.25">
      <c r="B294" s="49"/>
      <c r="C294" s="57"/>
      <c r="D294" s="144" t="s">
        <v>625</v>
      </c>
      <c r="E294" s="64"/>
      <c r="F294" s="105">
        <v>1</v>
      </c>
      <c r="G294" s="471">
        <f>((0.79*(1.9/0.1))*1) + ((0.69*(1.9/0.1))*3)</f>
        <v>54.339999999999982</v>
      </c>
      <c r="H294" s="472"/>
      <c r="I294" s="155">
        <v>0.154</v>
      </c>
      <c r="J294" s="99"/>
      <c r="K294" s="82">
        <f t="shared" si="8"/>
        <v>8.3683599999999974</v>
      </c>
      <c r="L294" s="82"/>
      <c r="M294" s="82"/>
      <c r="N294" s="86"/>
    </row>
    <row r="295" spans="2:14" x14ac:dyDescent="0.25">
      <c r="B295" s="49"/>
      <c r="C295" s="57"/>
      <c r="D295" s="144" t="s">
        <v>637</v>
      </c>
      <c r="E295" s="64"/>
      <c r="F295" s="105">
        <v>1</v>
      </c>
      <c r="G295" s="471">
        <f>((0.59*(1.9/0.1))*1)</f>
        <v>11.209999999999997</v>
      </c>
      <c r="H295" s="472"/>
      <c r="I295" s="155">
        <v>0.154</v>
      </c>
      <c r="J295" s="99"/>
      <c r="K295" s="82">
        <f t="shared" si="8"/>
        <v>1.7263399999999995</v>
      </c>
      <c r="L295" s="82"/>
      <c r="M295" s="82"/>
      <c r="N295" s="86"/>
    </row>
    <row r="296" spans="2:14" x14ac:dyDescent="0.25">
      <c r="B296" s="49"/>
      <c r="C296" s="57"/>
      <c r="D296" s="144" t="s">
        <v>636</v>
      </c>
      <c r="E296" s="64"/>
      <c r="F296" s="105">
        <v>1</v>
      </c>
      <c r="G296" s="471">
        <f>((0.69*(1.87/0.1))*1) + ((0.59*(1.87/0.1))*1)</f>
        <v>23.936</v>
      </c>
      <c r="H296" s="472"/>
      <c r="I296" s="155">
        <v>0.154</v>
      </c>
      <c r="J296" s="99"/>
      <c r="K296" s="82">
        <f t="shared" si="8"/>
        <v>3.6861440000000001</v>
      </c>
      <c r="L296" s="82"/>
      <c r="M296" s="82"/>
      <c r="N296" s="86"/>
    </row>
    <row r="297" spans="2:14" x14ac:dyDescent="0.25">
      <c r="B297" s="49"/>
      <c r="C297" s="57"/>
      <c r="D297" s="144" t="s">
        <v>638</v>
      </c>
      <c r="E297" s="64"/>
      <c r="F297" s="105">
        <v>1</v>
      </c>
      <c r="G297" s="471">
        <f>((0.69*(2/0.1))*1) + ((0.59*(2/0.1))*2)</f>
        <v>37.4</v>
      </c>
      <c r="H297" s="472"/>
      <c r="I297" s="155">
        <v>0.154</v>
      </c>
      <c r="J297" s="99"/>
      <c r="K297" s="82">
        <f t="shared" si="8"/>
        <v>5.7595999999999998</v>
      </c>
      <c r="L297" s="82"/>
      <c r="M297" s="82"/>
      <c r="N297" s="86"/>
    </row>
    <row r="298" spans="2:14" ht="22.5" x14ac:dyDescent="0.25">
      <c r="B298" s="49"/>
      <c r="C298" s="57"/>
      <c r="D298" s="144" t="s">
        <v>626</v>
      </c>
      <c r="E298" s="64"/>
      <c r="F298" s="105">
        <v>1</v>
      </c>
      <c r="G298" s="471">
        <f>((0.69*(2.01/0.1))*1) + ((0.59*(2.01/0.1))*5) + ((0.79*(2.01/0.1))*1)</f>
        <v>89.042999999999992</v>
      </c>
      <c r="H298" s="472"/>
      <c r="I298" s="155">
        <v>0.154</v>
      </c>
      <c r="J298" s="99"/>
      <c r="K298" s="82">
        <f t="shared" si="8"/>
        <v>13.712621999999998</v>
      </c>
      <c r="L298" s="82"/>
      <c r="M298" s="82"/>
      <c r="N298" s="86"/>
    </row>
    <row r="299" spans="2:14" x14ac:dyDescent="0.25">
      <c r="B299" s="49"/>
      <c r="C299" s="57"/>
      <c r="D299" s="144" t="s">
        <v>639</v>
      </c>
      <c r="E299" s="64"/>
      <c r="F299" s="105">
        <v>1</v>
      </c>
      <c r="G299" s="471">
        <f>(((1.39+0.47+0.47))*(1.86/0.15))</f>
        <v>28.892000000000003</v>
      </c>
      <c r="H299" s="472"/>
      <c r="I299" s="155">
        <v>0.154</v>
      </c>
      <c r="J299" s="99"/>
      <c r="K299" s="82">
        <f>F299*G299*I299</f>
        <v>4.4493680000000007</v>
      </c>
      <c r="L299" s="82"/>
      <c r="M299" s="82"/>
      <c r="N299" s="86"/>
    </row>
    <row r="300" spans="2:14" x14ac:dyDescent="0.25">
      <c r="B300" s="49"/>
      <c r="C300" s="57"/>
      <c r="D300" s="144" t="s">
        <v>640</v>
      </c>
      <c r="E300" s="64"/>
      <c r="F300" s="105">
        <v>1</v>
      </c>
      <c r="G300" s="471">
        <f>(((1.09+0.022))*(1.87/0.15))</f>
        <v>13.862933333333336</v>
      </c>
      <c r="H300" s="472"/>
      <c r="I300" s="155">
        <v>0.154</v>
      </c>
      <c r="J300" s="99"/>
      <c r="K300" s="82">
        <f>F300*G300*I300</f>
        <v>2.1348917333333337</v>
      </c>
      <c r="L300" s="82"/>
      <c r="M300" s="82"/>
      <c r="N300" s="86"/>
    </row>
    <row r="301" spans="2:14" x14ac:dyDescent="0.25">
      <c r="B301" s="49"/>
      <c r="C301" s="57"/>
      <c r="D301" s="144" t="s">
        <v>641</v>
      </c>
      <c r="E301" s="64"/>
      <c r="F301" s="105">
        <v>1</v>
      </c>
      <c r="G301" s="471">
        <f>(((1.09+0.022))*(1.89/0.15))</f>
        <v>14.011200000000001</v>
      </c>
      <c r="H301" s="472"/>
      <c r="I301" s="155">
        <v>0.154</v>
      </c>
      <c r="J301" s="99"/>
      <c r="K301" s="82">
        <f t="shared" si="8"/>
        <v>2.1577248</v>
      </c>
      <c r="L301" s="82"/>
      <c r="M301" s="82"/>
      <c r="N301" s="86"/>
    </row>
    <row r="302" spans="2:14" x14ac:dyDescent="0.25">
      <c r="B302" s="49"/>
      <c r="C302" s="57"/>
      <c r="D302" s="144" t="s">
        <v>642</v>
      </c>
      <c r="E302" s="64"/>
      <c r="F302" s="105">
        <v>1</v>
      </c>
      <c r="G302" s="471">
        <f>(((0.59))*(1.9/0.15))</f>
        <v>7.4733333333333327</v>
      </c>
      <c r="H302" s="472"/>
      <c r="I302" s="155">
        <v>0.154</v>
      </c>
      <c r="J302" s="99"/>
      <c r="K302" s="82">
        <f t="shared" si="8"/>
        <v>1.1508933333333333</v>
      </c>
      <c r="L302" s="82"/>
      <c r="M302" s="82"/>
      <c r="N302" s="86"/>
    </row>
    <row r="303" spans="2:14" x14ac:dyDescent="0.25">
      <c r="B303" s="49"/>
      <c r="C303" s="57"/>
      <c r="D303" s="144" t="s">
        <v>643</v>
      </c>
      <c r="E303" s="64"/>
      <c r="F303" s="105">
        <v>1</v>
      </c>
      <c r="G303" s="471">
        <f>(((0.59))*(1.92/0.15))</f>
        <v>7.5519999999999996</v>
      </c>
      <c r="H303" s="472"/>
      <c r="I303" s="155">
        <v>0.154</v>
      </c>
      <c r="J303" s="99"/>
      <c r="K303" s="82">
        <f t="shared" si="8"/>
        <v>1.1630079999999998</v>
      </c>
      <c r="L303" s="82"/>
      <c r="M303" s="82"/>
      <c r="N303" s="86"/>
    </row>
    <row r="304" spans="2:14" x14ac:dyDescent="0.25">
      <c r="B304" s="49"/>
      <c r="C304" s="57"/>
      <c r="D304" s="144" t="s">
        <v>644</v>
      </c>
      <c r="E304" s="64"/>
      <c r="F304" s="105">
        <v>1</v>
      </c>
      <c r="G304" s="471">
        <f>(((0.59))*(1.9/0.15))</f>
        <v>7.4733333333333327</v>
      </c>
      <c r="H304" s="472"/>
      <c r="I304" s="155">
        <v>0.154</v>
      </c>
      <c r="J304" s="99"/>
      <c r="K304" s="82">
        <f t="shared" si="8"/>
        <v>1.1508933333333333</v>
      </c>
      <c r="L304" s="82"/>
      <c r="M304" s="82"/>
      <c r="N304" s="86"/>
    </row>
    <row r="305" spans="2:14" x14ac:dyDescent="0.25">
      <c r="B305" s="49"/>
      <c r="C305" s="57"/>
      <c r="D305" s="144" t="s">
        <v>645</v>
      </c>
      <c r="E305" s="64"/>
      <c r="F305" s="105">
        <v>1</v>
      </c>
      <c r="G305" s="471">
        <f>(((0.69))*(1.98/0.15))</f>
        <v>9.1080000000000005</v>
      </c>
      <c r="H305" s="472"/>
      <c r="I305" s="155">
        <v>0.154</v>
      </c>
      <c r="J305" s="99"/>
      <c r="K305" s="82">
        <f t="shared" si="8"/>
        <v>1.4026320000000001</v>
      </c>
      <c r="L305" s="82"/>
      <c r="M305" s="82"/>
      <c r="N305" s="86"/>
    </row>
    <row r="306" spans="2:14" x14ac:dyDescent="0.25">
      <c r="B306" s="49"/>
      <c r="C306" s="57"/>
      <c r="D306" s="152" t="s">
        <v>1067</v>
      </c>
      <c r="E306" s="64"/>
      <c r="F306" s="94">
        <v>1</v>
      </c>
      <c r="G306" s="475">
        <v>268.7</v>
      </c>
      <c r="H306" s="477"/>
      <c r="I306" s="478"/>
      <c r="J306" s="157"/>
      <c r="K306" s="82">
        <f>F306*G306</f>
        <v>268.7</v>
      </c>
      <c r="L306" s="82"/>
      <c r="M306" s="82"/>
      <c r="N306" s="86"/>
    </row>
    <row r="307" spans="2:14" ht="22.5" x14ac:dyDescent="0.25">
      <c r="B307" s="49"/>
      <c r="C307" s="57"/>
      <c r="D307" s="428" t="s">
        <v>1080</v>
      </c>
      <c r="E307" s="64"/>
      <c r="F307" s="94">
        <v>1</v>
      </c>
      <c r="G307" s="475" t="s">
        <v>647</v>
      </c>
      <c r="H307" s="476"/>
      <c r="I307" s="122" t="s">
        <v>611</v>
      </c>
      <c r="J307" s="99"/>
      <c r="K307" s="82"/>
      <c r="L307" s="82"/>
      <c r="M307" s="82"/>
      <c r="N307" s="86"/>
    </row>
    <row r="308" spans="2:14" ht="33.75" x14ac:dyDescent="0.25">
      <c r="B308" s="49"/>
      <c r="C308" s="57"/>
      <c r="D308" s="144" t="s">
        <v>1050</v>
      </c>
      <c r="E308" s="64"/>
      <c r="F308" s="94">
        <v>1</v>
      </c>
      <c r="G308" s="471">
        <f>(((0.59))*(0.93/0.12))</f>
        <v>4.5725000000000007</v>
      </c>
      <c r="H308" s="472"/>
      <c r="I308" s="155">
        <v>0.154</v>
      </c>
      <c r="J308" s="99"/>
      <c r="K308" s="82">
        <f t="shared" ref="K308:K313" si="9">F308*G308*I308</f>
        <v>0.70416500000000004</v>
      </c>
      <c r="L308" s="82"/>
      <c r="M308" s="82"/>
      <c r="N308" s="86"/>
    </row>
    <row r="309" spans="2:14" ht="33.75" x14ac:dyDescent="0.25">
      <c r="B309" s="49"/>
      <c r="C309" s="57"/>
      <c r="D309" s="144" t="s">
        <v>1051</v>
      </c>
      <c r="E309" s="64"/>
      <c r="F309" s="94">
        <v>1</v>
      </c>
      <c r="G309" s="471">
        <f>(((0.59))*(0.8/0.12))</f>
        <v>3.9333333333333331</v>
      </c>
      <c r="H309" s="472"/>
      <c r="I309" s="155">
        <v>0.154</v>
      </c>
      <c r="J309" s="99"/>
      <c r="K309" s="82">
        <f t="shared" si="9"/>
        <v>0.60573333333333335</v>
      </c>
      <c r="L309" s="82"/>
      <c r="M309" s="82"/>
      <c r="N309" s="86"/>
    </row>
    <row r="310" spans="2:14" x14ac:dyDescent="0.25">
      <c r="B310" s="49"/>
      <c r="C310" s="57"/>
      <c r="D310" s="144" t="s">
        <v>1052</v>
      </c>
      <c r="E310" s="64"/>
      <c r="F310" s="94">
        <v>1</v>
      </c>
      <c r="G310" s="471">
        <f t="shared" ref="G310" si="10">(((0.59))*(3.1/0.12))</f>
        <v>15.241666666666667</v>
      </c>
      <c r="H310" s="472"/>
      <c r="I310" s="155">
        <v>0.154</v>
      </c>
      <c r="J310" s="99"/>
      <c r="K310" s="82">
        <f t="shared" si="9"/>
        <v>2.3472166666666667</v>
      </c>
      <c r="L310" s="82"/>
      <c r="M310" s="82"/>
      <c r="N310" s="86"/>
    </row>
    <row r="311" spans="2:14" x14ac:dyDescent="0.25">
      <c r="B311" s="49"/>
      <c r="C311" s="57"/>
      <c r="D311" s="144" t="s">
        <v>1053</v>
      </c>
      <c r="E311" s="64"/>
      <c r="F311" s="94">
        <v>1</v>
      </c>
      <c r="G311" s="471">
        <f>(((0.59))*(2.7/0.12))</f>
        <v>13.275000000000002</v>
      </c>
      <c r="H311" s="472"/>
      <c r="I311" s="155">
        <v>0.154</v>
      </c>
      <c r="J311" s="99"/>
      <c r="K311" s="82">
        <f t="shared" si="9"/>
        <v>2.0443500000000001</v>
      </c>
      <c r="L311" s="82"/>
      <c r="M311" s="82"/>
      <c r="N311" s="86"/>
    </row>
    <row r="312" spans="2:14" ht="22.5" x14ac:dyDescent="0.25">
      <c r="B312" s="49"/>
      <c r="C312" s="57"/>
      <c r="D312" s="144" t="s">
        <v>1071</v>
      </c>
      <c r="E312" s="64"/>
      <c r="F312" s="105">
        <v>2</v>
      </c>
      <c r="G312" s="471">
        <f>(((0.59))*(3.1/0.12))</f>
        <v>15.241666666666667</v>
      </c>
      <c r="H312" s="472"/>
      <c r="I312" s="155">
        <v>0.154</v>
      </c>
      <c r="J312" s="99"/>
      <c r="K312" s="82">
        <f t="shared" si="9"/>
        <v>4.6944333333333335</v>
      </c>
      <c r="L312" s="82"/>
      <c r="M312" s="82"/>
      <c r="N312" s="86"/>
    </row>
    <row r="313" spans="2:14" x14ac:dyDescent="0.25">
      <c r="B313" s="49"/>
      <c r="C313" s="57"/>
      <c r="D313" s="144" t="s">
        <v>607</v>
      </c>
      <c r="E313" s="64"/>
      <c r="F313" s="94">
        <v>1</v>
      </c>
      <c r="G313" s="471">
        <f xml:space="preserve"> (59*0.59)</f>
        <v>34.809999999999995</v>
      </c>
      <c r="H313" s="472"/>
      <c r="I313" s="155">
        <v>0.154</v>
      </c>
      <c r="J313" s="99"/>
      <c r="K313" s="82">
        <f t="shared" si="9"/>
        <v>5.360739999999999</v>
      </c>
      <c r="L313" s="82"/>
      <c r="M313" s="82"/>
      <c r="N313" s="86"/>
    </row>
    <row r="314" spans="2:14" ht="33.75" x14ac:dyDescent="0.25">
      <c r="B314" s="49" t="s">
        <v>75</v>
      </c>
      <c r="C314" s="57">
        <v>96544</v>
      </c>
      <c r="D314" s="52" t="s">
        <v>77</v>
      </c>
      <c r="E314" s="64" t="s">
        <v>62</v>
      </c>
      <c r="F314" s="94"/>
      <c r="G314" s="104"/>
      <c r="H314" s="92"/>
      <c r="I314" s="105"/>
      <c r="J314" s="99">
        <f>'BOLETIM DE MEDIÇÃO 05'!O34-'MEMORIAL DE CALCULO 10'!K314</f>
        <v>0</v>
      </c>
      <c r="K314" s="81">
        <f>SUM(K315)</f>
        <v>295</v>
      </c>
      <c r="L314" s="82">
        <f t="shared" si="0"/>
        <v>295</v>
      </c>
      <c r="M314" s="82">
        <f>'BOLETIM DE MEDIÇÃO 05'!G34</f>
        <v>295</v>
      </c>
      <c r="N314" s="86">
        <f t="shared" si="1"/>
        <v>0</v>
      </c>
    </row>
    <row r="315" spans="2:14" x14ac:dyDescent="0.25">
      <c r="B315" s="49"/>
      <c r="C315" s="57"/>
      <c r="D315" s="143" t="s">
        <v>588</v>
      </c>
      <c r="E315" s="64"/>
      <c r="F315" s="94">
        <v>1</v>
      </c>
      <c r="G315" s="471">
        <v>295</v>
      </c>
      <c r="H315" s="473"/>
      <c r="I315" s="474"/>
      <c r="J315" s="99"/>
      <c r="K315" s="82">
        <f>F315*G315</f>
        <v>295</v>
      </c>
      <c r="L315" s="82"/>
      <c r="M315" s="82"/>
      <c r="N315" s="86"/>
    </row>
    <row r="316" spans="2:14" ht="33.75" x14ac:dyDescent="0.25">
      <c r="B316" s="49" t="s">
        <v>78</v>
      </c>
      <c r="C316" s="57">
        <v>96546</v>
      </c>
      <c r="D316" s="52" t="s">
        <v>80</v>
      </c>
      <c r="E316" s="64" t="s">
        <v>62</v>
      </c>
      <c r="F316" s="94"/>
      <c r="G316" s="531" t="s">
        <v>1085</v>
      </c>
      <c r="H316" s="532"/>
      <c r="I316" s="533"/>
      <c r="J316" s="99">
        <f>'BOLETIM DE MEDIÇÃO 11'!S35-'MEMORIAL DE CALCULO 10'!K316</f>
        <v>534.1</v>
      </c>
      <c r="K316" s="81">
        <v>151.88999999999999</v>
      </c>
      <c r="L316" s="82">
        <f t="shared" si="0"/>
        <v>685.99</v>
      </c>
      <c r="M316" s="82">
        <v>685.99</v>
      </c>
      <c r="N316" s="86">
        <f t="shared" si="1"/>
        <v>0</v>
      </c>
    </row>
    <row r="317" spans="2:14" ht="39" customHeight="1" x14ac:dyDescent="0.25">
      <c r="B317" s="49"/>
      <c r="C317" s="57"/>
      <c r="D317" s="152" t="s">
        <v>627</v>
      </c>
      <c r="E317" s="64"/>
      <c r="F317" s="94"/>
      <c r="G317" s="475" t="s">
        <v>628</v>
      </c>
      <c r="H317" s="476"/>
      <c r="I317" s="122" t="s">
        <v>611</v>
      </c>
      <c r="J317" s="81"/>
      <c r="K317" s="81"/>
      <c r="L317" s="82"/>
      <c r="M317" s="82"/>
      <c r="N317" s="86"/>
    </row>
    <row r="318" spans="2:14" x14ac:dyDescent="0.25">
      <c r="B318" s="49"/>
      <c r="C318" s="57"/>
      <c r="D318" s="144" t="s">
        <v>614</v>
      </c>
      <c r="E318" s="64"/>
      <c r="F318" s="94">
        <v>1</v>
      </c>
      <c r="G318" s="471">
        <f xml:space="preserve"> (4*(0.2+0.25+1.85+0.33)) * 2</f>
        <v>21.040000000000003</v>
      </c>
      <c r="H318" s="472"/>
      <c r="I318" s="155">
        <v>0.61699999999999999</v>
      </c>
      <c r="J318" s="82"/>
      <c r="K318" s="82">
        <f t="shared" ref="K318:K340" si="11">F318*G318*I318</f>
        <v>12.981680000000001</v>
      </c>
      <c r="L318" s="82"/>
      <c r="M318" s="82"/>
      <c r="N318" s="86"/>
    </row>
    <row r="319" spans="2:14" x14ac:dyDescent="0.25">
      <c r="B319" s="49"/>
      <c r="C319" s="57"/>
      <c r="D319" s="144" t="s">
        <v>633</v>
      </c>
      <c r="E319" s="64"/>
      <c r="F319" s="94">
        <v>1</v>
      </c>
      <c r="G319" s="471">
        <f xml:space="preserve"> ((4*(0.2+0.25+1.87+0.33)) * 2)</f>
        <v>21.200000000000003</v>
      </c>
      <c r="H319" s="472"/>
      <c r="I319" s="155">
        <v>0.61699999999999999</v>
      </c>
      <c r="J319" s="82"/>
      <c r="K319" s="82">
        <f t="shared" si="11"/>
        <v>13.080400000000001</v>
      </c>
      <c r="L319" s="82"/>
      <c r="M319" s="82"/>
      <c r="N319" s="86"/>
    </row>
    <row r="320" spans="2:14" ht="22.5" x14ac:dyDescent="0.25">
      <c r="B320" s="49"/>
      <c r="C320" s="57"/>
      <c r="D320" s="144" t="s">
        <v>629</v>
      </c>
      <c r="E320" s="64"/>
      <c r="F320" s="94">
        <v>1</v>
      </c>
      <c r="G320" s="471">
        <f xml:space="preserve"> (4*(0.2+0.25+1.9+0.33)) * 5</f>
        <v>53.6</v>
      </c>
      <c r="H320" s="472"/>
      <c r="I320" s="155">
        <v>0.61699999999999999</v>
      </c>
      <c r="J320" s="82"/>
      <c r="K320" s="82">
        <f t="shared" si="11"/>
        <v>33.071199999999997</v>
      </c>
      <c r="L320" s="82"/>
      <c r="M320" s="82"/>
      <c r="N320" s="86"/>
    </row>
    <row r="321" spans="2:14" x14ac:dyDescent="0.25">
      <c r="B321" s="49"/>
      <c r="C321" s="57"/>
      <c r="D321" s="144" t="s">
        <v>630</v>
      </c>
      <c r="E321" s="64"/>
      <c r="F321" s="94">
        <v>1</v>
      </c>
      <c r="G321" s="471">
        <f xml:space="preserve"> (4*(0.2+0.25+1.92+0.33)) *3</f>
        <v>32.400000000000006</v>
      </c>
      <c r="H321" s="472"/>
      <c r="I321" s="155">
        <v>0.61699999999999999</v>
      </c>
      <c r="J321" s="82"/>
      <c r="K321" s="82">
        <f t="shared" si="11"/>
        <v>19.990800000000004</v>
      </c>
      <c r="L321" s="82"/>
      <c r="M321" s="82"/>
      <c r="N321" s="86"/>
    </row>
    <row r="322" spans="2:14" x14ac:dyDescent="0.25">
      <c r="B322" s="49"/>
      <c r="C322" s="57"/>
      <c r="D322" s="144" t="s">
        <v>615</v>
      </c>
      <c r="E322" s="64"/>
      <c r="F322" s="94">
        <v>1</v>
      </c>
      <c r="G322" s="471">
        <f xml:space="preserve"> (4*(0.2+0.25+1.94+0.33)) * 3</f>
        <v>32.64</v>
      </c>
      <c r="H322" s="472"/>
      <c r="I322" s="155">
        <v>0.61699999999999999</v>
      </c>
      <c r="J322" s="82"/>
      <c r="K322" s="82">
        <f t="shared" si="11"/>
        <v>20.13888</v>
      </c>
      <c r="L322" s="82"/>
      <c r="M322" s="82"/>
      <c r="N322" s="86"/>
    </row>
    <row r="323" spans="2:14" ht="22.5" x14ac:dyDescent="0.25">
      <c r="B323" s="49"/>
      <c r="C323" s="57"/>
      <c r="D323" s="144" t="s">
        <v>616</v>
      </c>
      <c r="E323" s="64"/>
      <c r="F323" s="94">
        <v>1</v>
      </c>
      <c r="G323" s="471">
        <f xml:space="preserve"> (4*(0.2+0.25+1.96+0.33)) * 5</f>
        <v>54.800000000000004</v>
      </c>
      <c r="H323" s="472"/>
      <c r="I323" s="155">
        <v>0.61699999999999999</v>
      </c>
      <c r="J323" s="82"/>
      <c r="K323" s="82">
        <f t="shared" si="11"/>
        <v>33.811600000000006</v>
      </c>
      <c r="L323" s="82"/>
      <c r="M323" s="82"/>
      <c r="N323" s="86"/>
    </row>
    <row r="324" spans="2:14" ht="22.5" x14ac:dyDescent="0.25">
      <c r="B324" s="49"/>
      <c r="C324" s="57"/>
      <c r="D324" s="144" t="s">
        <v>617</v>
      </c>
      <c r="E324" s="64"/>
      <c r="F324" s="94">
        <v>1</v>
      </c>
      <c r="G324" s="471">
        <f xml:space="preserve"> (4*(0.2+0.25+1.95+0.33)) * 6</f>
        <v>65.52</v>
      </c>
      <c r="H324" s="472"/>
      <c r="I324" s="155">
        <v>0.61699999999999999</v>
      </c>
      <c r="J324" s="82"/>
      <c r="K324" s="82">
        <f t="shared" si="11"/>
        <v>40.425839999999994</v>
      </c>
      <c r="L324" s="82"/>
      <c r="M324" s="82"/>
      <c r="N324" s="86"/>
    </row>
    <row r="325" spans="2:14" x14ac:dyDescent="0.25">
      <c r="B325" s="49"/>
      <c r="C325" s="57"/>
      <c r="D325" s="144" t="s">
        <v>618</v>
      </c>
      <c r="E325" s="64"/>
      <c r="F325" s="94">
        <v>1</v>
      </c>
      <c r="G325" s="471">
        <f xml:space="preserve"> (4*(0.2+0.25+1.97+0.33)) * 3</f>
        <v>33</v>
      </c>
      <c r="H325" s="472"/>
      <c r="I325" s="155">
        <v>0.61699999999999999</v>
      </c>
      <c r="J325" s="82"/>
      <c r="K325" s="82">
        <f t="shared" si="11"/>
        <v>20.361000000000001</v>
      </c>
      <c r="L325" s="82"/>
      <c r="M325" s="82"/>
      <c r="N325" s="86"/>
    </row>
    <row r="326" spans="2:14" x14ac:dyDescent="0.25">
      <c r="B326" s="49"/>
      <c r="C326" s="57"/>
      <c r="D326" s="144" t="s">
        <v>631</v>
      </c>
      <c r="E326" s="64"/>
      <c r="F326" s="94">
        <v>1</v>
      </c>
      <c r="G326" s="471">
        <f xml:space="preserve"> (4*(0.2+0.25+1.9+0.33)) * 3</f>
        <v>32.160000000000004</v>
      </c>
      <c r="H326" s="472"/>
      <c r="I326" s="155">
        <v>0.61699999999999999</v>
      </c>
      <c r="J326" s="82"/>
      <c r="K326" s="82">
        <f t="shared" si="11"/>
        <v>19.842720000000003</v>
      </c>
      <c r="L326" s="82"/>
      <c r="M326" s="82"/>
      <c r="N326" s="86"/>
    </row>
    <row r="327" spans="2:14" x14ac:dyDescent="0.25">
      <c r="B327" s="49"/>
      <c r="C327" s="57"/>
      <c r="D327" s="144" t="s">
        <v>632</v>
      </c>
      <c r="E327" s="64"/>
      <c r="F327" s="94">
        <v>1</v>
      </c>
      <c r="G327" s="471">
        <f xml:space="preserve"> ((4*(0.2+0.25+1.86+0.33)) * 3)</f>
        <v>31.68</v>
      </c>
      <c r="H327" s="472"/>
      <c r="I327" s="155">
        <v>0.61699999999999999</v>
      </c>
      <c r="J327" s="82"/>
      <c r="K327" s="82">
        <f t="shared" si="11"/>
        <v>19.546559999999999</v>
      </c>
      <c r="L327" s="82"/>
      <c r="M327" s="82"/>
      <c r="N327" s="86"/>
    </row>
    <row r="328" spans="2:14" x14ac:dyDescent="0.25">
      <c r="B328" s="49"/>
      <c r="C328" s="57"/>
      <c r="D328" s="144" t="s">
        <v>634</v>
      </c>
      <c r="E328" s="64"/>
      <c r="F328" s="94">
        <v>1</v>
      </c>
      <c r="G328" s="471">
        <f xml:space="preserve"> ((4*(0.2+0.25+1.87+0.33)) * 3)</f>
        <v>31.800000000000004</v>
      </c>
      <c r="H328" s="472"/>
      <c r="I328" s="155">
        <v>0.61699999999999999</v>
      </c>
      <c r="J328" s="82"/>
      <c r="K328" s="82">
        <f t="shared" si="11"/>
        <v>19.620600000000003</v>
      </c>
      <c r="L328" s="82"/>
      <c r="M328" s="82"/>
      <c r="N328" s="86"/>
    </row>
    <row r="329" spans="2:14" x14ac:dyDescent="0.25">
      <c r="B329" s="49"/>
      <c r="C329" s="57"/>
      <c r="D329" s="144" t="s">
        <v>619</v>
      </c>
      <c r="E329" s="64"/>
      <c r="F329" s="94">
        <v>1</v>
      </c>
      <c r="G329" s="471">
        <f xml:space="preserve"> ((4*(0.2+0.25+1.9+0.33)) * 4)</f>
        <v>42.88</v>
      </c>
      <c r="H329" s="472"/>
      <c r="I329" s="155">
        <v>0.61699999999999999</v>
      </c>
      <c r="J329" s="82"/>
      <c r="K329" s="82">
        <f t="shared" si="11"/>
        <v>26.456960000000002</v>
      </c>
      <c r="L329" s="82"/>
      <c r="M329" s="82"/>
      <c r="N329" s="86"/>
    </row>
    <row r="330" spans="2:14" x14ac:dyDescent="0.25">
      <c r="B330" s="49"/>
      <c r="C330" s="57"/>
      <c r="D330" s="144" t="s">
        <v>620</v>
      </c>
      <c r="E330" s="64"/>
      <c r="F330" s="94">
        <v>1</v>
      </c>
      <c r="G330" s="471">
        <f xml:space="preserve"> ((4*(0.2+0.25+1.91+0.33)) * 2)</f>
        <v>21.52</v>
      </c>
      <c r="H330" s="472"/>
      <c r="I330" s="155">
        <v>0.61699999999999999</v>
      </c>
      <c r="J330" s="82"/>
      <c r="K330" s="82">
        <f t="shared" si="11"/>
        <v>13.277839999999999</v>
      </c>
      <c r="L330" s="82"/>
      <c r="M330" s="82"/>
      <c r="N330" s="86"/>
    </row>
    <row r="331" spans="2:14" ht="22.5" x14ac:dyDescent="0.25">
      <c r="B331" s="49"/>
      <c r="C331" s="57"/>
      <c r="D331" s="144" t="s">
        <v>621</v>
      </c>
      <c r="E331" s="64"/>
      <c r="F331" s="94">
        <v>1</v>
      </c>
      <c r="G331" s="471">
        <f xml:space="preserve"> ((4*(0.2+0.25+1.94+0.33)) * 6)</f>
        <v>65.28</v>
      </c>
      <c r="H331" s="472"/>
      <c r="I331" s="155">
        <v>0.61699999999999999</v>
      </c>
      <c r="J331" s="82"/>
      <c r="K331" s="82">
        <f t="shared" si="11"/>
        <v>40.277760000000001</v>
      </c>
      <c r="L331" s="82"/>
      <c r="M331" s="82"/>
      <c r="N331" s="86"/>
    </row>
    <row r="332" spans="2:14" x14ac:dyDescent="0.25">
      <c r="B332" s="49"/>
      <c r="C332" s="57"/>
      <c r="D332" s="144" t="s">
        <v>622</v>
      </c>
      <c r="E332" s="64"/>
      <c r="F332" s="94">
        <v>1</v>
      </c>
      <c r="G332" s="471">
        <f xml:space="preserve"> ((4*(0.2+0.25+1.92+0.33)) *3)</f>
        <v>32.400000000000006</v>
      </c>
      <c r="H332" s="472"/>
      <c r="I332" s="155">
        <v>0.61699999999999999</v>
      </c>
      <c r="J332" s="82"/>
      <c r="K332" s="82">
        <f t="shared" si="11"/>
        <v>19.990800000000004</v>
      </c>
      <c r="L332" s="82"/>
      <c r="M332" s="82"/>
      <c r="N332" s="86"/>
    </row>
    <row r="333" spans="2:14" x14ac:dyDescent="0.25">
      <c r="B333" s="49"/>
      <c r="C333" s="57"/>
      <c r="D333" s="144" t="s">
        <v>635</v>
      </c>
      <c r="E333" s="64"/>
      <c r="F333" s="94">
        <v>1</v>
      </c>
      <c r="G333" s="471">
        <f xml:space="preserve"> ((4*(0.2+0.25+1.93+0.33)) *3)</f>
        <v>32.519999999999996</v>
      </c>
      <c r="H333" s="472"/>
      <c r="I333" s="155">
        <v>0.61699999999999999</v>
      </c>
      <c r="J333" s="82"/>
      <c r="K333" s="82">
        <f t="shared" si="11"/>
        <v>20.064839999999997</v>
      </c>
      <c r="L333" s="82"/>
      <c r="M333" s="82"/>
      <c r="N333" s="86"/>
    </row>
    <row r="334" spans="2:14" x14ac:dyDescent="0.25">
      <c r="B334" s="49"/>
      <c r="C334" s="57"/>
      <c r="D334" s="144" t="s">
        <v>623</v>
      </c>
      <c r="E334" s="64"/>
      <c r="F334" s="94">
        <v>1</v>
      </c>
      <c r="G334" s="471">
        <f xml:space="preserve"> ((4*(0.2+0.25+1.87+0.33)) *4)</f>
        <v>42.400000000000006</v>
      </c>
      <c r="H334" s="472"/>
      <c r="I334" s="155">
        <v>0.61699999999999999</v>
      </c>
      <c r="J334" s="82"/>
      <c r="K334" s="82">
        <f t="shared" si="11"/>
        <v>26.160800000000002</v>
      </c>
      <c r="L334" s="82"/>
      <c r="M334" s="82"/>
      <c r="N334" s="86"/>
    </row>
    <row r="335" spans="2:14" x14ac:dyDescent="0.25">
      <c r="B335" s="49"/>
      <c r="C335" s="57"/>
      <c r="D335" s="144" t="s">
        <v>624</v>
      </c>
      <c r="E335" s="64"/>
      <c r="F335" s="94">
        <v>1</v>
      </c>
      <c r="G335" s="471">
        <f xml:space="preserve"> ((4*(0.2+0.25+1.88+0.33)) *4)</f>
        <v>42.56</v>
      </c>
      <c r="H335" s="472"/>
      <c r="I335" s="155">
        <v>0.61699999999999999</v>
      </c>
      <c r="J335" s="82"/>
      <c r="K335" s="82">
        <f t="shared" si="11"/>
        <v>26.259520000000002</v>
      </c>
      <c r="L335" s="82"/>
      <c r="M335" s="82"/>
      <c r="N335" s="86"/>
    </row>
    <row r="336" spans="2:14" x14ac:dyDescent="0.25">
      <c r="B336" s="49"/>
      <c r="C336" s="57"/>
      <c r="D336" s="144" t="s">
        <v>625</v>
      </c>
      <c r="E336" s="64"/>
      <c r="F336" s="94">
        <v>1</v>
      </c>
      <c r="G336" s="471">
        <f xml:space="preserve"> ((4*(0.2+0.25+1.9+0.33)) *4)</f>
        <v>42.88</v>
      </c>
      <c r="H336" s="472"/>
      <c r="I336" s="155">
        <v>0.61699999999999999</v>
      </c>
      <c r="J336" s="82"/>
      <c r="K336" s="82">
        <f t="shared" si="11"/>
        <v>26.456960000000002</v>
      </c>
      <c r="L336" s="82"/>
      <c r="M336" s="82"/>
      <c r="N336" s="86"/>
    </row>
    <row r="337" spans="2:14" x14ac:dyDescent="0.25">
      <c r="B337" s="49"/>
      <c r="C337" s="57"/>
      <c r="D337" s="144" t="s">
        <v>637</v>
      </c>
      <c r="E337" s="64"/>
      <c r="F337" s="94">
        <v>1</v>
      </c>
      <c r="G337" s="471">
        <f>((4*(0.2+0.25+1.9+0.33))) + ((8*(0.2+0.25+1.9)))</f>
        <v>29.520000000000003</v>
      </c>
      <c r="H337" s="472"/>
      <c r="I337" s="155">
        <v>0.61699999999999999</v>
      </c>
      <c r="J337" s="82"/>
      <c r="K337" s="82">
        <f t="shared" si="11"/>
        <v>18.213840000000001</v>
      </c>
      <c r="L337" s="82"/>
      <c r="M337" s="82"/>
      <c r="N337" s="86"/>
    </row>
    <row r="338" spans="2:14" x14ac:dyDescent="0.25">
      <c r="B338" s="49"/>
      <c r="C338" s="57"/>
      <c r="D338" s="144" t="s">
        <v>636</v>
      </c>
      <c r="E338" s="64"/>
      <c r="F338" s="94">
        <v>1</v>
      </c>
      <c r="G338" s="471">
        <f xml:space="preserve"> ((4*(0.2+0.25+1.97+0.33)) *2)</f>
        <v>22</v>
      </c>
      <c r="H338" s="472"/>
      <c r="I338" s="155">
        <v>0.61699999999999999</v>
      </c>
      <c r="J338" s="82"/>
      <c r="K338" s="82">
        <f t="shared" si="11"/>
        <v>13.574</v>
      </c>
      <c r="L338" s="82"/>
      <c r="M338" s="82"/>
      <c r="N338" s="86"/>
    </row>
    <row r="339" spans="2:14" x14ac:dyDescent="0.25">
      <c r="B339" s="49"/>
      <c r="C339" s="57"/>
      <c r="D339" s="144" t="s">
        <v>638</v>
      </c>
      <c r="E339" s="64"/>
      <c r="F339" s="94">
        <v>1</v>
      </c>
      <c r="G339" s="471">
        <f xml:space="preserve"> ((4*(0.2+0.25+2+0.33)) *3)</f>
        <v>33.36</v>
      </c>
      <c r="H339" s="472"/>
      <c r="I339" s="155">
        <v>0.61699999999999999</v>
      </c>
      <c r="J339" s="82"/>
      <c r="K339" s="82">
        <f t="shared" si="11"/>
        <v>20.583120000000001</v>
      </c>
      <c r="L339" s="82"/>
      <c r="M339" s="82"/>
      <c r="N339" s="86"/>
    </row>
    <row r="340" spans="2:14" ht="22.5" x14ac:dyDescent="0.25">
      <c r="B340" s="49"/>
      <c r="C340" s="57"/>
      <c r="D340" s="144" t="s">
        <v>626</v>
      </c>
      <c r="E340" s="64"/>
      <c r="F340" s="94">
        <v>1</v>
      </c>
      <c r="G340" s="471">
        <f xml:space="preserve"> ((4*(0.2+0.25+2.01+0.33)) *7)</f>
        <v>78.12</v>
      </c>
      <c r="H340" s="472"/>
      <c r="I340" s="155">
        <v>0.61699999999999999</v>
      </c>
      <c r="J340" s="82"/>
      <c r="K340" s="82">
        <f t="shared" si="11"/>
        <v>48.200040000000001</v>
      </c>
      <c r="L340" s="82"/>
      <c r="M340" s="82"/>
      <c r="N340" s="86"/>
    </row>
    <row r="341" spans="2:14" x14ac:dyDescent="0.25">
      <c r="B341" s="49"/>
      <c r="C341" s="57"/>
      <c r="D341" s="431" t="s">
        <v>1067</v>
      </c>
      <c r="E341" s="64"/>
      <c r="F341" s="94">
        <v>1</v>
      </c>
      <c r="G341" s="471">
        <v>133.6</v>
      </c>
      <c r="H341" s="473"/>
      <c r="I341" s="474"/>
      <c r="J341" s="82"/>
      <c r="K341" s="82">
        <f>F341*G341</f>
        <v>133.6</v>
      </c>
      <c r="L341" s="82"/>
      <c r="M341" s="82"/>
      <c r="N341" s="86"/>
    </row>
    <row r="342" spans="2:14" x14ac:dyDescent="0.25">
      <c r="B342" s="49"/>
      <c r="C342" s="57"/>
      <c r="D342" s="52"/>
      <c r="E342" s="64"/>
      <c r="F342" s="94"/>
      <c r="G342" s="104"/>
      <c r="H342" s="92"/>
      <c r="I342" s="105"/>
      <c r="J342" s="99"/>
      <c r="K342" s="81"/>
      <c r="L342" s="82"/>
      <c r="M342" s="82"/>
      <c r="N342" s="86"/>
    </row>
    <row r="343" spans="2:14" ht="30.6" customHeight="1" x14ac:dyDescent="0.25">
      <c r="B343" s="49" t="s">
        <v>81</v>
      </c>
      <c r="C343" s="57">
        <v>96547</v>
      </c>
      <c r="D343" s="52" t="s">
        <v>83</v>
      </c>
      <c r="E343" s="64" t="s">
        <v>62</v>
      </c>
      <c r="F343" s="94"/>
      <c r="G343" s="531" t="s">
        <v>1081</v>
      </c>
      <c r="H343" s="532"/>
      <c r="I343" s="533"/>
      <c r="J343" s="99">
        <f>'BOLETIM DE MEDIÇÃO 05'!I36</f>
        <v>100.55646000000002</v>
      </c>
      <c r="K343" s="81">
        <v>26.36</v>
      </c>
      <c r="L343" s="82">
        <f t="shared" si="0"/>
        <v>126.91646000000001</v>
      </c>
      <c r="M343" s="82">
        <f>'BOLETIM DE MEDIÇÃO 11'!G36</f>
        <v>179.26</v>
      </c>
      <c r="N343" s="86">
        <f t="shared" si="1"/>
        <v>52.343539999999976</v>
      </c>
    </row>
    <row r="344" spans="2:14" ht="72" customHeight="1" x14ac:dyDescent="0.25">
      <c r="B344" s="49"/>
      <c r="C344" s="57"/>
      <c r="D344" s="152" t="s">
        <v>627</v>
      </c>
      <c r="E344" s="64"/>
      <c r="F344" s="94"/>
      <c r="G344" s="475" t="s">
        <v>628</v>
      </c>
      <c r="H344" s="476"/>
      <c r="I344" s="122" t="s">
        <v>611</v>
      </c>
      <c r="J344" s="99"/>
      <c r="K344" s="82"/>
      <c r="L344" s="82"/>
      <c r="M344" s="82"/>
      <c r="N344" s="86"/>
    </row>
    <row r="345" spans="2:14" x14ac:dyDescent="0.25">
      <c r="B345" s="49"/>
      <c r="C345" s="57"/>
      <c r="D345" s="144" t="s">
        <v>639</v>
      </c>
      <c r="E345" s="64"/>
      <c r="F345" s="94">
        <v>1</v>
      </c>
      <c r="G345" s="471">
        <f>((8*(0.2+0.25+1.86+0.42)))</f>
        <v>21.84</v>
      </c>
      <c r="H345" s="472"/>
      <c r="I345" s="155">
        <v>0.96299999999999997</v>
      </c>
      <c r="J345" s="99"/>
      <c r="K345" s="82">
        <v>21.03192</v>
      </c>
      <c r="L345" s="82"/>
      <c r="M345" s="82"/>
      <c r="N345" s="86"/>
    </row>
    <row r="346" spans="2:14" x14ac:dyDescent="0.25">
      <c r="B346" s="49"/>
      <c r="C346" s="57"/>
      <c r="D346" s="144" t="s">
        <v>640</v>
      </c>
      <c r="E346" s="64"/>
      <c r="F346" s="94">
        <v>1</v>
      </c>
      <c r="G346" s="471">
        <f>((6*(0.2+0.25+1.87+0.42)))</f>
        <v>16.440000000000001</v>
      </c>
      <c r="H346" s="472"/>
      <c r="I346" s="155">
        <v>0.96299999999999997</v>
      </c>
      <c r="J346" s="99"/>
      <c r="K346" s="82">
        <v>15.831720000000001</v>
      </c>
      <c r="L346" s="82"/>
      <c r="M346" s="82"/>
      <c r="N346" s="86"/>
    </row>
    <row r="347" spans="2:14" x14ac:dyDescent="0.25">
      <c r="B347" s="49"/>
      <c r="C347" s="57"/>
      <c r="D347" s="144" t="s">
        <v>641</v>
      </c>
      <c r="E347" s="64"/>
      <c r="F347" s="94">
        <v>1</v>
      </c>
      <c r="G347" s="471">
        <f>((6*(0.2+0.25+1.89+0.42)))</f>
        <v>16.559999999999999</v>
      </c>
      <c r="H347" s="472"/>
      <c r="I347" s="155">
        <v>0.96299999999999997</v>
      </c>
      <c r="J347" s="99"/>
      <c r="K347" s="82">
        <v>15.947279999999997</v>
      </c>
      <c r="L347" s="82"/>
      <c r="M347" s="82"/>
      <c r="N347" s="86"/>
    </row>
    <row r="348" spans="2:14" x14ac:dyDescent="0.25">
      <c r="B348" s="49"/>
      <c r="C348" s="57"/>
      <c r="D348" s="144" t="s">
        <v>642</v>
      </c>
      <c r="E348" s="64"/>
      <c r="F348" s="94">
        <v>1</v>
      </c>
      <c r="G348" s="471">
        <f>((4*(0.2+0.25+1.9+0.42)))</f>
        <v>11.08</v>
      </c>
      <c r="H348" s="472"/>
      <c r="I348" s="155">
        <v>0.96299999999999997</v>
      </c>
      <c r="J348" s="99"/>
      <c r="K348" s="82">
        <v>10.67004</v>
      </c>
      <c r="L348" s="82"/>
      <c r="M348" s="82"/>
      <c r="N348" s="86"/>
    </row>
    <row r="349" spans="2:14" x14ac:dyDescent="0.25">
      <c r="B349" s="49"/>
      <c r="C349" s="57"/>
      <c r="D349" s="144" t="s">
        <v>643</v>
      </c>
      <c r="E349" s="64"/>
      <c r="F349" s="94">
        <v>1</v>
      </c>
      <c r="G349" s="471">
        <f>((4*(0.2+0.25+1.92+0.42)))</f>
        <v>11.16</v>
      </c>
      <c r="H349" s="472"/>
      <c r="I349" s="155">
        <v>0.96299999999999997</v>
      </c>
      <c r="J349" s="99"/>
      <c r="K349" s="82">
        <v>10.74708</v>
      </c>
      <c r="L349" s="82"/>
      <c r="M349" s="82"/>
      <c r="N349" s="86"/>
    </row>
    <row r="350" spans="2:14" x14ac:dyDescent="0.25">
      <c r="B350" s="49"/>
      <c r="C350" s="57"/>
      <c r="D350" s="144" t="s">
        <v>644</v>
      </c>
      <c r="E350" s="64"/>
      <c r="F350" s="94">
        <v>1</v>
      </c>
      <c r="G350" s="471">
        <f>((4*(0.2+0.25+1.9+0.42)))</f>
        <v>11.08</v>
      </c>
      <c r="H350" s="472"/>
      <c r="I350" s="155">
        <v>0.96299999999999997</v>
      </c>
      <c r="J350" s="99"/>
      <c r="K350" s="82">
        <v>10.67004</v>
      </c>
      <c r="L350" s="82"/>
      <c r="M350" s="82"/>
      <c r="N350" s="86"/>
    </row>
    <row r="351" spans="2:14" x14ac:dyDescent="0.25">
      <c r="B351" s="49"/>
      <c r="C351" s="57"/>
      <c r="D351" s="144" t="s">
        <v>645</v>
      </c>
      <c r="E351" s="64"/>
      <c r="F351" s="94">
        <v>1</v>
      </c>
      <c r="G351" s="471">
        <f>((4*(0.2+0.25+1.98+0.42)))+(2*(0.2+0.25+1.98))</f>
        <v>16.260000000000002</v>
      </c>
      <c r="H351" s="472"/>
      <c r="I351" s="155">
        <v>0.96299999999999997</v>
      </c>
      <c r="J351" s="99"/>
      <c r="K351" s="82">
        <v>15.658380000000001</v>
      </c>
      <c r="L351" s="82"/>
      <c r="M351" s="82"/>
      <c r="N351" s="86"/>
    </row>
    <row r="352" spans="2:14" ht="30.6" customHeight="1" x14ac:dyDescent="0.25">
      <c r="B352" s="49"/>
      <c r="C352" s="57"/>
      <c r="D352" s="431" t="s">
        <v>1067</v>
      </c>
      <c r="E352" s="64"/>
      <c r="F352" s="94">
        <v>1</v>
      </c>
      <c r="G352" s="471">
        <v>78.7</v>
      </c>
      <c r="H352" s="473"/>
      <c r="I352" s="474"/>
      <c r="J352" s="99"/>
      <c r="K352" s="81">
        <v>78.7</v>
      </c>
      <c r="L352" s="82"/>
      <c r="M352" s="82"/>
      <c r="N352" s="86"/>
    </row>
    <row r="353" spans="2:14" s="167" customFormat="1" x14ac:dyDescent="0.25">
      <c r="B353" s="49"/>
      <c r="C353" s="57"/>
      <c r="D353" s="152"/>
      <c r="E353" s="64"/>
      <c r="F353" s="94"/>
      <c r="G353" s="475"/>
      <c r="H353" s="477"/>
      <c r="I353" s="478"/>
    </row>
    <row r="354" spans="2:14" s="167" customFormat="1" ht="30.6" customHeight="1" x14ac:dyDescent="0.25">
      <c r="B354" s="49" t="s">
        <v>84</v>
      </c>
      <c r="C354" s="57">
        <v>96536</v>
      </c>
      <c r="D354" s="52" t="s">
        <v>86</v>
      </c>
      <c r="E354" s="64" t="s">
        <v>17</v>
      </c>
      <c r="F354" s="94"/>
      <c r="G354" s="531" t="s">
        <v>1082</v>
      </c>
      <c r="H354" s="532"/>
      <c r="I354" s="533"/>
      <c r="J354" s="99">
        <f>'BOLETIM DE MEDIÇÃO 11'!S37-'MEMORIAL DE CALCULO 10'!K354</f>
        <v>429.82720000000012</v>
      </c>
      <c r="K354" s="81">
        <f>SUM(K355:K401)-429.83</f>
        <v>33.939799999999877</v>
      </c>
      <c r="L354" s="82">
        <f>J354+K354</f>
        <v>463.767</v>
      </c>
      <c r="M354" s="82">
        <f>'BOLETIM DE MEDIÇÃO 11'!G37</f>
        <v>463.77</v>
      </c>
      <c r="N354" s="86">
        <f>M354-L354</f>
        <v>2.9999999999859028E-3</v>
      </c>
    </row>
    <row r="355" spans="2:14" ht="20.45" customHeight="1" x14ac:dyDescent="0.25">
      <c r="B355" s="49"/>
      <c r="C355" s="57"/>
      <c r="D355" s="152" t="s">
        <v>1067</v>
      </c>
      <c r="E355" s="64"/>
      <c r="F355" s="94">
        <v>1</v>
      </c>
      <c r="G355" s="471">
        <v>254.18</v>
      </c>
      <c r="H355" s="473"/>
      <c r="I355" s="474"/>
      <c r="J355" s="99"/>
      <c r="K355" s="82">
        <f>F355*G355</f>
        <v>254.18</v>
      </c>
      <c r="L355" s="82"/>
      <c r="M355" s="82"/>
      <c r="N355" s="86"/>
    </row>
    <row r="356" spans="2:14" ht="22.5" x14ac:dyDescent="0.25">
      <c r="B356" s="49"/>
      <c r="C356" s="57"/>
      <c r="D356" s="428" t="s">
        <v>1083</v>
      </c>
      <c r="E356" s="64"/>
      <c r="F356" s="94">
        <v>1</v>
      </c>
      <c r="G356" s="104" t="s">
        <v>1073</v>
      </c>
      <c r="H356" s="92" t="s">
        <v>649</v>
      </c>
      <c r="I356" s="105" t="s">
        <v>651</v>
      </c>
      <c r="J356" s="99"/>
      <c r="K356" s="82"/>
      <c r="L356" s="82"/>
      <c r="M356" s="82"/>
      <c r="N356" s="86"/>
    </row>
    <row r="357" spans="2:14" ht="33.75" x14ac:dyDescent="0.25">
      <c r="B357" s="49"/>
      <c r="C357" s="57"/>
      <c r="D357" s="144" t="s">
        <v>1050</v>
      </c>
      <c r="E357" s="64"/>
      <c r="F357" s="105">
        <v>1</v>
      </c>
      <c r="G357" s="99">
        <v>0.92700000000000005</v>
      </c>
      <c r="H357" s="92">
        <v>0.15</v>
      </c>
      <c r="I357" s="105">
        <v>0.2</v>
      </c>
      <c r="J357" s="99"/>
      <c r="K357" s="82">
        <v>0.37080000000000002</v>
      </c>
      <c r="L357" s="82"/>
      <c r="M357" s="82"/>
      <c r="N357" s="86"/>
    </row>
    <row r="358" spans="2:14" ht="33.75" x14ac:dyDescent="0.25">
      <c r="B358" s="49"/>
      <c r="C358" s="57"/>
      <c r="D358" s="144" t="s">
        <v>1051</v>
      </c>
      <c r="E358" s="64"/>
      <c r="F358" s="105">
        <v>1</v>
      </c>
      <c r="G358" s="99">
        <v>0.8</v>
      </c>
      <c r="H358" s="92">
        <v>0.15</v>
      </c>
      <c r="I358" s="105">
        <v>0.2</v>
      </c>
      <c r="J358" s="99"/>
      <c r="K358" s="82">
        <v>0.32000000000000006</v>
      </c>
      <c r="L358" s="82"/>
      <c r="M358" s="82"/>
      <c r="N358" s="86"/>
    </row>
    <row r="359" spans="2:14" x14ac:dyDescent="0.25">
      <c r="B359" s="49"/>
      <c r="C359" s="57"/>
      <c r="D359" s="144" t="s">
        <v>1052</v>
      </c>
      <c r="E359" s="64"/>
      <c r="F359" s="105">
        <v>1</v>
      </c>
      <c r="G359" s="99">
        <f>(1.7+0.15+1.855)</f>
        <v>3.7050000000000001</v>
      </c>
      <c r="H359" s="92">
        <v>0.15</v>
      </c>
      <c r="I359" s="105">
        <v>0.2</v>
      </c>
      <c r="J359" s="99"/>
      <c r="K359" s="82">
        <v>1.4820000000000002</v>
      </c>
      <c r="L359" s="82"/>
      <c r="M359" s="82"/>
      <c r="N359" s="86"/>
    </row>
    <row r="360" spans="2:14" x14ac:dyDescent="0.25">
      <c r="B360" s="49"/>
      <c r="C360" s="57"/>
      <c r="D360" s="144" t="s">
        <v>1053</v>
      </c>
      <c r="E360" s="64"/>
      <c r="F360" s="105">
        <v>1</v>
      </c>
      <c r="G360" s="99">
        <v>2.7</v>
      </c>
      <c r="H360" s="92">
        <v>0.15</v>
      </c>
      <c r="I360" s="105">
        <v>0.2</v>
      </c>
      <c r="J360" s="99"/>
      <c r="K360" s="82">
        <v>1.08</v>
      </c>
      <c r="L360" s="82"/>
      <c r="M360" s="82"/>
      <c r="N360" s="86"/>
    </row>
    <row r="361" spans="2:14" x14ac:dyDescent="0.25">
      <c r="B361" s="49"/>
      <c r="C361" s="57"/>
      <c r="D361" s="152"/>
      <c r="E361" s="64"/>
      <c r="F361" s="94"/>
      <c r="G361" s="373"/>
      <c r="H361" s="374"/>
      <c r="I361" s="318"/>
      <c r="J361" s="99"/>
      <c r="K361" s="82"/>
      <c r="L361" s="82"/>
      <c r="M361" s="82"/>
      <c r="N361" s="86"/>
    </row>
    <row r="362" spans="2:14" x14ac:dyDescent="0.25">
      <c r="B362" s="49"/>
      <c r="C362" s="57"/>
      <c r="D362" s="152"/>
      <c r="E362" s="64"/>
      <c r="F362" s="94"/>
      <c r="G362" s="373"/>
      <c r="H362" s="374"/>
      <c r="I362" s="318"/>
      <c r="J362" s="99"/>
      <c r="K362" s="82"/>
      <c r="L362" s="82"/>
      <c r="M362" s="82"/>
      <c r="N362" s="86"/>
    </row>
    <row r="363" spans="2:14" ht="27" customHeight="1" x14ac:dyDescent="0.25">
      <c r="B363" s="49"/>
      <c r="C363" s="57"/>
      <c r="D363" s="152" t="s">
        <v>648</v>
      </c>
      <c r="E363" s="64"/>
      <c r="F363" s="94"/>
      <c r="G363" s="157" t="s">
        <v>649</v>
      </c>
      <c r="H363" s="158" t="s">
        <v>650</v>
      </c>
      <c r="I363" s="122" t="s">
        <v>651</v>
      </c>
      <c r="J363" s="99"/>
      <c r="K363" s="81"/>
      <c r="L363" s="82"/>
      <c r="M363" s="82"/>
      <c r="N363" s="86"/>
    </row>
    <row r="364" spans="2:14" ht="33.75" x14ac:dyDescent="0.25">
      <c r="B364" s="49"/>
      <c r="C364" s="57"/>
      <c r="D364" s="144" t="s">
        <v>569</v>
      </c>
      <c r="E364" s="64"/>
      <c r="F364" s="94">
        <v>32</v>
      </c>
      <c r="G364" s="104">
        <v>0.6</v>
      </c>
      <c r="H364" s="92">
        <v>0.7</v>
      </c>
      <c r="I364" s="105">
        <v>0.25</v>
      </c>
      <c r="J364" s="99"/>
      <c r="K364" s="82">
        <v>20.799999999999997</v>
      </c>
      <c r="L364" s="82"/>
      <c r="M364" s="82"/>
      <c r="N364" s="86"/>
    </row>
    <row r="365" spans="2:14" ht="45" x14ac:dyDescent="0.25">
      <c r="B365" s="49"/>
      <c r="C365" s="57"/>
      <c r="D365" s="144" t="s">
        <v>570</v>
      </c>
      <c r="E365" s="64"/>
      <c r="F365" s="94">
        <v>41</v>
      </c>
      <c r="G365" s="104">
        <v>0.6</v>
      </c>
      <c r="H365" s="92">
        <v>0.7</v>
      </c>
      <c r="I365" s="105">
        <v>0.25</v>
      </c>
      <c r="J365" s="99"/>
      <c r="K365" s="82">
        <v>26.649999999999995</v>
      </c>
      <c r="L365" s="82"/>
      <c r="M365" s="82"/>
      <c r="N365" s="86"/>
    </row>
    <row r="366" spans="2:14" ht="21.6" customHeight="1" x14ac:dyDescent="0.25">
      <c r="B366" s="49"/>
      <c r="C366" s="57"/>
      <c r="D366" s="144" t="s">
        <v>571</v>
      </c>
      <c r="E366" s="64"/>
      <c r="F366" s="94">
        <v>1</v>
      </c>
      <c r="G366" s="104">
        <v>0.6</v>
      </c>
      <c r="H366" s="92">
        <v>0.8</v>
      </c>
      <c r="I366" s="105">
        <v>0.25</v>
      </c>
      <c r="J366" s="99"/>
      <c r="K366" s="82">
        <v>0.7</v>
      </c>
      <c r="L366" s="82"/>
      <c r="M366" s="82"/>
      <c r="N366" s="86"/>
    </row>
    <row r="367" spans="2:14" x14ac:dyDescent="0.25">
      <c r="B367" s="49"/>
      <c r="C367" s="57"/>
      <c r="D367" s="144" t="s">
        <v>572</v>
      </c>
      <c r="E367" s="64"/>
      <c r="F367" s="94">
        <v>2</v>
      </c>
      <c r="G367" s="104">
        <v>0.9</v>
      </c>
      <c r="H367" s="92">
        <v>0.9</v>
      </c>
      <c r="I367" s="105">
        <v>0.25</v>
      </c>
      <c r="J367" s="99"/>
      <c r="K367" s="82">
        <v>1.8</v>
      </c>
      <c r="L367" s="82"/>
      <c r="M367" s="82"/>
      <c r="N367" s="86"/>
    </row>
    <row r="368" spans="2:14" x14ac:dyDescent="0.25">
      <c r="B368" s="49"/>
      <c r="C368" s="57"/>
      <c r="D368" s="144" t="s">
        <v>573</v>
      </c>
      <c r="E368" s="64"/>
      <c r="F368" s="94">
        <v>7</v>
      </c>
      <c r="G368" s="104">
        <v>0.65</v>
      </c>
      <c r="H368" s="92">
        <v>0.65</v>
      </c>
      <c r="I368" s="105">
        <v>0.25</v>
      </c>
      <c r="J368" s="99"/>
      <c r="K368" s="82">
        <v>4.55</v>
      </c>
      <c r="L368" s="82"/>
      <c r="M368" s="82"/>
      <c r="N368" s="86"/>
    </row>
    <row r="369" spans="2:14" ht="20.45" customHeight="1" x14ac:dyDescent="0.25">
      <c r="B369" s="49"/>
      <c r="C369" s="57"/>
      <c r="D369" s="144" t="s">
        <v>574</v>
      </c>
      <c r="E369" s="64"/>
      <c r="F369" s="94">
        <v>3</v>
      </c>
      <c r="G369" s="104">
        <v>0.65</v>
      </c>
      <c r="H369" s="92">
        <v>0.75</v>
      </c>
      <c r="I369" s="105">
        <v>0.25</v>
      </c>
      <c r="J369" s="99"/>
      <c r="K369" s="82">
        <v>2.0999999999999996</v>
      </c>
      <c r="L369" s="82"/>
      <c r="M369" s="82"/>
      <c r="N369" s="86"/>
    </row>
    <row r="370" spans="2:14" ht="20.45" customHeight="1" x14ac:dyDescent="0.25">
      <c r="B370" s="49"/>
      <c r="C370" s="57"/>
      <c r="D370" s="144" t="s">
        <v>575</v>
      </c>
      <c r="E370" s="64"/>
      <c r="F370" s="94">
        <v>2</v>
      </c>
      <c r="G370" s="104">
        <v>0.55000000000000004</v>
      </c>
      <c r="H370" s="92">
        <v>0.95</v>
      </c>
      <c r="I370" s="105">
        <v>0.25</v>
      </c>
      <c r="J370" s="99"/>
      <c r="K370" s="82">
        <v>1.5</v>
      </c>
      <c r="L370" s="82"/>
      <c r="M370" s="82"/>
      <c r="N370" s="86"/>
    </row>
    <row r="371" spans="2:14" ht="22.9" customHeight="1" x14ac:dyDescent="0.25">
      <c r="B371" s="49"/>
      <c r="C371" s="57"/>
      <c r="D371" s="152" t="s">
        <v>627</v>
      </c>
      <c r="E371" s="64"/>
      <c r="F371" s="94"/>
      <c r="G371" s="475" t="s">
        <v>706</v>
      </c>
      <c r="H371" s="476"/>
      <c r="I371" s="105" t="s">
        <v>651</v>
      </c>
      <c r="J371" s="99"/>
      <c r="K371" s="82"/>
      <c r="L371" s="82"/>
      <c r="M371" s="82"/>
      <c r="N371" s="86"/>
    </row>
    <row r="372" spans="2:14" x14ac:dyDescent="0.25">
      <c r="B372" s="49"/>
      <c r="C372" s="57"/>
      <c r="D372" s="144" t="s">
        <v>614</v>
      </c>
      <c r="E372" s="64"/>
      <c r="F372" s="94">
        <v>1</v>
      </c>
      <c r="G372" s="471">
        <f xml:space="preserve"> ((0.15+0.25)*2) *2</f>
        <v>1.6</v>
      </c>
      <c r="H372" s="472"/>
      <c r="I372" s="105">
        <v>1.85</v>
      </c>
      <c r="J372" s="99"/>
      <c r="K372" s="82">
        <v>2.9600000000000004</v>
      </c>
      <c r="L372" s="82"/>
      <c r="M372" s="82"/>
      <c r="N372" s="86"/>
    </row>
    <row r="373" spans="2:14" ht="23.45" customHeight="1" x14ac:dyDescent="0.25">
      <c r="B373" s="49"/>
      <c r="C373" s="57"/>
      <c r="D373" s="144" t="s">
        <v>633</v>
      </c>
      <c r="E373" s="64"/>
      <c r="F373" s="94">
        <v>1</v>
      </c>
      <c r="G373" s="471">
        <f xml:space="preserve"> ((0.2+0.25)*2) + ((0.2+0.3)*2)</f>
        <v>1.9</v>
      </c>
      <c r="H373" s="472"/>
      <c r="I373" s="105">
        <v>1.87</v>
      </c>
      <c r="J373" s="99"/>
      <c r="K373" s="82">
        <v>3.5529999999999999</v>
      </c>
      <c r="L373" s="82"/>
      <c r="M373" s="82"/>
      <c r="N373" s="86"/>
    </row>
    <row r="374" spans="2:14" ht="22.5" x14ac:dyDescent="0.25">
      <c r="B374" s="49"/>
      <c r="C374" s="57"/>
      <c r="D374" s="144" t="s">
        <v>629</v>
      </c>
      <c r="E374" s="64"/>
      <c r="F374" s="94">
        <v>1</v>
      </c>
      <c r="G374" s="471">
        <f xml:space="preserve"> ((0.2+0.25)*2*3) + ((0.2+0.2)*2*1) + ((0.15+0.2)*2*1)</f>
        <v>4.2</v>
      </c>
      <c r="H374" s="472"/>
      <c r="I374" s="105">
        <v>1.9</v>
      </c>
      <c r="J374" s="99"/>
      <c r="K374" s="82">
        <v>7.9799999999999995</v>
      </c>
      <c r="L374" s="82"/>
      <c r="M374" s="82"/>
      <c r="N374" s="86"/>
    </row>
    <row r="375" spans="2:14" ht="23.45" customHeight="1" x14ac:dyDescent="0.25">
      <c r="B375" s="49"/>
      <c r="C375" s="57"/>
      <c r="D375" s="144" t="s">
        <v>630</v>
      </c>
      <c r="E375" s="64"/>
      <c r="F375" s="94">
        <v>1</v>
      </c>
      <c r="G375" s="471">
        <f xml:space="preserve"> ((0.2+0.25)*2*1) + ((0.15+0.25)*2*2)</f>
        <v>2.5</v>
      </c>
      <c r="H375" s="472"/>
      <c r="I375" s="105">
        <v>1.92</v>
      </c>
      <c r="J375" s="99"/>
      <c r="K375" s="82">
        <v>4.8</v>
      </c>
      <c r="L375" s="82"/>
      <c r="M375" s="82"/>
      <c r="N375" s="86"/>
    </row>
    <row r="376" spans="2:14" x14ac:dyDescent="0.25">
      <c r="B376" s="49"/>
      <c r="C376" s="57"/>
      <c r="D376" s="144" t="s">
        <v>615</v>
      </c>
      <c r="E376" s="64"/>
      <c r="F376" s="94">
        <v>1</v>
      </c>
      <c r="G376" s="471">
        <f xml:space="preserve"> ((0.15+0.3)*2*3)</f>
        <v>2.6999999999999997</v>
      </c>
      <c r="H376" s="472"/>
      <c r="I376" s="86">
        <v>1.94</v>
      </c>
      <c r="J376" s="99"/>
      <c r="K376" s="82">
        <v>5.2379999999999995</v>
      </c>
      <c r="L376" s="82"/>
      <c r="M376" s="82"/>
      <c r="N376" s="86"/>
    </row>
    <row r="377" spans="2:14" ht="22.5" x14ac:dyDescent="0.25">
      <c r="B377" s="49"/>
      <c r="C377" s="57"/>
      <c r="D377" s="144" t="s">
        <v>616</v>
      </c>
      <c r="E377" s="64"/>
      <c r="F377" s="94">
        <v>1</v>
      </c>
      <c r="G377" s="471">
        <f xml:space="preserve"> ((0.2+0.25)*2*3) + ((0.15+0.25)*2*2)</f>
        <v>4.3000000000000007</v>
      </c>
      <c r="H377" s="472"/>
      <c r="I377" s="86">
        <v>1.96</v>
      </c>
      <c r="J377" s="99"/>
      <c r="K377" s="82">
        <v>8.4280000000000008</v>
      </c>
      <c r="L377" s="82"/>
      <c r="M377" s="82"/>
      <c r="N377" s="86"/>
    </row>
    <row r="378" spans="2:14" ht="26.45" customHeight="1" x14ac:dyDescent="0.25">
      <c r="B378" s="49"/>
      <c r="C378" s="57"/>
      <c r="D378" s="144" t="s">
        <v>617</v>
      </c>
      <c r="E378" s="64"/>
      <c r="F378" s="94">
        <v>1</v>
      </c>
      <c r="G378" s="471">
        <f xml:space="preserve"> ((0.2+0.25)*2*3) + ((0.15+0.25)*2*2) +  ((0.2+0.3)*2*1)</f>
        <v>5.3000000000000007</v>
      </c>
      <c r="H378" s="472"/>
      <c r="I378" s="86">
        <v>1.95</v>
      </c>
      <c r="J378" s="99"/>
      <c r="K378" s="82">
        <v>10.335000000000001</v>
      </c>
      <c r="L378" s="82"/>
      <c r="M378" s="82"/>
      <c r="N378" s="86"/>
    </row>
    <row r="379" spans="2:14" x14ac:dyDescent="0.25">
      <c r="B379" s="49"/>
      <c r="C379" s="57"/>
      <c r="D379" s="144" t="s">
        <v>618</v>
      </c>
      <c r="E379" s="64"/>
      <c r="F379" s="94">
        <v>1</v>
      </c>
      <c r="G379" s="471">
        <f xml:space="preserve"> ((0.2+0.25)*2*2) + ((0.15+0.25)*2*1)</f>
        <v>2.6</v>
      </c>
      <c r="H379" s="472"/>
      <c r="I379" s="86">
        <v>1.97</v>
      </c>
      <c r="J379" s="99"/>
      <c r="K379" s="82">
        <v>5.1219999999999999</v>
      </c>
      <c r="L379" s="82"/>
      <c r="M379" s="82"/>
      <c r="N379" s="86"/>
    </row>
    <row r="380" spans="2:14" x14ac:dyDescent="0.25">
      <c r="B380" s="49"/>
      <c r="C380" s="57"/>
      <c r="D380" s="144" t="s">
        <v>631</v>
      </c>
      <c r="E380" s="64"/>
      <c r="F380" s="94">
        <v>1</v>
      </c>
      <c r="G380" s="471">
        <f>((0.15+0.25)*2*3)</f>
        <v>2.4000000000000004</v>
      </c>
      <c r="H380" s="472"/>
      <c r="I380" s="86">
        <v>1.9</v>
      </c>
      <c r="J380" s="99"/>
      <c r="K380" s="82">
        <v>4.5600000000000005</v>
      </c>
      <c r="L380" s="82"/>
      <c r="M380" s="82"/>
      <c r="N380" s="144"/>
    </row>
    <row r="381" spans="2:14" x14ac:dyDescent="0.25">
      <c r="B381" s="49"/>
      <c r="C381" s="57"/>
      <c r="D381" s="144" t="s">
        <v>632</v>
      </c>
      <c r="E381" s="64"/>
      <c r="F381" s="94">
        <v>1</v>
      </c>
      <c r="G381" s="471">
        <f xml:space="preserve"> ((0.2+0.25)*2*1) + ((0.15+0.25)*2*1) +  ((0.2+0.35)*2*1)</f>
        <v>2.8000000000000003</v>
      </c>
      <c r="H381" s="472"/>
      <c r="I381" s="86">
        <v>1.86</v>
      </c>
      <c r="J381" s="99"/>
      <c r="K381" s="82">
        <v>5.2080000000000011</v>
      </c>
      <c r="L381" s="82"/>
      <c r="M381" s="82"/>
      <c r="N381" s="86"/>
    </row>
    <row r="382" spans="2:14" x14ac:dyDescent="0.25">
      <c r="B382" s="49"/>
      <c r="C382" s="57"/>
      <c r="D382" s="144" t="s">
        <v>634</v>
      </c>
      <c r="E382" s="64"/>
      <c r="F382" s="94">
        <v>1</v>
      </c>
      <c r="G382" s="471">
        <f xml:space="preserve"> ((0.2+0.25)*2*1) + ((0.15+0.3)*2*2)</f>
        <v>2.6999999999999997</v>
      </c>
      <c r="H382" s="472"/>
      <c r="I382" s="86">
        <v>1.87</v>
      </c>
      <c r="J382" s="99"/>
      <c r="K382" s="82">
        <v>5.0489999999999995</v>
      </c>
      <c r="L382" s="82"/>
      <c r="M382" s="82"/>
      <c r="N382" s="86"/>
    </row>
    <row r="383" spans="2:14" x14ac:dyDescent="0.25">
      <c r="B383" s="49"/>
      <c r="C383" s="57"/>
      <c r="D383" s="144" t="s">
        <v>619</v>
      </c>
      <c r="E383" s="64"/>
      <c r="F383" s="94">
        <v>1</v>
      </c>
      <c r="G383" s="471">
        <f xml:space="preserve"> ((0.2+0.3)*2*1) + ((0.15+0.3)*2*1) +  ((0.15+0.25)*2*1) + ((0.15+0.35)*2*1)</f>
        <v>3.7</v>
      </c>
      <c r="H383" s="472"/>
      <c r="I383" s="86">
        <v>1.9</v>
      </c>
      <c r="J383" s="99"/>
      <c r="K383" s="82">
        <v>7.03</v>
      </c>
      <c r="L383" s="82"/>
      <c r="M383" s="82"/>
      <c r="N383" s="86"/>
    </row>
    <row r="384" spans="2:14" x14ac:dyDescent="0.25">
      <c r="B384" s="49"/>
      <c r="C384" s="57"/>
      <c r="D384" s="144" t="s">
        <v>620</v>
      </c>
      <c r="E384" s="64"/>
      <c r="F384" s="94">
        <v>1</v>
      </c>
      <c r="G384" s="471">
        <f xml:space="preserve"> ((0.15+0.25)*2*1) + ((0.2+0.3)*2*1)</f>
        <v>1.8</v>
      </c>
      <c r="H384" s="472"/>
      <c r="I384" s="86">
        <v>1.91</v>
      </c>
      <c r="J384" s="99"/>
      <c r="K384" s="82">
        <v>3.4379999999999997</v>
      </c>
      <c r="L384" s="82"/>
      <c r="M384" s="82"/>
      <c r="N384" s="86"/>
    </row>
    <row r="385" spans="2:14" ht="22.5" x14ac:dyDescent="0.25">
      <c r="B385" s="49"/>
      <c r="C385" s="57"/>
      <c r="D385" s="144" t="s">
        <v>621</v>
      </c>
      <c r="E385" s="64"/>
      <c r="F385" s="94">
        <v>1</v>
      </c>
      <c r="G385" s="471">
        <f xml:space="preserve"> ((0.15+0.25)*2*5) + ((0.25+0.25)*2*1)</f>
        <v>5</v>
      </c>
      <c r="H385" s="472"/>
      <c r="I385" s="86">
        <v>1.94</v>
      </c>
      <c r="J385" s="99"/>
      <c r="K385" s="82">
        <v>9.6999999999999993</v>
      </c>
      <c r="L385" s="82"/>
      <c r="M385" s="82"/>
      <c r="N385" s="86"/>
    </row>
    <row r="386" spans="2:14" ht="20.45" customHeight="1" x14ac:dyDescent="0.25">
      <c r="B386" s="49"/>
      <c r="C386" s="57"/>
      <c r="D386" s="144" t="s">
        <v>622</v>
      </c>
      <c r="E386" s="64"/>
      <c r="F386" s="94">
        <v>1</v>
      </c>
      <c r="G386" s="471">
        <f xml:space="preserve"> ((0.2+0.25)*2*1) + ((0.15+0.25)*2*1) +  ((0.25+0.25)*2*1)</f>
        <v>2.7</v>
      </c>
      <c r="H386" s="472"/>
      <c r="I386" s="86">
        <v>1.93</v>
      </c>
      <c r="J386" s="99"/>
      <c r="K386" s="82">
        <v>5.2110000000000003</v>
      </c>
      <c r="L386" s="82"/>
      <c r="M386" s="82"/>
      <c r="N386" s="86"/>
    </row>
    <row r="387" spans="2:14" x14ac:dyDescent="0.25">
      <c r="B387" s="49"/>
      <c r="C387" s="57"/>
      <c r="D387" s="144" t="s">
        <v>635</v>
      </c>
      <c r="E387" s="64"/>
      <c r="F387" s="94">
        <v>1</v>
      </c>
      <c r="G387" s="471">
        <f xml:space="preserve"> ((0.15+0.25)*2*2) + ((0.25+0.25)*2*1)</f>
        <v>2.6</v>
      </c>
      <c r="H387" s="472"/>
      <c r="I387" s="86">
        <v>1.92</v>
      </c>
      <c r="J387" s="99"/>
      <c r="K387" s="82">
        <v>4.992</v>
      </c>
      <c r="L387" s="82"/>
      <c r="M387" s="82"/>
      <c r="N387" s="86"/>
    </row>
    <row r="388" spans="2:14" x14ac:dyDescent="0.25">
      <c r="B388" s="49"/>
      <c r="C388" s="57"/>
      <c r="D388" s="144" t="s">
        <v>623</v>
      </c>
      <c r="E388" s="64"/>
      <c r="F388" s="94">
        <v>1</v>
      </c>
      <c r="G388" s="471">
        <f xml:space="preserve"> ((0.15+0.25)*2*2) + ((0.2+0.25)*2*2)</f>
        <v>3.4000000000000004</v>
      </c>
      <c r="H388" s="472"/>
      <c r="I388" s="86">
        <v>1.87</v>
      </c>
      <c r="J388" s="99"/>
      <c r="K388" s="82">
        <v>6.3580000000000014</v>
      </c>
      <c r="L388" s="82"/>
      <c r="M388" s="82"/>
      <c r="N388" s="86"/>
    </row>
    <row r="389" spans="2:14" x14ac:dyDescent="0.25">
      <c r="B389" s="49"/>
      <c r="C389" s="57"/>
      <c r="D389" s="144" t="s">
        <v>624</v>
      </c>
      <c r="E389" s="64"/>
      <c r="F389" s="94">
        <v>1</v>
      </c>
      <c r="G389" s="471">
        <f xml:space="preserve"> ((0.15+0.25)*2*3) + ((0.2+0.25)*2*1)</f>
        <v>3.3000000000000003</v>
      </c>
      <c r="H389" s="472"/>
      <c r="I389" s="86">
        <v>1.88</v>
      </c>
      <c r="J389" s="99"/>
      <c r="K389" s="82">
        <v>6.2039999999999997</v>
      </c>
      <c r="L389" s="82"/>
      <c r="M389" s="82"/>
      <c r="N389" s="86"/>
    </row>
    <row r="390" spans="2:14" x14ac:dyDescent="0.25">
      <c r="B390" s="49"/>
      <c r="C390" s="57"/>
      <c r="D390" s="144" t="s">
        <v>625</v>
      </c>
      <c r="E390" s="64"/>
      <c r="F390" s="94">
        <v>1</v>
      </c>
      <c r="G390" s="471">
        <f>((0.2+0.25)*2*3) + ((0.25+0.25)*2*1)</f>
        <v>3.7</v>
      </c>
      <c r="H390" s="472"/>
      <c r="I390" s="86">
        <v>1.9</v>
      </c>
      <c r="J390" s="99"/>
      <c r="K390" s="82">
        <v>7.03</v>
      </c>
      <c r="L390" s="82"/>
      <c r="M390" s="82"/>
      <c r="N390" s="86"/>
    </row>
    <row r="391" spans="2:14" x14ac:dyDescent="0.25">
      <c r="B391" s="49"/>
      <c r="C391" s="57"/>
      <c r="D391" s="144" t="s">
        <v>637</v>
      </c>
      <c r="E391" s="64"/>
      <c r="F391" s="94">
        <v>1</v>
      </c>
      <c r="G391" s="471">
        <f>((0.2+0.2)*2*1)</f>
        <v>0.8</v>
      </c>
      <c r="H391" s="472"/>
      <c r="I391" s="86">
        <v>1.9</v>
      </c>
      <c r="J391" s="99"/>
      <c r="K391" s="82">
        <v>1.52</v>
      </c>
      <c r="L391" s="82"/>
      <c r="M391" s="82"/>
      <c r="N391" s="86"/>
    </row>
    <row r="392" spans="2:14" x14ac:dyDescent="0.25">
      <c r="B392" s="49"/>
      <c r="C392" s="57"/>
      <c r="D392" s="144" t="s">
        <v>636</v>
      </c>
      <c r="E392" s="64"/>
      <c r="F392" s="94">
        <v>1</v>
      </c>
      <c r="G392" s="471">
        <f>((0.2+0.25)*2*1) + ((0.15+0.25)*2*1)</f>
        <v>1.7000000000000002</v>
      </c>
      <c r="H392" s="472"/>
      <c r="I392" s="86">
        <v>1.97</v>
      </c>
      <c r="J392" s="99"/>
      <c r="K392" s="82">
        <v>3.3490000000000002</v>
      </c>
      <c r="L392" s="82"/>
      <c r="M392" s="82"/>
      <c r="N392" s="86"/>
    </row>
    <row r="393" spans="2:14" x14ac:dyDescent="0.25">
      <c r="B393" s="49"/>
      <c r="C393" s="57"/>
      <c r="D393" s="144" t="s">
        <v>638</v>
      </c>
      <c r="E393" s="64"/>
      <c r="F393" s="94">
        <v>1</v>
      </c>
      <c r="G393" s="471">
        <f>((0.2+0.25)*2*1) + ((0.15+0.25)*2*2)</f>
        <v>2.5</v>
      </c>
      <c r="H393" s="472"/>
      <c r="I393" s="86">
        <v>2</v>
      </c>
      <c r="J393" s="99"/>
      <c r="K393" s="82">
        <v>5</v>
      </c>
      <c r="L393" s="82"/>
      <c r="M393" s="82"/>
      <c r="N393" s="86"/>
    </row>
    <row r="394" spans="2:14" ht="22.5" x14ac:dyDescent="0.25">
      <c r="B394" s="49"/>
      <c r="C394" s="57"/>
      <c r="D394" s="144" t="s">
        <v>626</v>
      </c>
      <c r="E394" s="64"/>
      <c r="F394" s="94">
        <v>1</v>
      </c>
      <c r="G394" s="471">
        <f xml:space="preserve"> ((0.2+0.3)*2*1) + ((0.15+0.25)*2*5) +  ((0.25+0.25)*2*1)</f>
        <v>6</v>
      </c>
      <c r="H394" s="472"/>
      <c r="I394" s="86">
        <v>2.0099999999999998</v>
      </c>
      <c r="J394" s="99"/>
      <c r="K394" s="82">
        <v>12.059999999999999</v>
      </c>
      <c r="L394" s="82"/>
      <c r="M394" s="82"/>
      <c r="N394" s="86"/>
    </row>
    <row r="395" spans="2:14" x14ac:dyDescent="0.25">
      <c r="B395" s="49"/>
      <c r="C395" s="57"/>
      <c r="D395" s="144" t="s">
        <v>639</v>
      </c>
      <c r="E395" s="64"/>
      <c r="F395" s="94">
        <v>1</v>
      </c>
      <c r="G395" s="471">
        <f>((0.15+0.3)*2*1)</f>
        <v>0.89999999999999991</v>
      </c>
      <c r="H395" s="472"/>
      <c r="I395" s="86">
        <v>1.86</v>
      </c>
      <c r="J395" s="99"/>
      <c r="K395" s="82">
        <v>1.6739999999999999</v>
      </c>
      <c r="L395" s="82"/>
      <c r="M395" s="82"/>
      <c r="N395" s="86"/>
    </row>
    <row r="396" spans="2:14" x14ac:dyDescent="0.25">
      <c r="B396" s="49"/>
      <c r="C396" s="57"/>
      <c r="D396" s="144" t="s">
        <v>640</v>
      </c>
      <c r="E396" s="64"/>
      <c r="F396" s="94">
        <v>1</v>
      </c>
      <c r="G396" s="471">
        <f>((0.15+0.5)*2*1)</f>
        <v>1.3</v>
      </c>
      <c r="H396" s="472"/>
      <c r="I396" s="86">
        <v>1.87</v>
      </c>
      <c r="J396" s="99"/>
      <c r="K396" s="82">
        <v>2.431</v>
      </c>
      <c r="L396" s="82"/>
      <c r="M396" s="82"/>
      <c r="N396" s="86"/>
    </row>
    <row r="397" spans="2:14" x14ac:dyDescent="0.25">
      <c r="B397" s="49"/>
      <c r="C397" s="57"/>
      <c r="D397" s="144" t="s">
        <v>641</v>
      </c>
      <c r="E397" s="64"/>
      <c r="F397" s="94">
        <v>1</v>
      </c>
      <c r="G397" s="471">
        <f>((0.15+0.5)*2*1)</f>
        <v>1.3</v>
      </c>
      <c r="H397" s="472"/>
      <c r="I397" s="86">
        <v>1.89</v>
      </c>
      <c r="J397" s="99"/>
      <c r="K397" s="82">
        <v>2.4569999999999999</v>
      </c>
      <c r="L397" s="82"/>
      <c r="M397" s="82"/>
      <c r="N397" s="86"/>
    </row>
    <row r="398" spans="2:14" x14ac:dyDescent="0.25">
      <c r="B398" s="49"/>
      <c r="C398" s="57"/>
      <c r="D398" s="144" t="s">
        <v>642</v>
      </c>
      <c r="E398" s="64"/>
      <c r="F398" s="94">
        <v>1</v>
      </c>
      <c r="G398" s="471">
        <f>((0.15+0.25)*2*1)</f>
        <v>0.8</v>
      </c>
      <c r="H398" s="472"/>
      <c r="I398" s="86">
        <v>1.9</v>
      </c>
      <c r="J398" s="99"/>
      <c r="K398" s="82">
        <v>1.52</v>
      </c>
      <c r="L398" s="82"/>
      <c r="M398" s="82"/>
      <c r="N398" s="86"/>
    </row>
    <row r="399" spans="2:14" x14ac:dyDescent="0.25">
      <c r="B399" s="49"/>
      <c r="C399" s="57"/>
      <c r="D399" s="144" t="s">
        <v>643</v>
      </c>
      <c r="E399" s="64"/>
      <c r="F399" s="94">
        <v>1</v>
      </c>
      <c r="G399" s="471">
        <f t="shared" ref="G399" si="12">((0.15+0.3)*2*1)</f>
        <v>0.89999999999999991</v>
      </c>
      <c r="H399" s="472"/>
      <c r="I399" s="86">
        <v>1.92</v>
      </c>
      <c r="J399" s="99"/>
      <c r="K399" s="82">
        <v>1.7279999999999998</v>
      </c>
      <c r="L399" s="82"/>
      <c r="M399" s="82"/>
      <c r="N399" s="86"/>
    </row>
    <row r="400" spans="2:14" x14ac:dyDescent="0.25">
      <c r="B400" s="49"/>
      <c r="C400" s="57"/>
      <c r="D400" s="144" t="s">
        <v>644</v>
      </c>
      <c r="E400" s="64"/>
      <c r="F400" s="94">
        <v>1</v>
      </c>
      <c r="G400" s="471">
        <f>((0.15+0.25)*2*1)</f>
        <v>0.8</v>
      </c>
      <c r="H400" s="472"/>
      <c r="I400" s="86">
        <v>1.9</v>
      </c>
      <c r="J400" s="99"/>
      <c r="K400" s="82">
        <v>1.52</v>
      </c>
      <c r="L400" s="82"/>
      <c r="M400" s="82"/>
      <c r="N400" s="86"/>
    </row>
    <row r="401" spans="2:14" x14ac:dyDescent="0.25">
      <c r="B401" s="49"/>
      <c r="C401" s="57"/>
      <c r="D401" s="144" t="s">
        <v>645</v>
      </c>
      <c r="E401" s="64"/>
      <c r="F401" s="94">
        <v>1</v>
      </c>
      <c r="G401" s="471">
        <f>((0.15+0.3)*2*1)</f>
        <v>0.89999999999999991</v>
      </c>
      <c r="H401" s="472"/>
      <c r="I401" s="86">
        <v>1.98</v>
      </c>
      <c r="J401" s="99"/>
      <c r="K401" s="82">
        <v>1.7819999999999998</v>
      </c>
      <c r="L401" s="82"/>
      <c r="M401" s="82"/>
      <c r="N401" s="86"/>
    </row>
    <row r="402" spans="2:14" x14ac:dyDescent="0.25">
      <c r="B402" s="49"/>
      <c r="C402" s="57"/>
      <c r="D402" s="144"/>
      <c r="E402" s="64"/>
      <c r="F402" s="94"/>
      <c r="G402" s="373"/>
      <c r="H402" s="374"/>
      <c r="I402" s="432"/>
      <c r="J402" s="99"/>
      <c r="K402" s="82"/>
      <c r="L402" s="82"/>
      <c r="M402" s="82"/>
      <c r="N402" s="86"/>
    </row>
    <row r="403" spans="2:14" ht="20.45" customHeight="1" x14ac:dyDescent="0.25">
      <c r="B403" s="49" t="s">
        <v>87</v>
      </c>
      <c r="C403" s="58">
        <v>98557</v>
      </c>
      <c r="D403" s="52" t="s">
        <v>89</v>
      </c>
      <c r="E403" s="64" t="s">
        <v>17</v>
      </c>
      <c r="F403" s="94"/>
      <c r="G403" s="531" t="s">
        <v>1084</v>
      </c>
      <c r="H403" s="532"/>
      <c r="I403" s="533"/>
      <c r="J403" s="99">
        <f>'BOLETIM DE MEDIÇÃO 11'!S38-'MEMORIAL DE CALCULO 10'!K403</f>
        <v>253.95000000000005</v>
      </c>
      <c r="K403" s="81">
        <v>7.88</v>
      </c>
      <c r="L403" s="82">
        <f>J403+K403</f>
        <v>261.83000000000004</v>
      </c>
      <c r="M403" s="82">
        <f>'BOLETIM DE MEDIÇÃO 11'!G38</f>
        <v>261.83</v>
      </c>
      <c r="N403" s="86">
        <f>L403-M403</f>
        <v>0</v>
      </c>
    </row>
    <row r="404" spans="2:14" x14ac:dyDescent="0.25">
      <c r="B404" s="49"/>
      <c r="C404" s="58"/>
      <c r="D404" s="152" t="s">
        <v>1067</v>
      </c>
      <c r="E404" s="64"/>
      <c r="F404" s="94">
        <v>1</v>
      </c>
      <c r="G404" s="471">
        <v>253.95</v>
      </c>
      <c r="H404" s="473"/>
      <c r="I404" s="474"/>
      <c r="J404" s="99"/>
      <c r="K404" s="82">
        <f>F404*G404</f>
        <v>253.95</v>
      </c>
      <c r="L404" s="82"/>
      <c r="M404" s="82"/>
      <c r="N404" s="86"/>
    </row>
    <row r="405" spans="2:14" ht="22.5" x14ac:dyDescent="0.25">
      <c r="B405" s="49"/>
      <c r="C405" s="58"/>
      <c r="D405" s="428" t="s">
        <v>1083</v>
      </c>
      <c r="E405" s="64"/>
      <c r="F405" s="94">
        <v>1</v>
      </c>
      <c r="G405" s="104" t="s">
        <v>1073</v>
      </c>
      <c r="H405" s="92" t="s">
        <v>649</v>
      </c>
      <c r="I405" s="105" t="s">
        <v>651</v>
      </c>
      <c r="J405" s="99"/>
      <c r="K405" s="82">
        <v>0.50985000000000003</v>
      </c>
      <c r="L405" s="82"/>
      <c r="M405" s="82"/>
      <c r="N405" s="86"/>
    </row>
    <row r="406" spans="2:14" ht="33.75" x14ac:dyDescent="0.25">
      <c r="B406" s="49"/>
      <c r="C406" s="58"/>
      <c r="D406" s="144" t="s">
        <v>1050</v>
      </c>
      <c r="E406" s="64"/>
      <c r="F406" s="105">
        <v>1</v>
      </c>
      <c r="G406" s="99">
        <v>0.92700000000000005</v>
      </c>
      <c r="H406" s="92">
        <v>0.15</v>
      </c>
      <c r="I406" s="105">
        <v>0.2</v>
      </c>
      <c r="J406" s="99"/>
      <c r="K406" s="82">
        <v>0.44000000000000006</v>
      </c>
      <c r="L406" s="82"/>
      <c r="M406" s="82"/>
      <c r="N406" s="86"/>
    </row>
    <row r="407" spans="2:14" ht="33.75" x14ac:dyDescent="0.25">
      <c r="B407" s="49"/>
      <c r="C407" s="58"/>
      <c r="D407" s="144" t="s">
        <v>1051</v>
      </c>
      <c r="E407" s="64"/>
      <c r="F407" s="105">
        <v>1</v>
      </c>
      <c r="G407" s="99">
        <v>0.8</v>
      </c>
      <c r="H407" s="92">
        <v>0.15</v>
      </c>
      <c r="I407" s="105">
        <v>0.2</v>
      </c>
      <c r="J407" s="99"/>
      <c r="K407" s="82">
        <v>2.0377500000000004</v>
      </c>
      <c r="L407" s="82"/>
      <c r="M407" s="82"/>
      <c r="N407" s="86"/>
    </row>
    <row r="408" spans="2:14" x14ac:dyDescent="0.25">
      <c r="B408" s="49"/>
      <c r="C408" s="58"/>
      <c r="D408" s="144" t="s">
        <v>1052</v>
      </c>
      <c r="E408" s="64"/>
      <c r="F408" s="105">
        <v>1</v>
      </c>
      <c r="G408" s="99">
        <f>(1.7+0.15+1.855)</f>
        <v>3.7050000000000001</v>
      </c>
      <c r="H408" s="92">
        <v>0.15</v>
      </c>
      <c r="I408" s="105">
        <v>0.2</v>
      </c>
      <c r="J408" s="99"/>
      <c r="K408" s="82">
        <v>1.4850000000000003</v>
      </c>
      <c r="L408" s="82"/>
      <c r="M408" s="82"/>
      <c r="N408" s="86"/>
    </row>
    <row r="409" spans="2:14" x14ac:dyDescent="0.25">
      <c r="B409" s="49"/>
      <c r="C409" s="58"/>
      <c r="D409" s="144" t="s">
        <v>1053</v>
      </c>
      <c r="E409" s="64"/>
      <c r="F409" s="105">
        <v>1</v>
      </c>
      <c r="G409" s="99">
        <v>2.7</v>
      </c>
      <c r="H409" s="92">
        <v>0.15</v>
      </c>
      <c r="I409" s="105">
        <v>0.2</v>
      </c>
      <c r="J409" s="99"/>
      <c r="K409" s="82">
        <v>3.4100000000000006</v>
      </c>
      <c r="L409" s="82"/>
      <c r="M409" s="82"/>
      <c r="N409" s="86"/>
    </row>
    <row r="410" spans="2:14" ht="22.5" x14ac:dyDescent="0.25">
      <c r="B410" s="49"/>
      <c r="C410" s="58"/>
      <c r="D410" s="144" t="s">
        <v>1071</v>
      </c>
      <c r="E410" s="64"/>
      <c r="F410" s="105">
        <v>2</v>
      </c>
      <c r="G410" s="99">
        <v>3.1</v>
      </c>
      <c r="H410" s="92">
        <v>0.15</v>
      </c>
      <c r="I410" s="105">
        <v>0.2</v>
      </c>
      <c r="J410" s="99"/>
      <c r="K410" s="82"/>
      <c r="L410" s="82"/>
      <c r="M410" s="82"/>
      <c r="N410" s="86"/>
    </row>
    <row r="411" spans="2:14" x14ac:dyDescent="0.25">
      <c r="B411" s="49"/>
      <c r="C411" s="57"/>
      <c r="D411" s="144"/>
      <c r="E411" s="64"/>
      <c r="F411" s="94"/>
      <c r="G411" s="373"/>
      <c r="H411" s="99"/>
      <c r="I411" s="86"/>
      <c r="J411" s="99"/>
      <c r="K411" s="82"/>
      <c r="L411" s="82"/>
      <c r="M411" s="82"/>
      <c r="N411" s="86"/>
    </row>
    <row r="412" spans="2:14" x14ac:dyDescent="0.25">
      <c r="B412" s="49"/>
      <c r="C412" s="57"/>
      <c r="D412" s="144" t="s">
        <v>645</v>
      </c>
      <c r="E412" s="64"/>
      <c r="F412" s="94">
        <v>1</v>
      </c>
      <c r="G412" s="471">
        <f>((0.15+0.3)*2*1)</f>
        <v>0.89999999999999991</v>
      </c>
      <c r="H412" s="472"/>
      <c r="I412" s="86">
        <v>1.98</v>
      </c>
      <c r="J412" s="99"/>
      <c r="K412" s="82">
        <f t="shared" ref="K412" si="13">(F412*G412*I412)</f>
        <v>1.7819999999999998</v>
      </c>
      <c r="L412" s="82"/>
      <c r="M412" s="82"/>
      <c r="N412" s="86"/>
    </row>
    <row r="413" spans="2:14" ht="20.45" customHeight="1" x14ac:dyDescent="0.25">
      <c r="B413" s="49" t="s">
        <v>87</v>
      </c>
      <c r="C413" s="58">
        <v>98557</v>
      </c>
      <c r="D413" s="52" t="s">
        <v>89</v>
      </c>
      <c r="E413" s="64" t="s">
        <v>17</v>
      </c>
      <c r="F413" s="94"/>
      <c r="G413" s="104"/>
      <c r="H413" s="92"/>
      <c r="I413" s="105"/>
      <c r="J413" s="99">
        <f>'BOLETIM DE MEDIÇÃO 05'!O38-'MEMORIAL DE CALCULO 10'!K413</f>
        <v>0</v>
      </c>
      <c r="K413" s="82">
        <f>(F414*G414*I414)</f>
        <v>253.95000000000002</v>
      </c>
      <c r="L413" s="82">
        <f t="shared" si="0"/>
        <v>253.95000000000002</v>
      </c>
      <c r="M413" s="82">
        <f>'BOLETIM DE MEDIÇÃO 05'!G38</f>
        <v>253.95</v>
      </c>
      <c r="N413" s="86">
        <f t="shared" si="1"/>
        <v>0</v>
      </c>
    </row>
    <row r="414" spans="2:14" ht="20.45" customHeight="1" x14ac:dyDescent="0.25">
      <c r="B414" s="49"/>
      <c r="C414" s="58"/>
      <c r="D414" s="293" t="s">
        <v>888</v>
      </c>
      <c r="E414" s="64"/>
      <c r="F414" s="94">
        <v>1</v>
      </c>
      <c r="G414" s="104">
        <v>338.6</v>
      </c>
      <c r="H414" s="92"/>
      <c r="I414" s="105">
        <v>0.75</v>
      </c>
      <c r="J414" s="99"/>
      <c r="K414" s="82"/>
      <c r="L414" s="82"/>
      <c r="M414" s="82"/>
      <c r="N414" s="86"/>
    </row>
    <row r="415" spans="2:14" ht="14.45" customHeight="1" x14ac:dyDescent="0.25">
      <c r="B415" s="56" t="s">
        <v>90</v>
      </c>
      <c r="C415" s="60" t="s">
        <v>91</v>
      </c>
      <c r="D415" s="52"/>
      <c r="E415" s="64"/>
      <c r="F415" s="94"/>
      <c r="G415" s="104"/>
      <c r="H415" s="92"/>
      <c r="I415" s="105"/>
      <c r="J415" s="99"/>
      <c r="K415" s="82"/>
      <c r="L415" s="82"/>
      <c r="M415" s="82"/>
      <c r="N415" s="86"/>
    </row>
    <row r="416" spans="2:14" s="167" customFormat="1" ht="48.6" customHeight="1" x14ac:dyDescent="0.25">
      <c r="B416" s="203" t="s">
        <v>92</v>
      </c>
      <c r="C416" s="211">
        <v>92443</v>
      </c>
      <c r="D416" s="205" t="s">
        <v>94</v>
      </c>
      <c r="E416" s="206" t="s">
        <v>17</v>
      </c>
      <c r="F416" s="94">
        <v>1</v>
      </c>
      <c r="G416" s="104"/>
      <c r="H416" s="92"/>
      <c r="I416" s="105"/>
      <c r="J416" s="99">
        <f>'BOLETIM DE MEDIÇÃO 11'!S40-K416</f>
        <v>402.14</v>
      </c>
      <c r="K416" s="81">
        <f>G417</f>
        <v>8.8404000000000007</v>
      </c>
      <c r="L416" s="82">
        <f>J416+K416</f>
        <v>410.98039999999997</v>
      </c>
      <c r="M416" s="82">
        <f>'BOLETIM DE MEDIÇÃO 11'!G40</f>
        <v>410.98</v>
      </c>
      <c r="N416" s="86">
        <f>M416-L416</f>
        <v>-3.999999999564352E-4</v>
      </c>
    </row>
    <row r="417" spans="2:14" ht="14.45" customHeight="1" x14ac:dyDescent="0.25">
      <c r="B417" s="56"/>
      <c r="C417" s="60"/>
      <c r="D417" s="413" t="s">
        <v>1008</v>
      </c>
      <c r="E417" s="64"/>
      <c r="F417" s="94">
        <v>1</v>
      </c>
      <c r="G417" s="471">
        <v>8.8404000000000007</v>
      </c>
      <c r="H417" s="473"/>
      <c r="I417" s="474"/>
      <c r="J417" s="99"/>
      <c r="K417" s="82"/>
      <c r="L417" s="82"/>
      <c r="M417" s="82"/>
      <c r="N417" s="86"/>
    </row>
    <row r="418" spans="2:14" ht="40.15" customHeight="1" x14ac:dyDescent="0.25">
      <c r="B418" s="247" t="s">
        <v>95</v>
      </c>
      <c r="C418" s="248">
        <v>92480</v>
      </c>
      <c r="D418" s="402" t="s">
        <v>97</v>
      </c>
      <c r="E418" s="242" t="s">
        <v>17</v>
      </c>
      <c r="F418" s="243"/>
      <c r="G418" s="244"/>
      <c r="H418" s="403"/>
      <c r="I418" s="246"/>
      <c r="J418" s="249">
        <f>'BOLETIM DE MEDIÇÃO 11'!S41-'MEMORIAL DE CALCULO 10'!K418</f>
        <v>331.92200000000003</v>
      </c>
      <c r="K418" s="250">
        <f>K419+K420</f>
        <v>107.89619999999999</v>
      </c>
      <c r="L418" s="251">
        <f t="shared" si="0"/>
        <v>439.81820000000005</v>
      </c>
      <c r="M418" s="251">
        <f>'BOLETIM DE MEDIÇÃO 05'!G41</f>
        <v>435.33</v>
      </c>
      <c r="N418" s="252">
        <f t="shared" si="1"/>
        <v>-4.488200000000063</v>
      </c>
    </row>
    <row r="419" spans="2:14" ht="18" customHeight="1" x14ac:dyDescent="0.25">
      <c r="B419" s="247"/>
      <c r="C419" s="404"/>
      <c r="D419" s="412" t="s">
        <v>1010</v>
      </c>
      <c r="E419" s="242"/>
      <c r="F419" s="243">
        <v>1</v>
      </c>
      <c r="G419" s="494">
        <v>92.376199999999997</v>
      </c>
      <c r="H419" s="537"/>
      <c r="I419" s="538"/>
      <c r="J419" s="249"/>
      <c r="K419" s="251">
        <f>G419</f>
        <v>92.376199999999997</v>
      </c>
      <c r="L419" s="251"/>
      <c r="M419" s="251"/>
      <c r="N419" s="252"/>
    </row>
    <row r="420" spans="2:14" ht="18" customHeight="1" x14ac:dyDescent="0.25">
      <c r="B420" s="247"/>
      <c r="C420" s="404"/>
      <c r="D420" s="412" t="s">
        <v>1009</v>
      </c>
      <c r="E420" s="242"/>
      <c r="F420" s="243">
        <v>1</v>
      </c>
      <c r="G420" s="494">
        <v>15.52</v>
      </c>
      <c r="H420" s="537"/>
      <c r="I420" s="538"/>
      <c r="J420" s="249"/>
      <c r="K420" s="251">
        <f>G420</f>
        <v>15.52</v>
      </c>
      <c r="L420" s="251"/>
      <c r="M420" s="251"/>
      <c r="N420" s="252"/>
    </row>
    <row r="421" spans="2:14" ht="24.6" customHeight="1" x14ac:dyDescent="0.25">
      <c r="B421" s="247" t="s">
        <v>98</v>
      </c>
      <c r="C421" s="248">
        <v>92267</v>
      </c>
      <c r="D421" s="402" t="s">
        <v>100</v>
      </c>
      <c r="E421" s="242"/>
      <c r="F421" s="243"/>
      <c r="G421" s="394"/>
      <c r="H421" s="242"/>
      <c r="I421" s="406"/>
      <c r="J421" s="249">
        <f>'BOLETIM DE MEDIÇÃO 11'!S42-'MEMORIAL DE CALCULO 10'!K421</f>
        <v>72.858649999999997</v>
      </c>
      <c r="K421" s="250">
        <f>K422+K423</f>
        <v>57.966300000000004</v>
      </c>
      <c r="L421" s="251">
        <f>J421+K421</f>
        <v>130.82495</v>
      </c>
      <c r="M421" s="251">
        <f>'BOLETIM DE MEDIÇÃO 11'!G42</f>
        <v>130.82</v>
      </c>
      <c r="N421" s="252">
        <f>M421-L421</f>
        <v>-4.9500000000080036E-3</v>
      </c>
    </row>
    <row r="422" spans="2:14" ht="18" customHeight="1" x14ac:dyDescent="0.25">
      <c r="B422" s="247"/>
      <c r="C422" s="404"/>
      <c r="D422" s="412" t="s">
        <v>1011</v>
      </c>
      <c r="E422" s="242"/>
      <c r="F422" s="243">
        <v>1</v>
      </c>
      <c r="G422" s="494">
        <f>0.4*88.64</f>
        <v>35.456000000000003</v>
      </c>
      <c r="H422" s="537"/>
      <c r="I422" s="538"/>
      <c r="J422" s="249"/>
      <c r="K422" s="251">
        <f>G422</f>
        <v>35.456000000000003</v>
      </c>
      <c r="L422" s="251"/>
      <c r="M422" s="251"/>
      <c r="N422" s="252"/>
    </row>
    <row r="423" spans="2:14" ht="18" customHeight="1" x14ac:dyDescent="0.25">
      <c r="B423" s="247"/>
      <c r="C423" s="404"/>
      <c r="D423" s="412" t="s">
        <v>1012</v>
      </c>
      <c r="E423" s="242"/>
      <c r="F423" s="243">
        <v>1</v>
      </c>
      <c r="G423" s="494">
        <v>22.510300000000001</v>
      </c>
      <c r="H423" s="537"/>
      <c r="I423" s="538"/>
      <c r="J423" s="249"/>
      <c r="K423" s="251">
        <f>G423</f>
        <v>22.510300000000001</v>
      </c>
      <c r="L423" s="251"/>
      <c r="M423" s="251"/>
      <c r="N423" s="252"/>
    </row>
    <row r="424" spans="2:14" s="167" customFormat="1" ht="30.6" customHeight="1" x14ac:dyDescent="0.25">
      <c r="B424" s="49" t="s">
        <v>101</v>
      </c>
      <c r="C424" s="57">
        <v>92759</v>
      </c>
      <c r="D424" s="52" t="s">
        <v>103</v>
      </c>
      <c r="E424" s="64" t="s">
        <v>62</v>
      </c>
      <c r="F424" s="94"/>
      <c r="G424" s="104"/>
      <c r="H424" s="64"/>
      <c r="I424" s="105"/>
      <c r="J424" s="99">
        <f>'BOLETIM DE MEDIÇÃO 11'!S43-K424</f>
        <v>905.6037799999998</v>
      </c>
      <c r="K424" s="81">
        <f>K425</f>
        <v>130.6009</v>
      </c>
      <c r="L424" s="82">
        <f t="shared" si="0"/>
        <v>1036.2046799999998</v>
      </c>
      <c r="M424" s="82">
        <f>'BOLETIM DE MEDIÇÃO 05'!G43</f>
        <v>1027.8</v>
      </c>
      <c r="N424" s="86">
        <f t="shared" si="1"/>
        <v>-8.4046799999998711</v>
      </c>
    </row>
    <row r="425" spans="2:14" s="167" customFormat="1" ht="19.899999999999999" customHeight="1" x14ac:dyDescent="0.25">
      <c r="B425" s="49"/>
      <c r="C425" s="57"/>
      <c r="D425" s="344" t="s">
        <v>1013</v>
      </c>
      <c r="E425" s="64"/>
      <c r="F425" s="94">
        <v>1</v>
      </c>
      <c r="G425" s="471">
        <v>130.6009</v>
      </c>
      <c r="H425" s="473"/>
      <c r="I425" s="474"/>
      <c r="J425" s="99"/>
      <c r="K425" s="82">
        <f>F425*G425</f>
        <v>130.6009</v>
      </c>
      <c r="L425" s="82"/>
      <c r="M425" s="82"/>
      <c r="N425" s="86"/>
    </row>
    <row r="426" spans="2:14" s="167" customFormat="1" ht="33.6" hidden="1" customHeight="1" x14ac:dyDescent="0.25">
      <c r="B426" s="49" t="s">
        <v>104</v>
      </c>
      <c r="C426" s="57">
        <v>92760</v>
      </c>
      <c r="D426" s="52" t="s">
        <v>106</v>
      </c>
      <c r="E426" s="64" t="s">
        <v>62</v>
      </c>
      <c r="F426" s="94"/>
      <c r="G426" s="104"/>
      <c r="H426" s="64"/>
      <c r="I426" s="105"/>
      <c r="J426" s="99">
        <f>'BOLETIM DE MEDIÇÃO 05'!O44-'MEMORIAL DE CALCULO 10'!K426</f>
        <v>7.82</v>
      </c>
      <c r="K426" s="82">
        <f>K427</f>
        <v>15.64</v>
      </c>
      <c r="L426" s="82">
        <f t="shared" ref="L426" si="14">J426+K426</f>
        <v>23.46</v>
      </c>
      <c r="M426" s="82">
        <f>'BOLETIM DE MEDIÇÃO 05'!G44</f>
        <v>39.1</v>
      </c>
      <c r="N426" s="86">
        <f t="shared" ref="N426" si="15">M426-L426</f>
        <v>15.64</v>
      </c>
    </row>
    <row r="427" spans="2:14" s="167" customFormat="1" ht="22.9" hidden="1" customHeight="1" x14ac:dyDescent="0.25">
      <c r="B427" s="49"/>
      <c r="C427" s="57"/>
      <c r="D427" s="294" t="s">
        <v>964</v>
      </c>
      <c r="E427" s="64"/>
      <c r="F427" s="94">
        <v>1</v>
      </c>
      <c r="G427" s="462">
        <f>0.4*39.1</f>
        <v>15.64</v>
      </c>
      <c r="H427" s="463"/>
      <c r="I427" s="464"/>
      <c r="J427" s="99"/>
      <c r="K427" s="82">
        <f>F427*G427</f>
        <v>15.64</v>
      </c>
      <c r="L427" s="82"/>
      <c r="M427" s="82"/>
      <c r="N427" s="86"/>
    </row>
    <row r="428" spans="2:14" s="167" customFormat="1" ht="30.6" customHeight="1" x14ac:dyDescent="0.25">
      <c r="B428" s="49" t="s">
        <v>107</v>
      </c>
      <c r="C428" s="57">
        <v>92761</v>
      </c>
      <c r="D428" s="52" t="s">
        <v>109</v>
      </c>
      <c r="E428" s="64" t="s">
        <v>62</v>
      </c>
      <c r="F428" s="94"/>
      <c r="G428" s="104"/>
      <c r="H428" s="64"/>
      <c r="I428" s="105"/>
      <c r="J428" s="99">
        <f>'BOLETIM DE MEDIÇÃO 11'!S45-K428</f>
        <v>852.63999999999987</v>
      </c>
      <c r="K428" s="81">
        <f>K429</f>
        <v>168.64</v>
      </c>
      <c r="L428" s="82">
        <f t="shared" si="0"/>
        <v>1021.2799999999999</v>
      </c>
      <c r="M428" s="82">
        <f>'BOLETIM DE MEDIÇÃO 05'!G45</f>
        <v>1000</v>
      </c>
      <c r="N428" s="86">
        <f t="shared" si="1"/>
        <v>-21.279999999999859</v>
      </c>
    </row>
    <row r="429" spans="2:14" s="167" customFormat="1" ht="22.9" customHeight="1" x14ac:dyDescent="0.25">
      <c r="B429" s="49"/>
      <c r="C429" s="57"/>
      <c r="D429" s="344" t="s">
        <v>1013</v>
      </c>
      <c r="E429" s="64"/>
      <c r="F429" s="94">
        <v>1</v>
      </c>
      <c r="G429" s="471">
        <v>168.64</v>
      </c>
      <c r="H429" s="473"/>
      <c r="I429" s="474"/>
      <c r="J429" s="99"/>
      <c r="K429" s="82">
        <f>F429*G429</f>
        <v>168.64</v>
      </c>
      <c r="L429" s="82"/>
      <c r="M429" s="82"/>
      <c r="N429" s="86"/>
    </row>
    <row r="430" spans="2:14" s="167" customFormat="1" ht="30.6" customHeight="1" x14ac:dyDescent="0.25">
      <c r="B430" s="49" t="s">
        <v>110</v>
      </c>
      <c r="C430" s="57">
        <v>92762</v>
      </c>
      <c r="D430" s="52" t="s">
        <v>112</v>
      </c>
      <c r="E430" s="64" t="s">
        <v>62</v>
      </c>
      <c r="F430" s="94"/>
      <c r="G430" s="104"/>
      <c r="H430" s="64"/>
      <c r="I430" s="105"/>
      <c r="J430" s="99">
        <f>'BOLETIM DE MEDIÇÃO 11'!S46-K430</f>
        <v>1303.8771200000001</v>
      </c>
      <c r="K430" s="81">
        <f>K431</f>
        <v>11.700799999999999</v>
      </c>
      <c r="L430" s="82">
        <f t="shared" si="0"/>
        <v>1315.5779200000002</v>
      </c>
      <c r="M430" s="82">
        <f>'BOLETIM DE MEDIÇÃO 05'!G46</f>
        <v>1306.0999999999999</v>
      </c>
      <c r="N430" s="86">
        <f t="shared" si="1"/>
        <v>-9.4779200000002675</v>
      </c>
    </row>
    <row r="431" spans="2:14" s="167" customFormat="1" ht="19.899999999999999" customHeight="1" x14ac:dyDescent="0.25">
      <c r="B431" s="49"/>
      <c r="C431" s="57"/>
      <c r="D431" s="344" t="s">
        <v>1013</v>
      </c>
      <c r="E431" s="64"/>
      <c r="F431" s="105">
        <v>1</v>
      </c>
      <c r="G431" s="471">
        <v>11.700799999999999</v>
      </c>
      <c r="H431" s="473"/>
      <c r="I431" s="474"/>
      <c r="J431" s="99"/>
      <c r="K431" s="82">
        <f>F431*G431</f>
        <v>11.700799999999999</v>
      </c>
      <c r="L431" s="82"/>
      <c r="M431" s="82"/>
      <c r="N431" s="86"/>
    </row>
    <row r="432" spans="2:14" s="167" customFormat="1" ht="19.899999999999999" customHeight="1" x14ac:dyDescent="0.25">
      <c r="B432" s="203" t="s">
        <v>113</v>
      </c>
      <c r="C432" s="211">
        <v>92763</v>
      </c>
      <c r="D432" s="205" t="s">
        <v>115</v>
      </c>
      <c r="E432" s="206" t="s">
        <v>62</v>
      </c>
      <c r="F432" s="105"/>
      <c r="G432" s="374"/>
      <c r="H432" s="374"/>
      <c r="I432" s="318"/>
      <c r="J432" s="99">
        <f>'BOLETIM DE MEDIÇÃO 11'!S47-K432</f>
        <v>161.6</v>
      </c>
      <c r="K432" s="81">
        <f>K433</f>
        <v>6.6020000000000003</v>
      </c>
      <c r="L432" s="82">
        <f>J432+K432</f>
        <v>168.202</v>
      </c>
      <c r="M432" s="82">
        <f>'BOLETIM DE MEDIÇÃO 11'!G47</f>
        <v>168.2</v>
      </c>
      <c r="N432" s="86">
        <f t="shared" si="1"/>
        <v>-2.0000000000095497E-3</v>
      </c>
    </row>
    <row r="433" spans="2:15" s="167" customFormat="1" ht="19.899999999999999" customHeight="1" x14ac:dyDescent="0.25">
      <c r="B433" s="203"/>
      <c r="C433" s="211"/>
      <c r="D433" s="205" t="s">
        <v>1008</v>
      </c>
      <c r="E433" s="206"/>
      <c r="F433" s="105">
        <v>1</v>
      </c>
      <c r="G433" s="471">
        <v>6.6020000000000003</v>
      </c>
      <c r="H433" s="473"/>
      <c r="I433" s="474"/>
      <c r="J433" s="99"/>
      <c r="K433" s="82">
        <f>G433</f>
        <v>6.6020000000000003</v>
      </c>
      <c r="L433" s="82"/>
      <c r="M433" s="82"/>
      <c r="N433" s="86"/>
    </row>
    <row r="434" spans="2:15" s="167" customFormat="1" ht="33.75" x14ac:dyDescent="0.25">
      <c r="B434" s="49" t="s">
        <v>116</v>
      </c>
      <c r="C434" s="57">
        <v>92768</v>
      </c>
      <c r="D434" s="52" t="s">
        <v>118</v>
      </c>
      <c r="E434" s="64" t="s">
        <v>62</v>
      </c>
      <c r="F434" s="105"/>
      <c r="G434" s="99"/>
      <c r="H434" s="64"/>
      <c r="I434" s="105"/>
      <c r="J434" s="99">
        <f>'BOLETIM DE MEDIÇÃO 11'!S48-'MEMORIAL DE CALCULO 10'!K434</f>
        <v>177.17999999999998</v>
      </c>
      <c r="K434" s="81">
        <f>K435</f>
        <v>28.2</v>
      </c>
      <c r="L434" s="82">
        <f t="shared" si="0"/>
        <v>205.37999999999997</v>
      </c>
      <c r="M434" s="82">
        <f>'BOLETIM DE MEDIÇÃO 05'!G48</f>
        <v>158.69999999999999</v>
      </c>
      <c r="N434" s="86">
        <f t="shared" si="1"/>
        <v>-46.679999999999978</v>
      </c>
    </row>
    <row r="435" spans="2:15" s="167" customFormat="1" x14ac:dyDescent="0.25">
      <c r="B435" s="49"/>
      <c r="C435" s="57"/>
      <c r="D435" s="411" t="s">
        <v>969</v>
      </c>
      <c r="E435" s="64"/>
      <c r="F435" s="105">
        <v>1</v>
      </c>
      <c r="G435" s="471">
        <v>28.2</v>
      </c>
      <c r="H435" s="473"/>
      <c r="I435" s="474"/>
      <c r="J435" s="99"/>
      <c r="K435" s="82">
        <f>F435*G435</f>
        <v>28.2</v>
      </c>
      <c r="L435" s="82"/>
      <c r="M435" s="82"/>
      <c r="N435" s="86"/>
    </row>
    <row r="436" spans="2:15" s="167" customFormat="1" ht="33.75" x14ac:dyDescent="0.25">
      <c r="B436" s="49" t="s">
        <v>119</v>
      </c>
      <c r="C436" s="57">
        <v>92769</v>
      </c>
      <c r="D436" s="52" t="s">
        <v>121</v>
      </c>
      <c r="E436" s="64" t="s">
        <v>62</v>
      </c>
      <c r="F436" s="105"/>
      <c r="G436" s="99"/>
      <c r="H436" s="64"/>
      <c r="I436" s="105"/>
      <c r="J436" s="99">
        <f>'BOLETIM DE MEDIÇÃO 11'!S49-'MEMORIAL DE CALCULO 10'!K436</f>
        <v>165.83199999999999</v>
      </c>
      <c r="K436" s="81">
        <f>K437</f>
        <v>12.9002</v>
      </c>
      <c r="L436" s="82">
        <f t="shared" si="0"/>
        <v>178.73220000000001</v>
      </c>
      <c r="M436" s="82">
        <f>'BOLETIM DE MEDIÇÃO 05'!G49</f>
        <v>170.5</v>
      </c>
      <c r="N436" s="86">
        <f t="shared" si="1"/>
        <v>-8.232200000000006</v>
      </c>
    </row>
    <row r="437" spans="2:15" s="167" customFormat="1" x14ac:dyDescent="0.25">
      <c r="B437" s="49"/>
      <c r="C437" s="57"/>
      <c r="D437" s="411" t="s">
        <v>969</v>
      </c>
      <c r="E437" s="64"/>
      <c r="F437" s="105">
        <v>1</v>
      </c>
      <c r="G437" s="471">
        <v>12.9002</v>
      </c>
      <c r="H437" s="473"/>
      <c r="I437" s="474"/>
      <c r="J437" s="99"/>
      <c r="K437" s="82">
        <f>F437*G437</f>
        <v>12.9002</v>
      </c>
      <c r="L437" s="82"/>
      <c r="M437" s="82"/>
      <c r="N437" s="86"/>
    </row>
    <row r="438" spans="2:15" s="167" customFormat="1" ht="33.75" x14ac:dyDescent="0.25">
      <c r="B438" s="49" t="s">
        <v>122</v>
      </c>
      <c r="C438" s="57">
        <v>92770</v>
      </c>
      <c r="D438" s="52" t="s">
        <v>124</v>
      </c>
      <c r="E438" s="64" t="s">
        <v>62</v>
      </c>
      <c r="F438" s="105"/>
      <c r="G438" s="99"/>
      <c r="H438" s="64"/>
      <c r="I438" s="105"/>
      <c r="J438" s="99">
        <f>'BOLETIM DE MEDIÇÃO 11'!S50-'MEMORIAL DE CALCULO 10'!K438</f>
        <v>259</v>
      </c>
      <c r="K438" s="81">
        <f>K439</f>
        <v>20.100899999999999</v>
      </c>
      <c r="L438" s="82">
        <f t="shared" si="0"/>
        <v>279.10090000000002</v>
      </c>
      <c r="M438" s="82">
        <f>'BOLETIM DE MEDIÇÃO 05'!G50</f>
        <v>279.10000000000002</v>
      </c>
      <c r="N438" s="86">
        <f t="shared" si="1"/>
        <v>-9.0000000000145519E-4</v>
      </c>
    </row>
    <row r="439" spans="2:15" s="167" customFormat="1" ht="18" customHeight="1" x14ac:dyDescent="0.25">
      <c r="B439" s="49"/>
      <c r="C439" s="57"/>
      <c r="D439" s="411" t="s">
        <v>969</v>
      </c>
      <c r="E439" s="64"/>
      <c r="F439" s="105">
        <v>1</v>
      </c>
      <c r="G439" s="471">
        <v>20.100899999999999</v>
      </c>
      <c r="H439" s="473"/>
      <c r="I439" s="474"/>
      <c r="J439" s="99"/>
      <c r="K439" s="82">
        <f>F439*G439</f>
        <v>20.100899999999999</v>
      </c>
      <c r="L439" s="82"/>
      <c r="M439" s="82"/>
      <c r="N439" s="86"/>
    </row>
    <row r="440" spans="2:15" s="167" customFormat="1" ht="33.75" x14ac:dyDescent="0.25">
      <c r="B440" s="49" t="s">
        <v>125</v>
      </c>
      <c r="C440" s="57">
        <v>94966</v>
      </c>
      <c r="D440" s="52" t="s">
        <v>65</v>
      </c>
      <c r="E440" s="64" t="s">
        <v>41</v>
      </c>
      <c r="F440" s="105"/>
      <c r="G440" s="99"/>
      <c r="H440" s="64"/>
      <c r="I440" s="105"/>
      <c r="J440" s="99">
        <f>'BOLETIM DE MEDIÇÃO 11'!S51-'MEMORIAL DE CALCULO 10'!K440</f>
        <v>71.628424999999979</v>
      </c>
      <c r="K440" s="81">
        <f>SUM(K441:K441)</f>
        <v>10.02003</v>
      </c>
      <c r="L440" s="82">
        <f t="shared" si="0"/>
        <v>81.648454999999984</v>
      </c>
      <c r="M440" s="82">
        <f>'BOLETIM DE MEDIÇÃO 05'!G51</f>
        <v>61.56</v>
      </c>
      <c r="N440" s="86">
        <f t="shared" si="1"/>
        <v>-20.088454999999982</v>
      </c>
    </row>
    <row r="441" spans="2:15" ht="19.149999999999999" customHeight="1" x14ac:dyDescent="0.25">
      <c r="B441" s="247"/>
      <c r="C441" s="248"/>
      <c r="D441" s="344" t="s">
        <v>1013</v>
      </c>
      <c r="E441" s="242"/>
      <c r="F441" s="246">
        <v>1</v>
      </c>
      <c r="G441" s="541">
        <v>10.02003</v>
      </c>
      <c r="H441" s="541"/>
      <c r="I441" s="542"/>
      <c r="J441" s="249"/>
      <c r="K441" s="251">
        <f t="shared" ref="K441" si="16">F441*G441</f>
        <v>10.02003</v>
      </c>
      <c r="L441" s="251"/>
      <c r="M441" s="251"/>
      <c r="N441" s="252"/>
    </row>
    <row r="442" spans="2:15" ht="33.75" x14ac:dyDescent="0.25">
      <c r="B442" s="247" t="s">
        <v>126</v>
      </c>
      <c r="C442" s="248">
        <v>103670</v>
      </c>
      <c r="D442" s="402" t="s">
        <v>71</v>
      </c>
      <c r="E442" s="242" t="s">
        <v>41</v>
      </c>
      <c r="F442" s="246"/>
      <c r="G442" s="249"/>
      <c r="H442" s="403"/>
      <c r="I442" s="246"/>
      <c r="J442" s="249">
        <f>'BOLETIM DE MEDIÇÃO 05'!O52-'MEMORIAL DE CALCULO 10'!K442</f>
        <v>9.4099000099999994</v>
      </c>
      <c r="K442" s="250">
        <f>G443</f>
        <v>10.02009999</v>
      </c>
      <c r="L442" s="251">
        <f t="shared" si="0"/>
        <v>19.43</v>
      </c>
      <c r="M442" s="251">
        <f>'BOLETIM DE MEDIÇÃO 05'!G52</f>
        <v>61.56</v>
      </c>
      <c r="N442" s="252">
        <f t="shared" si="1"/>
        <v>42.13</v>
      </c>
    </row>
    <row r="443" spans="2:15" x14ac:dyDescent="0.25">
      <c r="B443" s="247"/>
      <c r="C443" s="404"/>
      <c r="D443" s="415" t="s">
        <v>932</v>
      </c>
      <c r="E443" s="242"/>
      <c r="F443" s="243">
        <v>1</v>
      </c>
      <c r="G443" s="541">
        <v>10.02009999</v>
      </c>
      <c r="H443" s="541"/>
      <c r="I443" s="542"/>
      <c r="J443" s="249"/>
      <c r="K443" s="251">
        <f>F443*G443</f>
        <v>10.02009999</v>
      </c>
      <c r="L443" s="251"/>
      <c r="M443" s="251"/>
      <c r="N443" s="252"/>
    </row>
    <row r="444" spans="2:15" ht="33.75" x14ac:dyDescent="0.25">
      <c r="B444" s="247" t="s">
        <v>127</v>
      </c>
      <c r="C444" s="248">
        <v>92771</v>
      </c>
      <c r="D444" s="402" t="s">
        <v>129</v>
      </c>
      <c r="E444" s="242" t="s">
        <v>62</v>
      </c>
      <c r="F444" s="243"/>
      <c r="G444" s="244"/>
      <c r="H444" s="403"/>
      <c r="I444" s="246"/>
      <c r="J444" s="249">
        <f>'BOLETIM DE MEDIÇÃO 11'!S53-'MEMORIAL DE CALCULO 10'!K444</f>
        <v>312.29999999999995</v>
      </c>
      <c r="K444" s="250">
        <f>K445</f>
        <v>94.6</v>
      </c>
      <c r="L444" s="251">
        <f t="shared" si="0"/>
        <v>406.9</v>
      </c>
      <c r="M444" s="251">
        <f>'BOLETIM DE MEDIÇÃO 05'!G53</f>
        <v>312.3</v>
      </c>
      <c r="N444" s="252">
        <f t="shared" si="1"/>
        <v>-94.599999999999966</v>
      </c>
    </row>
    <row r="445" spans="2:15" ht="18" customHeight="1" x14ac:dyDescent="0.25">
      <c r="B445" s="247"/>
      <c r="C445" s="248"/>
      <c r="D445" s="412" t="s">
        <v>969</v>
      </c>
      <c r="E445" s="242"/>
      <c r="F445" s="246">
        <v>1</v>
      </c>
      <c r="G445" s="494">
        <v>94.6</v>
      </c>
      <c r="H445" s="537"/>
      <c r="I445" s="538"/>
      <c r="J445" s="249"/>
      <c r="K445" s="251">
        <f>G445</f>
        <v>94.6</v>
      </c>
      <c r="L445" s="251"/>
      <c r="M445" s="251"/>
      <c r="N445" s="252"/>
    </row>
    <row r="446" spans="2:15" ht="33.75" hidden="1" x14ac:dyDescent="0.25">
      <c r="B446" s="363" t="s">
        <v>130</v>
      </c>
      <c r="C446" s="364">
        <v>92772</v>
      </c>
      <c r="D446" s="401" t="s">
        <v>132</v>
      </c>
      <c r="E446" s="366" t="s">
        <v>62</v>
      </c>
      <c r="F446" s="367"/>
      <c r="G446" s="397"/>
      <c r="H446" s="366"/>
      <c r="I446" s="372"/>
      <c r="J446" s="368">
        <f>'BOLETIM DE MEDIÇÃO 11'!S54-'MEMORIAL DE CALCULO 10'!K446</f>
        <v>154.80000000000001</v>
      </c>
      <c r="K446" s="369"/>
      <c r="L446" s="369">
        <f t="shared" si="0"/>
        <v>154.80000000000001</v>
      </c>
      <c r="M446" s="369">
        <f>'BOLETIM DE MEDIÇÃO 05'!G54</f>
        <v>154.80000000000001</v>
      </c>
      <c r="N446" s="370">
        <f t="shared" si="1"/>
        <v>0</v>
      </c>
      <c r="O446" s="371"/>
    </row>
    <row r="447" spans="2:15" ht="18" hidden="1" customHeight="1" x14ac:dyDescent="0.25">
      <c r="B447" s="363"/>
      <c r="C447" s="364"/>
      <c r="D447" s="365" t="s">
        <v>958</v>
      </c>
      <c r="E447" s="366"/>
      <c r="F447" s="372">
        <v>1</v>
      </c>
      <c r="G447" s="524">
        <v>154.80000000000001</v>
      </c>
      <c r="H447" s="525"/>
      <c r="I447" s="526"/>
      <c r="J447" s="368"/>
      <c r="K447" s="369"/>
      <c r="L447" s="369"/>
      <c r="M447" s="369"/>
      <c r="N447" s="370"/>
      <c r="O447" s="371"/>
    </row>
    <row r="448" spans="2:15" ht="18" hidden="1" customHeight="1" x14ac:dyDescent="0.25">
      <c r="B448" s="363"/>
      <c r="C448" s="364"/>
      <c r="D448" s="365"/>
      <c r="E448" s="366"/>
      <c r="F448" s="372"/>
      <c r="G448" s="388"/>
      <c r="H448" s="388"/>
      <c r="I448" s="389"/>
      <c r="J448" s="368"/>
      <c r="K448" s="369"/>
      <c r="L448" s="369"/>
      <c r="M448" s="369"/>
      <c r="N448" s="370"/>
      <c r="O448" s="371"/>
    </row>
    <row r="449" spans="2:14" ht="18" customHeight="1" x14ac:dyDescent="0.25">
      <c r="B449" s="212">
        <v>1.5</v>
      </c>
      <c r="C449" s="213" t="s">
        <v>134</v>
      </c>
      <c r="D449" s="205"/>
      <c r="E449" s="206"/>
      <c r="F449" s="123"/>
      <c r="G449" s="374"/>
      <c r="H449" s="374"/>
      <c r="I449" s="318"/>
      <c r="J449" s="99"/>
      <c r="K449" s="82"/>
      <c r="L449" s="82"/>
      <c r="M449" s="82"/>
      <c r="N449" s="86"/>
    </row>
    <row r="450" spans="2:14" ht="46.15" customHeight="1" x14ac:dyDescent="0.25">
      <c r="B450" s="384" t="s">
        <v>135</v>
      </c>
      <c r="C450" s="385">
        <v>103356</v>
      </c>
      <c r="D450" s="386" t="s">
        <v>137</v>
      </c>
      <c r="E450" s="387" t="s">
        <v>17</v>
      </c>
      <c r="F450" s="395"/>
      <c r="G450" s="374"/>
      <c r="H450" s="374"/>
      <c r="I450" s="318"/>
      <c r="J450" s="99">
        <f>'BOLETIM DE MEDIÇÃO 11'!S56-'MEMORIAL DE CALCULO 10'!K450</f>
        <v>1196.3104999999998</v>
      </c>
      <c r="K450" s="81">
        <f>K451</f>
        <v>46.31</v>
      </c>
      <c r="L450" s="82">
        <f>J450+K450</f>
        <v>1242.6204999999998</v>
      </c>
      <c r="M450" s="82">
        <f>'BOLETIM DE MEDIÇÃO 11'!G56</f>
        <v>1242.6199999999999</v>
      </c>
      <c r="N450" s="86">
        <f>M450-L450</f>
        <v>-4.9999999987448973E-4</v>
      </c>
    </row>
    <row r="451" spans="2:14" ht="22.9" customHeight="1" x14ac:dyDescent="0.25">
      <c r="B451" s="49"/>
      <c r="C451" s="57"/>
      <c r="D451" s="144" t="s">
        <v>1015</v>
      </c>
      <c r="E451" s="64"/>
      <c r="F451" s="105">
        <v>1</v>
      </c>
      <c r="G451" s="471">
        <v>46.31</v>
      </c>
      <c r="H451" s="473"/>
      <c r="I451" s="474"/>
      <c r="J451" s="99"/>
      <c r="K451" s="82">
        <f>G451</f>
        <v>46.31</v>
      </c>
      <c r="L451" s="82"/>
      <c r="M451" s="82"/>
      <c r="N451" s="86"/>
    </row>
    <row r="452" spans="2:14" ht="14.45" customHeight="1" x14ac:dyDescent="0.25">
      <c r="B452" s="56">
        <v>1.6</v>
      </c>
      <c r="C452" s="60" t="s">
        <v>148</v>
      </c>
      <c r="D452" s="52"/>
      <c r="E452" s="64"/>
      <c r="F452" s="105"/>
      <c r="G452" s="99"/>
      <c r="H452" s="64"/>
      <c r="I452" s="105"/>
      <c r="J452" s="99">
        <f>'BOLETIM DE MEDIÇÃO 11'!S74-'MEMORIAL DE CALCULO 10'!K452</f>
        <v>0</v>
      </c>
      <c r="K452" s="82"/>
      <c r="L452" s="82"/>
      <c r="M452" s="82"/>
      <c r="N452" s="86"/>
    </row>
    <row r="453" spans="2:14" ht="56.25" x14ac:dyDescent="0.25">
      <c r="B453" s="49" t="s">
        <v>152</v>
      </c>
      <c r="C453" s="57">
        <v>87548</v>
      </c>
      <c r="D453" s="52" t="s">
        <v>154</v>
      </c>
      <c r="E453" s="64" t="s">
        <v>17</v>
      </c>
      <c r="F453" s="105"/>
      <c r="G453" s="99"/>
      <c r="H453" s="64"/>
      <c r="I453" s="105"/>
      <c r="J453" s="99">
        <f>'BOLETIM DE MEDIÇÃO 11'!S75-'MEMORIAL DE CALCULO 10'!K453</f>
        <v>-697.98</v>
      </c>
      <c r="K453" s="81">
        <f>K454</f>
        <v>697.98</v>
      </c>
      <c r="L453" s="82">
        <f t="shared" si="0"/>
        <v>0</v>
      </c>
      <c r="M453" s="82">
        <f>'BOLETIM DE MEDIÇÃO 05'!G62</f>
        <v>997.11</v>
      </c>
      <c r="N453" s="86">
        <f t="shared" si="1"/>
        <v>997.11</v>
      </c>
    </row>
    <row r="454" spans="2:14" x14ac:dyDescent="0.25">
      <c r="B454" s="49"/>
      <c r="C454" s="57"/>
      <c r="D454" s="344" t="s">
        <v>972</v>
      </c>
      <c r="E454" s="64"/>
      <c r="F454" s="105">
        <v>1</v>
      </c>
      <c r="G454" s="471">
        <v>697.98</v>
      </c>
      <c r="H454" s="473"/>
      <c r="I454" s="474"/>
      <c r="J454" s="99">
        <f>'BOLETIM DE MEDIÇÃO 11'!S76-'MEMORIAL DE CALCULO 10'!K454</f>
        <v>-697.98</v>
      </c>
      <c r="K454" s="82">
        <f>F454*G454</f>
        <v>697.98</v>
      </c>
      <c r="L454" s="82"/>
      <c r="M454" s="82"/>
      <c r="N454" s="86"/>
    </row>
    <row r="455" spans="2:14" x14ac:dyDescent="0.25">
      <c r="B455" s="49"/>
      <c r="C455" s="57"/>
      <c r="D455" s="344"/>
      <c r="E455" s="64"/>
      <c r="F455" s="105"/>
      <c r="G455" s="374"/>
      <c r="H455" s="374"/>
      <c r="I455" s="318"/>
      <c r="J455" s="99">
        <f>'BOLETIM DE MEDIÇÃO 11'!S77-'MEMORIAL DE CALCULO 10'!K455</f>
        <v>0</v>
      </c>
      <c r="K455" s="82"/>
      <c r="L455" s="82"/>
      <c r="M455" s="82"/>
      <c r="N455" s="86"/>
    </row>
    <row r="456" spans="2:14" ht="56.25" x14ac:dyDescent="0.25">
      <c r="B456" s="49" t="s">
        <v>155</v>
      </c>
      <c r="C456" s="57">
        <v>87536</v>
      </c>
      <c r="D456" s="52" t="s">
        <v>157</v>
      </c>
      <c r="E456" s="64" t="s">
        <v>17</v>
      </c>
      <c r="F456" s="105"/>
      <c r="G456" s="374"/>
      <c r="H456" s="374"/>
      <c r="I456" s="318"/>
      <c r="J456" s="99">
        <f>'BOLETIM DE MEDIÇÃO 11'!S78-'MEMORIAL DE CALCULO 10'!K456</f>
        <v>-351.87</v>
      </c>
      <c r="K456" s="81">
        <f>K457</f>
        <v>351.87</v>
      </c>
      <c r="L456" s="82">
        <f>J456+K456</f>
        <v>0</v>
      </c>
      <c r="M456" s="82">
        <f>'BOLETIM DE MEDIÇÃO 11'!G63</f>
        <v>351.87</v>
      </c>
      <c r="N456" s="86">
        <f>M456-L456</f>
        <v>351.87</v>
      </c>
    </row>
    <row r="457" spans="2:14" x14ac:dyDescent="0.25">
      <c r="B457" s="49"/>
      <c r="C457" s="57"/>
      <c r="D457" s="344" t="s">
        <v>972</v>
      </c>
      <c r="E457" s="64"/>
      <c r="F457" s="105">
        <v>1</v>
      </c>
      <c r="G457" s="471">
        <v>351.87</v>
      </c>
      <c r="H457" s="473"/>
      <c r="I457" s="474"/>
      <c r="J457" s="99">
        <f>'BOLETIM DE MEDIÇÃO 11'!S79-'MEMORIAL DE CALCULO 10'!K457</f>
        <v>-351.87</v>
      </c>
      <c r="K457" s="82">
        <f>F457*G457</f>
        <v>351.87</v>
      </c>
      <c r="L457" s="82"/>
      <c r="M457" s="82"/>
      <c r="N457" s="86"/>
    </row>
    <row r="458" spans="2:14" x14ac:dyDescent="0.25">
      <c r="B458" s="49"/>
      <c r="C458" s="57"/>
      <c r="D458" s="344"/>
      <c r="E458" s="64"/>
      <c r="F458" s="105"/>
      <c r="G458" s="374"/>
      <c r="H458" s="374"/>
      <c r="I458" s="318"/>
      <c r="J458" s="99">
        <f>'BOLETIM DE MEDIÇÃO 11'!S80-'MEMORIAL DE CALCULO 10'!K458</f>
        <v>0</v>
      </c>
      <c r="K458" s="82"/>
      <c r="L458" s="82"/>
      <c r="M458" s="82"/>
      <c r="N458" s="86"/>
    </row>
    <row r="459" spans="2:14" x14ac:dyDescent="0.25">
      <c r="B459" s="347" t="s">
        <v>208</v>
      </c>
      <c r="C459" s="348" t="s">
        <v>209</v>
      </c>
      <c r="D459" s="344"/>
      <c r="E459" s="64"/>
      <c r="F459" s="105"/>
      <c r="G459" s="374"/>
      <c r="H459" s="374"/>
      <c r="I459" s="318"/>
      <c r="J459" s="99"/>
      <c r="K459" s="82"/>
      <c r="L459" s="82"/>
      <c r="M459" s="82"/>
      <c r="N459" s="86"/>
    </row>
    <row r="460" spans="2:14" ht="45" x14ac:dyDescent="0.25">
      <c r="B460" s="203" t="s">
        <v>210</v>
      </c>
      <c r="C460" s="211">
        <v>87894</v>
      </c>
      <c r="D460" s="205" t="s">
        <v>212</v>
      </c>
      <c r="E460" s="64"/>
      <c r="F460" s="105"/>
      <c r="G460" s="374"/>
      <c r="H460" s="374"/>
      <c r="I460" s="318"/>
      <c r="J460" s="99">
        <f>'BOLETIM DE MEDIÇÃO 11'!S82-'MEMORIAL DE CALCULO 10'!K460</f>
        <v>420.44</v>
      </c>
      <c r="K460" s="81">
        <f>K461</f>
        <v>45.930999999999997</v>
      </c>
      <c r="L460" s="82">
        <f>J460+K460</f>
        <v>466.37099999999998</v>
      </c>
      <c r="M460" s="82">
        <f>'BOLETIM DE MEDIÇÃO 11'!G83</f>
        <v>466.37</v>
      </c>
      <c r="N460" s="86">
        <f>M460-L460</f>
        <v>-9.9999999997635314E-4</v>
      </c>
    </row>
    <row r="461" spans="2:14" x14ac:dyDescent="0.25">
      <c r="B461" s="49"/>
      <c r="C461" s="57"/>
      <c r="D461" s="344" t="s">
        <v>1013</v>
      </c>
      <c r="E461" s="64"/>
      <c r="F461" s="105">
        <v>1</v>
      </c>
      <c r="G461" s="471">
        <v>45.930999999999997</v>
      </c>
      <c r="H461" s="473"/>
      <c r="I461" s="474"/>
      <c r="J461" s="99"/>
      <c r="K461" s="82">
        <f>F461*G461</f>
        <v>45.930999999999997</v>
      </c>
      <c r="L461" s="82"/>
      <c r="M461" s="82"/>
      <c r="N461" s="86"/>
    </row>
    <row r="462" spans="2:14" ht="56.25" x14ac:dyDescent="0.25">
      <c r="B462" s="247" t="s">
        <v>213</v>
      </c>
      <c r="C462" s="385">
        <v>104233</v>
      </c>
      <c r="D462" s="386" t="s">
        <v>215</v>
      </c>
      <c r="E462" s="277" t="s">
        <v>17</v>
      </c>
      <c r="F462" s="105"/>
      <c r="G462" s="416"/>
      <c r="H462" s="390"/>
      <c r="I462" s="417"/>
      <c r="J462" s="99">
        <f>'BOLETIM DE MEDIÇÃO 11'!S83-'MEMORIAL DE CALCULO 10'!K462</f>
        <v>278.39999999999998</v>
      </c>
      <c r="K462" s="81">
        <f>SUM(K463:K467)</f>
        <v>187.97049999999999</v>
      </c>
      <c r="L462" s="82">
        <f t="shared" ref="L462" si="17">J462+K462</f>
        <v>466.37049999999999</v>
      </c>
      <c r="M462" s="82">
        <f>'BOLETIM DE MEDIÇÃO 11'!G83</f>
        <v>466.37</v>
      </c>
      <c r="N462" s="86">
        <f t="shared" ref="N462" si="18">M462-L462</f>
        <v>-4.9999999998817657E-4</v>
      </c>
    </row>
    <row r="463" spans="2:14" x14ac:dyDescent="0.25">
      <c r="B463" s="49"/>
      <c r="C463" s="57"/>
      <c r="D463" s="344" t="s">
        <v>1013</v>
      </c>
      <c r="E463" s="64"/>
      <c r="F463" s="105">
        <v>1</v>
      </c>
      <c r="G463" s="471">
        <v>187.97049999999999</v>
      </c>
      <c r="H463" s="473"/>
      <c r="I463" s="474"/>
      <c r="J463" s="99"/>
      <c r="K463" s="82">
        <f>G463</f>
        <v>187.97049999999999</v>
      </c>
      <c r="L463" s="82"/>
      <c r="M463" s="82"/>
      <c r="N463" s="86"/>
    </row>
    <row r="464" spans="2:14" hidden="1" x14ac:dyDescent="0.25">
      <c r="B464" s="49"/>
      <c r="C464" s="57"/>
      <c r="D464" s="319" t="s">
        <v>996</v>
      </c>
      <c r="E464" s="64"/>
      <c r="F464" s="105"/>
      <c r="G464" s="374">
        <v>2.6</v>
      </c>
      <c r="H464" s="374"/>
      <c r="I464" s="105">
        <v>2.1</v>
      </c>
      <c r="J464" s="99"/>
      <c r="K464" s="82">
        <f t="shared" ref="K464:K467" si="19">F464*G464*I464</f>
        <v>0</v>
      </c>
      <c r="L464" s="82"/>
      <c r="M464" s="82"/>
      <c r="N464" s="86"/>
    </row>
    <row r="465" spans="2:14" hidden="1" x14ac:dyDescent="0.25">
      <c r="B465" s="49"/>
      <c r="C465" s="57"/>
      <c r="D465" s="319" t="s">
        <v>997</v>
      </c>
      <c r="E465" s="64"/>
      <c r="F465" s="105"/>
      <c r="G465" s="374">
        <v>0.8</v>
      </c>
      <c r="H465" s="374"/>
      <c r="I465" s="105">
        <v>2.1</v>
      </c>
      <c r="J465" s="99"/>
      <c r="K465" s="82">
        <f t="shared" si="19"/>
        <v>0</v>
      </c>
      <c r="L465" s="82"/>
      <c r="M465" s="82"/>
      <c r="N465" s="86"/>
    </row>
    <row r="466" spans="2:14" hidden="1" x14ac:dyDescent="0.25">
      <c r="B466" s="49"/>
      <c r="C466" s="57"/>
      <c r="D466" s="319" t="s">
        <v>998</v>
      </c>
      <c r="E466" s="64"/>
      <c r="F466" s="105"/>
      <c r="G466" s="374">
        <v>1.5</v>
      </c>
      <c r="H466" s="374"/>
      <c r="I466" s="105">
        <v>1</v>
      </c>
      <c r="J466" s="99"/>
      <c r="K466" s="82">
        <f t="shared" si="19"/>
        <v>0</v>
      </c>
      <c r="L466" s="82"/>
      <c r="M466" s="82"/>
      <c r="N466" s="86"/>
    </row>
    <row r="467" spans="2:14" hidden="1" x14ac:dyDescent="0.25">
      <c r="B467" s="49"/>
      <c r="C467" s="57"/>
      <c r="D467" s="319" t="s">
        <v>999</v>
      </c>
      <c r="E467" s="64"/>
      <c r="F467" s="105"/>
      <c r="G467" s="374">
        <v>1</v>
      </c>
      <c r="H467" s="374"/>
      <c r="I467" s="105">
        <v>0.5</v>
      </c>
      <c r="J467" s="99"/>
      <c r="K467" s="82">
        <f t="shared" si="19"/>
        <v>0</v>
      </c>
      <c r="L467" s="82"/>
      <c r="M467" s="82"/>
      <c r="N467" s="86"/>
    </row>
    <row r="468" spans="2:14" ht="14.45" hidden="1" customHeight="1" x14ac:dyDescent="0.25">
      <c r="B468" s="65">
        <v>1.1000000000000001</v>
      </c>
      <c r="C468" s="65" t="s">
        <v>229</v>
      </c>
      <c r="D468" s="344"/>
      <c r="E468" s="44"/>
      <c r="F468" s="130"/>
      <c r="G468" s="121"/>
      <c r="H468" s="70"/>
      <c r="I468" s="105"/>
      <c r="J468" s="99"/>
      <c r="K468" s="82">
        <f t="shared" ref="K468" si="20">(F468*G468*I468)</f>
        <v>0</v>
      </c>
      <c r="L468" s="82"/>
      <c r="M468" s="82"/>
      <c r="N468" s="86"/>
    </row>
    <row r="469" spans="2:14" ht="33.75" hidden="1" x14ac:dyDescent="0.25">
      <c r="B469" s="384" t="s">
        <v>284</v>
      </c>
      <c r="C469" s="385">
        <v>91834</v>
      </c>
      <c r="D469" s="391" t="s">
        <v>286</v>
      </c>
      <c r="E469" s="245" t="s">
        <v>37</v>
      </c>
      <c r="F469" s="312">
        <v>1</v>
      </c>
      <c r="G469" s="462">
        <v>200</v>
      </c>
      <c r="H469" s="463"/>
      <c r="I469" s="464"/>
      <c r="J469" s="99">
        <f>'BOLETIM DE MEDIÇÃO 11'!S108-'MEMORIAL DE CALCULO 10'!K469</f>
        <v>150</v>
      </c>
      <c r="K469" s="81">
        <f>G469</f>
        <v>200</v>
      </c>
      <c r="L469" s="82">
        <f>J469+K469</f>
        <v>350</v>
      </c>
      <c r="M469" s="82">
        <f>'BOLETIM DE MEDIÇÃO 11'!G108</f>
        <v>830.48</v>
      </c>
      <c r="N469" s="86">
        <f>M469-L469</f>
        <v>480.48</v>
      </c>
    </row>
    <row r="470" spans="2:14" hidden="1" x14ac:dyDescent="0.25">
      <c r="B470" s="384"/>
      <c r="C470" s="385"/>
      <c r="D470" s="393" t="s">
        <v>1001</v>
      </c>
      <c r="E470" s="245"/>
      <c r="F470" s="312"/>
      <c r="G470" s="383"/>
      <c r="H470" s="392"/>
      <c r="I470" s="318"/>
      <c r="J470" s="99"/>
      <c r="K470" s="81"/>
      <c r="L470" s="82"/>
      <c r="M470" s="82"/>
      <c r="N470" s="86"/>
    </row>
    <row r="471" spans="2:14" ht="33.75" hidden="1" x14ac:dyDescent="0.25">
      <c r="B471" s="384" t="s">
        <v>287</v>
      </c>
      <c r="C471" s="385">
        <v>91868</v>
      </c>
      <c r="D471" s="386" t="s">
        <v>289</v>
      </c>
      <c r="E471" s="245" t="s">
        <v>37</v>
      </c>
      <c r="F471" s="312">
        <v>1</v>
      </c>
      <c r="G471" s="462">
        <v>55.97</v>
      </c>
      <c r="H471" s="463"/>
      <c r="I471" s="464"/>
      <c r="J471" s="99">
        <f>'BOLETIM DE MEDIÇÃO 11'!S109-'MEMORIAL DE CALCULO 10'!K471</f>
        <v>0</v>
      </c>
      <c r="K471" s="81">
        <f>F471*G471</f>
        <v>55.97</v>
      </c>
      <c r="L471" s="82">
        <f t="shared" ref="L471" si="21">J471+K471</f>
        <v>55.97</v>
      </c>
      <c r="M471" s="82">
        <f>'BOLETIM DE MEDIÇÃO 11'!G109</f>
        <v>55.97</v>
      </c>
      <c r="N471" s="86">
        <f t="shared" ref="N471:N473" si="22">M471-L471</f>
        <v>0</v>
      </c>
    </row>
    <row r="472" spans="2:14" hidden="1" x14ac:dyDescent="0.25">
      <c r="B472" s="384"/>
      <c r="C472" s="385"/>
      <c r="D472" s="393" t="s">
        <v>1001</v>
      </c>
      <c r="E472" s="245"/>
      <c r="F472" s="312"/>
      <c r="G472" s="383"/>
      <c r="H472" s="383"/>
      <c r="I472" s="316"/>
      <c r="J472" s="99"/>
      <c r="K472" s="81"/>
      <c r="L472" s="82"/>
      <c r="M472" s="82"/>
      <c r="N472" s="86"/>
    </row>
    <row r="473" spans="2:14" ht="33.75" hidden="1" x14ac:dyDescent="0.25">
      <c r="B473" s="384" t="s">
        <v>290</v>
      </c>
      <c r="C473" s="385">
        <v>91867</v>
      </c>
      <c r="D473" s="386" t="s">
        <v>292</v>
      </c>
      <c r="E473" s="245" t="s">
        <v>37</v>
      </c>
      <c r="F473" s="312">
        <v>1</v>
      </c>
      <c r="G473" s="462">
        <v>36.19</v>
      </c>
      <c r="H473" s="463"/>
      <c r="I473" s="464"/>
      <c r="J473" s="99">
        <f>'BOLETIM DE MEDIÇÃO 11'!S110-'MEMORIAL DE CALCULO 10'!K473</f>
        <v>0</v>
      </c>
      <c r="K473" s="81">
        <f>G473</f>
        <v>36.19</v>
      </c>
      <c r="L473" s="82">
        <f>J473+K473</f>
        <v>36.19</v>
      </c>
      <c r="M473" s="82">
        <f>'BOLETIM DE MEDIÇÃO 11'!G110</f>
        <v>36.19</v>
      </c>
      <c r="N473" s="86">
        <f t="shared" si="22"/>
        <v>0</v>
      </c>
    </row>
    <row r="474" spans="2:14" hidden="1" x14ac:dyDescent="0.25">
      <c r="B474" s="384"/>
      <c r="C474" s="385"/>
      <c r="D474" s="393" t="s">
        <v>1001</v>
      </c>
      <c r="E474" s="245"/>
      <c r="F474" s="312"/>
      <c r="G474" s="121"/>
      <c r="H474" s="70"/>
      <c r="I474" s="105"/>
      <c r="J474" s="99"/>
      <c r="K474" s="82"/>
      <c r="L474" s="82"/>
      <c r="M474" s="82"/>
      <c r="N474" s="86"/>
    </row>
    <row r="475" spans="2:14" hidden="1" x14ac:dyDescent="0.25">
      <c r="B475" s="347" t="s">
        <v>312</v>
      </c>
      <c r="C475" s="349" t="s">
        <v>313</v>
      </c>
      <c r="D475" s="53"/>
      <c r="E475" s="69"/>
      <c r="F475" s="312"/>
      <c r="G475" s="121"/>
      <c r="H475" s="70"/>
      <c r="I475" s="105"/>
      <c r="J475" s="99"/>
      <c r="K475" s="82"/>
      <c r="L475" s="82"/>
      <c r="M475" s="82"/>
      <c r="N475" s="86"/>
    </row>
    <row r="476" spans="2:14" ht="22.5" hidden="1" x14ac:dyDescent="0.25">
      <c r="B476" s="50" t="s">
        <v>314</v>
      </c>
      <c r="C476" s="66">
        <v>96620</v>
      </c>
      <c r="D476" s="53" t="s">
        <v>316</v>
      </c>
      <c r="E476" s="217" t="s">
        <v>41</v>
      </c>
      <c r="F476" s="312"/>
      <c r="G476" s="121"/>
      <c r="H476" s="70"/>
      <c r="I476" s="105"/>
      <c r="J476" s="99">
        <f>'BOLETIM DE MEDIÇÃO 11'!S119-'MEMORIAL DE CALCULO 10'!K476</f>
        <v>10.199999999999999</v>
      </c>
      <c r="K476" s="81">
        <f>K477</f>
        <v>21.53</v>
      </c>
      <c r="L476" s="82">
        <f>J476+K476</f>
        <v>31.73</v>
      </c>
      <c r="M476" s="82">
        <f>'BOLETIM DE MEDIÇÃO 11'!G119</f>
        <v>35.340000000000003</v>
      </c>
      <c r="N476" s="86">
        <f>M476-L476</f>
        <v>3.610000000000003</v>
      </c>
    </row>
    <row r="477" spans="2:14" hidden="1" x14ac:dyDescent="0.25">
      <c r="B477" s="50"/>
      <c r="C477" s="66"/>
      <c r="D477" s="187" t="s">
        <v>994</v>
      </c>
      <c r="E477" s="69"/>
      <c r="F477" s="312"/>
      <c r="G477" s="462">
        <v>21.53</v>
      </c>
      <c r="H477" s="463"/>
      <c r="I477" s="464"/>
      <c r="J477" s="99"/>
      <c r="K477" s="82">
        <f>G477</f>
        <v>21.53</v>
      </c>
      <c r="L477" s="82"/>
      <c r="M477" s="82"/>
      <c r="N477" s="86"/>
    </row>
    <row r="478" spans="2:14" ht="67.5" hidden="1" x14ac:dyDescent="0.25">
      <c r="B478" s="384" t="s">
        <v>317</v>
      </c>
      <c r="C478" s="385">
        <v>94439</v>
      </c>
      <c r="D478" s="386" t="s">
        <v>319</v>
      </c>
      <c r="E478" s="277" t="s">
        <v>17</v>
      </c>
      <c r="F478" s="312"/>
      <c r="G478" s="121"/>
      <c r="H478" s="70"/>
      <c r="I478" s="105"/>
      <c r="J478" s="99">
        <f>'BOLETIM DE MEDIÇÃO 11'!S120</f>
        <v>116.27</v>
      </c>
      <c r="K478" s="81">
        <f>SUM(K479:K483)</f>
        <v>116.27</v>
      </c>
      <c r="L478" s="82">
        <f t="shared" ref="L478" si="23">J478+K478</f>
        <v>232.54</v>
      </c>
      <c r="M478" s="82">
        <f>'BOLETIM DE MEDIÇÃO 11'!G121</f>
        <v>634.5</v>
      </c>
      <c r="N478" s="86">
        <f>M478-L478</f>
        <v>401.96000000000004</v>
      </c>
    </row>
    <row r="479" spans="2:14" hidden="1" x14ac:dyDescent="0.25">
      <c r="B479" s="50"/>
      <c r="C479" s="66"/>
      <c r="D479" s="319" t="s">
        <v>846</v>
      </c>
      <c r="E479" s="69"/>
      <c r="F479" s="312">
        <v>1</v>
      </c>
      <c r="G479" s="462">
        <v>27</v>
      </c>
      <c r="H479" s="463"/>
      <c r="I479" s="464"/>
      <c r="J479" s="99"/>
      <c r="K479" s="82">
        <f>F479*G479</f>
        <v>27</v>
      </c>
      <c r="L479" s="82"/>
      <c r="M479" s="82"/>
      <c r="N479" s="86"/>
    </row>
    <row r="480" spans="2:14" hidden="1" x14ac:dyDescent="0.25">
      <c r="B480" s="50"/>
      <c r="C480" s="66"/>
      <c r="D480" s="319" t="s">
        <v>842</v>
      </c>
      <c r="E480" s="69"/>
      <c r="F480" s="312">
        <v>1</v>
      </c>
      <c r="G480" s="462">
        <v>26</v>
      </c>
      <c r="H480" s="463"/>
      <c r="I480" s="464"/>
      <c r="J480" s="99"/>
      <c r="K480" s="82">
        <f t="shared" ref="K480:K483" si="24">F480*G480</f>
        <v>26</v>
      </c>
      <c r="L480" s="82"/>
      <c r="M480" s="82"/>
      <c r="N480" s="86"/>
    </row>
    <row r="481" spans="2:14" hidden="1" x14ac:dyDescent="0.25">
      <c r="B481" s="50"/>
      <c r="C481" s="66"/>
      <c r="D481" s="319" t="s">
        <v>856</v>
      </c>
      <c r="E481" s="69"/>
      <c r="F481" s="312">
        <v>1</v>
      </c>
      <c r="G481" s="462">
        <v>30</v>
      </c>
      <c r="H481" s="463"/>
      <c r="I481" s="464"/>
      <c r="J481" s="99"/>
      <c r="K481" s="82">
        <f t="shared" si="24"/>
        <v>30</v>
      </c>
      <c r="L481" s="82"/>
      <c r="M481" s="82"/>
      <c r="N481" s="86"/>
    </row>
    <row r="482" spans="2:14" hidden="1" x14ac:dyDescent="0.25">
      <c r="B482" s="50"/>
      <c r="C482" s="66"/>
      <c r="D482" s="319" t="s">
        <v>981</v>
      </c>
      <c r="E482" s="69"/>
      <c r="F482" s="312">
        <v>1</v>
      </c>
      <c r="G482" s="462">
        <v>30</v>
      </c>
      <c r="H482" s="463"/>
      <c r="I482" s="464"/>
      <c r="J482" s="99"/>
      <c r="K482" s="82">
        <f t="shared" si="24"/>
        <v>30</v>
      </c>
      <c r="L482" s="82"/>
      <c r="M482" s="82"/>
      <c r="N482" s="86"/>
    </row>
    <row r="483" spans="2:14" hidden="1" x14ac:dyDescent="0.25">
      <c r="B483" s="50"/>
      <c r="C483" s="66"/>
      <c r="D483" s="319" t="s">
        <v>861</v>
      </c>
      <c r="E483" s="69"/>
      <c r="F483" s="312">
        <v>1</v>
      </c>
      <c r="G483" s="462">
        <v>3.27</v>
      </c>
      <c r="H483" s="463"/>
      <c r="I483" s="464"/>
      <c r="J483" s="99"/>
      <c r="K483" s="82">
        <f t="shared" si="24"/>
        <v>3.27</v>
      </c>
      <c r="L483" s="82"/>
      <c r="M483" s="82"/>
      <c r="N483" s="86"/>
    </row>
    <row r="484" spans="2:14" hidden="1" x14ac:dyDescent="0.25">
      <c r="B484" s="212">
        <v>1.1299999999999999</v>
      </c>
      <c r="C484" s="539" t="s">
        <v>368</v>
      </c>
      <c r="D484" s="540"/>
      <c r="E484" s="69"/>
      <c r="F484" s="312"/>
      <c r="G484" s="121"/>
      <c r="H484" s="70"/>
      <c r="I484" s="105"/>
      <c r="J484" s="99"/>
      <c r="K484" s="82"/>
      <c r="L484" s="82"/>
      <c r="M484" s="82"/>
      <c r="N484" s="86"/>
    </row>
    <row r="485" spans="2:14" ht="56.25" hidden="1" x14ac:dyDescent="0.25">
      <c r="B485" s="203" t="s">
        <v>369</v>
      </c>
      <c r="C485" s="211">
        <v>91785</v>
      </c>
      <c r="D485" s="205" t="s">
        <v>371</v>
      </c>
      <c r="E485" s="217" t="s">
        <v>37</v>
      </c>
      <c r="F485" s="312"/>
      <c r="G485" s="121"/>
      <c r="H485" s="70"/>
      <c r="I485" s="105"/>
      <c r="J485" s="99">
        <f>'BOLETIM DE MEDIÇÃO 11'!S138-'MEMORIAL DE CALCULO 10'!K485</f>
        <v>0</v>
      </c>
      <c r="K485" s="81">
        <f>K486</f>
        <v>98.77</v>
      </c>
      <c r="L485" s="82">
        <f>J485+K485</f>
        <v>98.77</v>
      </c>
      <c r="M485" s="206">
        <v>98.77</v>
      </c>
      <c r="N485" s="86">
        <f t="shared" ref="N485:N542" si="25">M485-L485</f>
        <v>0</v>
      </c>
    </row>
    <row r="486" spans="2:14" hidden="1" x14ac:dyDescent="0.25">
      <c r="B486" s="203"/>
      <c r="C486" s="211"/>
      <c r="D486" s="377" t="s">
        <v>1004</v>
      </c>
      <c r="E486" s="217"/>
      <c r="F486" s="312">
        <v>1</v>
      </c>
      <c r="G486" s="462">
        <f>98.77</f>
        <v>98.77</v>
      </c>
      <c r="H486" s="463"/>
      <c r="I486" s="464"/>
      <c r="J486" s="99"/>
      <c r="K486" s="82">
        <f>G486</f>
        <v>98.77</v>
      </c>
      <c r="L486" s="82"/>
      <c r="M486" s="206"/>
      <c r="N486" s="86">
        <f t="shared" si="25"/>
        <v>0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5"/>
        <v>0</v>
      </c>
    </row>
    <row r="488" spans="2:14" ht="56.25" hidden="1" x14ac:dyDescent="0.25">
      <c r="B488" s="203" t="s">
        <v>372</v>
      </c>
      <c r="C488" s="211">
        <v>91784</v>
      </c>
      <c r="D488" s="205" t="s">
        <v>374</v>
      </c>
      <c r="E488" s="217" t="s">
        <v>37</v>
      </c>
      <c r="F488" s="312"/>
      <c r="G488" s="121"/>
      <c r="H488" s="70"/>
      <c r="I488" s="105"/>
      <c r="J488" s="99">
        <f>'BOLETIM DE MEDIÇÃO 11'!S139-'MEMORIAL DE CALCULO 10'!K488</f>
        <v>0</v>
      </c>
      <c r="K488" s="81">
        <f>K489</f>
        <v>62.17</v>
      </c>
      <c r="L488" s="82">
        <f t="shared" ref="L488:L547" si="26">J488+K488</f>
        <v>62.17</v>
      </c>
      <c r="M488" s="206">
        <v>62.17</v>
      </c>
      <c r="N488" s="86">
        <f t="shared" si="25"/>
        <v>0</v>
      </c>
    </row>
    <row r="489" spans="2:14" hidden="1" x14ac:dyDescent="0.25">
      <c r="B489" s="203"/>
      <c r="C489" s="211"/>
      <c r="D489" s="377" t="s">
        <v>1004</v>
      </c>
      <c r="E489" s="217"/>
      <c r="F489" s="312">
        <v>1</v>
      </c>
      <c r="G489" s="462">
        <f>62.17</f>
        <v>62.17</v>
      </c>
      <c r="H489" s="463"/>
      <c r="I489" s="464"/>
      <c r="J489" s="99"/>
      <c r="K489" s="82">
        <f>G489</f>
        <v>62.17</v>
      </c>
      <c r="L489" s="82"/>
      <c r="M489" s="206"/>
      <c r="N489" s="86">
        <f t="shared" si="25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5"/>
        <v>0</v>
      </c>
    </row>
    <row r="491" spans="2:14" ht="56.25" hidden="1" x14ac:dyDescent="0.25">
      <c r="B491" s="203" t="s">
        <v>375</v>
      </c>
      <c r="C491" s="211">
        <v>91786</v>
      </c>
      <c r="D491" s="205" t="s">
        <v>377</v>
      </c>
      <c r="E491" s="217" t="s">
        <v>37</v>
      </c>
      <c r="F491" s="312"/>
      <c r="G491" s="121"/>
      <c r="H491" s="70"/>
      <c r="I491" s="105"/>
      <c r="J491" s="99">
        <f>'BOLETIM DE MEDIÇÃO 11'!S140-'MEMORIAL DE CALCULO 10'!K491</f>
        <v>17.324999999999999</v>
      </c>
      <c r="K491" s="81">
        <f>K492</f>
        <v>7.4249999999999998</v>
      </c>
      <c r="L491" s="82">
        <f t="shared" si="26"/>
        <v>24.75</v>
      </c>
      <c r="M491" s="206">
        <v>24.75</v>
      </c>
      <c r="N491" s="86">
        <f t="shared" si="25"/>
        <v>0</v>
      </c>
    </row>
    <row r="492" spans="2:14" hidden="1" x14ac:dyDescent="0.25">
      <c r="B492" s="203"/>
      <c r="C492" s="211"/>
      <c r="D492" s="377" t="s">
        <v>984</v>
      </c>
      <c r="E492" s="217"/>
      <c r="F492" s="312">
        <v>1</v>
      </c>
      <c r="G492" s="462">
        <f>0.3*24.75</f>
        <v>7.4249999999999998</v>
      </c>
      <c r="H492" s="463"/>
      <c r="I492" s="464"/>
      <c r="J492" s="99"/>
      <c r="K492" s="82">
        <f>G492</f>
        <v>7.4249999999999998</v>
      </c>
      <c r="L492" s="82"/>
      <c r="M492" s="206"/>
      <c r="N492" s="86">
        <f t="shared" si="25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5"/>
        <v>0</v>
      </c>
    </row>
    <row r="494" spans="2:14" ht="56.25" hidden="1" x14ac:dyDescent="0.25">
      <c r="B494" s="203" t="s">
        <v>378</v>
      </c>
      <c r="C494" s="211">
        <v>91787</v>
      </c>
      <c r="D494" s="205" t="s">
        <v>380</v>
      </c>
      <c r="E494" s="217" t="s">
        <v>37</v>
      </c>
      <c r="F494" s="312"/>
      <c r="G494" s="121"/>
      <c r="H494" s="70"/>
      <c r="I494" s="105"/>
      <c r="J494" s="99">
        <f>'BOLETIM DE MEDIÇÃO 11'!S141-'MEMORIAL DE CALCULO 10'!K494</f>
        <v>18.144000000000002</v>
      </c>
      <c r="K494" s="81">
        <f>K495</f>
        <v>7.7759999999999998</v>
      </c>
      <c r="L494" s="82">
        <f t="shared" si="26"/>
        <v>25.92</v>
      </c>
      <c r="M494" s="206">
        <v>25.92</v>
      </c>
      <c r="N494" s="86">
        <f t="shared" si="25"/>
        <v>0</v>
      </c>
    </row>
    <row r="495" spans="2:14" hidden="1" x14ac:dyDescent="0.25">
      <c r="B495" s="203"/>
      <c r="C495" s="211"/>
      <c r="D495" s="377" t="s">
        <v>984</v>
      </c>
      <c r="E495" s="217"/>
      <c r="F495" s="312">
        <v>1</v>
      </c>
      <c r="G495" s="462">
        <f>0.3*25.92</f>
        <v>7.7759999999999998</v>
      </c>
      <c r="H495" s="463"/>
      <c r="I495" s="464"/>
      <c r="J495" s="99"/>
      <c r="K495" s="82">
        <f>G495</f>
        <v>7.7759999999999998</v>
      </c>
      <c r="L495" s="82"/>
      <c r="M495" s="206"/>
      <c r="N495" s="86">
        <f t="shared" si="25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5"/>
        <v>0</v>
      </c>
    </row>
    <row r="497" spans="2:14" ht="33.75" hidden="1" x14ac:dyDescent="0.25">
      <c r="B497" s="203" t="s">
        <v>381</v>
      </c>
      <c r="C497" s="211">
        <v>89987</v>
      </c>
      <c r="D497" s="205" t="s">
        <v>383</v>
      </c>
      <c r="E497" s="217" t="s">
        <v>166</v>
      </c>
      <c r="F497" s="312"/>
      <c r="G497" s="121"/>
      <c r="H497" s="70"/>
      <c r="I497" s="105"/>
      <c r="J497" s="99">
        <f>'BOLETIM DE MEDIÇÃO 11'!S142-'MEMORIAL DE CALCULO 10'!K497</f>
        <v>7</v>
      </c>
      <c r="K497" s="81">
        <f>K498</f>
        <v>3</v>
      </c>
      <c r="L497" s="82">
        <f t="shared" si="26"/>
        <v>10</v>
      </c>
      <c r="M497" s="206">
        <v>10</v>
      </c>
      <c r="N497" s="86">
        <f t="shared" si="25"/>
        <v>0</v>
      </c>
    </row>
    <row r="498" spans="2:14" hidden="1" x14ac:dyDescent="0.25">
      <c r="B498" s="203"/>
      <c r="C498" s="211"/>
      <c r="D498" s="377" t="s">
        <v>984</v>
      </c>
      <c r="E498" s="217"/>
      <c r="F498" s="312">
        <v>1</v>
      </c>
      <c r="G498" s="462">
        <f>0.3*10</f>
        <v>3</v>
      </c>
      <c r="H498" s="463"/>
      <c r="I498" s="464"/>
      <c r="J498" s="99"/>
      <c r="K498" s="82">
        <f>G498</f>
        <v>3</v>
      </c>
      <c r="L498" s="82"/>
      <c r="M498" s="206"/>
      <c r="N498" s="86">
        <f t="shared" si="25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25"/>
        <v>0</v>
      </c>
    </row>
    <row r="500" spans="2:14" ht="22.5" hidden="1" x14ac:dyDescent="0.25">
      <c r="B500" s="203" t="s">
        <v>384</v>
      </c>
      <c r="C500" s="211">
        <v>94490</v>
      </c>
      <c r="D500" s="205" t="s">
        <v>386</v>
      </c>
      <c r="E500" s="217" t="s">
        <v>166</v>
      </c>
      <c r="F500" s="312"/>
      <c r="G500" s="121"/>
      <c r="H500" s="70"/>
      <c r="I500" s="105"/>
      <c r="J500" s="99">
        <f>'BOLETIM DE MEDIÇÃO 11'!S143-'MEMORIAL DE CALCULO 10'!K500</f>
        <v>-1</v>
      </c>
      <c r="K500" s="81">
        <f>K501</f>
        <v>1</v>
      </c>
      <c r="L500" s="82">
        <f t="shared" si="26"/>
        <v>0</v>
      </c>
      <c r="M500" s="206">
        <v>2</v>
      </c>
      <c r="N500" s="86">
        <f t="shared" si="25"/>
        <v>2</v>
      </c>
    </row>
    <row r="501" spans="2:14" hidden="1" x14ac:dyDescent="0.25">
      <c r="B501" s="203"/>
      <c r="C501" s="211"/>
      <c r="D501" s="377" t="s">
        <v>983</v>
      </c>
      <c r="E501" s="217"/>
      <c r="F501" s="312">
        <v>1</v>
      </c>
      <c r="G501" s="462">
        <v>1</v>
      </c>
      <c r="H501" s="463"/>
      <c r="I501" s="464"/>
      <c r="J501" s="99"/>
      <c r="K501" s="82">
        <v>1</v>
      </c>
      <c r="L501" s="82"/>
      <c r="M501" s="206"/>
      <c r="N501" s="86">
        <f t="shared" si="25"/>
        <v>0</v>
      </c>
    </row>
    <row r="502" spans="2:14" hidden="1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>
        <f t="shared" si="25"/>
        <v>0</v>
      </c>
    </row>
    <row r="503" spans="2:14" ht="33.75" hidden="1" x14ac:dyDescent="0.25">
      <c r="B503" s="203" t="s">
        <v>387</v>
      </c>
      <c r="C503" s="211">
        <v>89985</v>
      </c>
      <c r="D503" s="205" t="s">
        <v>389</v>
      </c>
      <c r="E503" s="217" t="s">
        <v>166</v>
      </c>
      <c r="F503" s="312"/>
      <c r="G503" s="121"/>
      <c r="H503" s="70"/>
      <c r="I503" s="105"/>
      <c r="J503" s="99">
        <f>'BOLETIM DE MEDIÇÃO 11'!S144-'MEMORIAL DE CALCULO 10'!K503</f>
        <v>3</v>
      </c>
      <c r="K503" s="81">
        <f>K504</f>
        <v>3</v>
      </c>
      <c r="L503" s="82">
        <f t="shared" si="26"/>
        <v>6</v>
      </c>
      <c r="M503" s="206">
        <v>6</v>
      </c>
      <c r="N503" s="86">
        <f t="shared" si="25"/>
        <v>0</v>
      </c>
    </row>
    <row r="504" spans="2:14" hidden="1" x14ac:dyDescent="0.25">
      <c r="B504" s="203"/>
      <c r="C504" s="211"/>
      <c r="D504" s="377" t="s">
        <v>983</v>
      </c>
      <c r="E504" s="217"/>
      <c r="F504" s="312">
        <v>1</v>
      </c>
      <c r="G504" s="462">
        <v>3</v>
      </c>
      <c r="H504" s="463"/>
      <c r="I504" s="464"/>
      <c r="J504" s="99"/>
      <c r="K504" s="82">
        <f>G504</f>
        <v>3</v>
      </c>
      <c r="L504" s="82"/>
      <c r="M504" s="206"/>
      <c r="N504" s="86">
        <f t="shared" si="25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5"/>
        <v>0</v>
      </c>
    </row>
    <row r="506" spans="2:14" ht="33.75" hidden="1" x14ac:dyDescent="0.25">
      <c r="B506" s="203" t="s">
        <v>390</v>
      </c>
      <c r="C506" s="211">
        <v>102613</v>
      </c>
      <c r="D506" s="205" t="s">
        <v>392</v>
      </c>
      <c r="E506" s="217" t="s">
        <v>166</v>
      </c>
      <c r="F506" s="312"/>
      <c r="G506" s="121"/>
      <c r="H506" s="70"/>
      <c r="I506" s="105"/>
      <c r="J506" s="99">
        <f>'BOLETIM DE MEDIÇÃO 11'!S145-'MEMORIAL DE CALCULO 10'!K506</f>
        <v>2</v>
      </c>
      <c r="K506" s="82"/>
      <c r="L506" s="82">
        <f t="shared" si="26"/>
        <v>2</v>
      </c>
      <c r="M506" s="206">
        <v>2</v>
      </c>
      <c r="N506" s="86">
        <f t="shared" si="25"/>
        <v>0</v>
      </c>
    </row>
    <row r="507" spans="2:14" hidden="1" x14ac:dyDescent="0.25">
      <c r="B507" s="203"/>
      <c r="C507" s="211"/>
      <c r="D507" s="205"/>
      <c r="E507" s="217"/>
      <c r="F507" s="312"/>
      <c r="G507" s="121"/>
      <c r="H507" s="70"/>
      <c r="I507" s="105"/>
      <c r="J507" s="99"/>
      <c r="K507" s="82"/>
      <c r="L507" s="82"/>
      <c r="M507" s="206"/>
      <c r="N507" s="86">
        <f t="shared" si="25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25"/>
        <v>0</v>
      </c>
    </row>
    <row r="509" spans="2:14" ht="22.5" hidden="1" x14ac:dyDescent="0.25">
      <c r="B509" s="203" t="s">
        <v>393</v>
      </c>
      <c r="C509" s="211">
        <v>102609</v>
      </c>
      <c r="D509" s="205" t="s">
        <v>395</v>
      </c>
      <c r="E509" s="217" t="s">
        <v>166</v>
      </c>
      <c r="F509" s="312"/>
      <c r="G509" s="121"/>
      <c r="H509" s="70"/>
      <c r="I509" s="105"/>
      <c r="J509" s="99">
        <f>'BOLETIM DE MEDIÇÃO 11'!S146-'MEMORIAL DE CALCULO 10'!K509</f>
        <v>2</v>
      </c>
      <c r="K509" s="82"/>
      <c r="L509" s="82">
        <f t="shared" si="26"/>
        <v>2</v>
      </c>
      <c r="M509" s="206">
        <v>2</v>
      </c>
      <c r="N509" s="86">
        <f t="shared" si="25"/>
        <v>0</v>
      </c>
    </row>
    <row r="510" spans="2:14" hidden="1" x14ac:dyDescent="0.25">
      <c r="B510" s="203"/>
      <c r="C510" s="211"/>
      <c r="D510" s="205"/>
      <c r="E510" s="217"/>
      <c r="F510" s="312"/>
      <c r="G510" s="121"/>
      <c r="H510" s="70"/>
      <c r="I510" s="105"/>
      <c r="J510" s="99"/>
      <c r="K510" s="82"/>
      <c r="L510" s="82"/>
      <c r="M510" s="206"/>
      <c r="N510" s="86">
        <f t="shared" si="25"/>
        <v>0</v>
      </c>
    </row>
    <row r="511" spans="2:14" hidden="1" x14ac:dyDescent="0.25">
      <c r="B511" s="203"/>
      <c r="C511" s="211"/>
      <c r="D511" s="205"/>
      <c r="E511" s="217"/>
      <c r="F511" s="312"/>
      <c r="G511" s="121"/>
      <c r="H511" s="70"/>
      <c r="I511" s="105"/>
      <c r="J511" s="99"/>
      <c r="K511" s="82"/>
      <c r="L511" s="82"/>
      <c r="M511" s="206"/>
      <c r="N511" s="86">
        <f t="shared" si="25"/>
        <v>0</v>
      </c>
    </row>
    <row r="512" spans="2:14" ht="22.5" hidden="1" x14ac:dyDescent="0.25">
      <c r="B512" s="203" t="s">
        <v>396</v>
      </c>
      <c r="C512" s="211">
        <v>94796</v>
      </c>
      <c r="D512" s="205" t="s">
        <v>398</v>
      </c>
      <c r="E512" s="217" t="s">
        <v>166</v>
      </c>
      <c r="F512" s="312"/>
      <c r="G512" s="121"/>
      <c r="H512" s="70"/>
      <c r="I512" s="105"/>
      <c r="J512" s="99">
        <f>'BOLETIM DE MEDIÇÃO 11'!S147-'MEMORIAL DE CALCULO 10'!K512</f>
        <v>0</v>
      </c>
      <c r="K512" s="82"/>
      <c r="L512" s="82">
        <f t="shared" si="26"/>
        <v>0</v>
      </c>
      <c r="M512" s="206">
        <v>4</v>
      </c>
      <c r="N512" s="86">
        <f t="shared" si="25"/>
        <v>4</v>
      </c>
    </row>
    <row r="513" spans="2:14" hidden="1" x14ac:dyDescent="0.25">
      <c r="B513" s="203"/>
      <c r="C513" s="211"/>
      <c r="D513" s="205"/>
      <c r="E513" s="217"/>
      <c r="F513" s="312"/>
      <c r="G513" s="121"/>
      <c r="H513" s="70"/>
      <c r="I513" s="105"/>
      <c r="J513" s="99"/>
      <c r="K513" s="82"/>
      <c r="L513" s="82"/>
      <c r="M513" s="206"/>
      <c r="N513" s="86">
        <f t="shared" si="25"/>
        <v>0</v>
      </c>
    </row>
    <row r="514" spans="2:14" hidden="1" x14ac:dyDescent="0.25">
      <c r="B514" s="203"/>
      <c r="C514" s="211"/>
      <c r="D514" s="205"/>
      <c r="E514" s="217"/>
      <c r="F514" s="312"/>
      <c r="G514" s="121"/>
      <c r="H514" s="70"/>
      <c r="I514" s="105"/>
      <c r="J514" s="99"/>
      <c r="K514" s="82"/>
      <c r="L514" s="82"/>
      <c r="M514" s="206"/>
      <c r="N514" s="86">
        <f t="shared" si="25"/>
        <v>0</v>
      </c>
    </row>
    <row r="515" spans="2:14" ht="22.5" hidden="1" x14ac:dyDescent="0.25">
      <c r="B515" s="203" t="s">
        <v>399</v>
      </c>
      <c r="C515" s="211">
        <v>94491</v>
      </c>
      <c r="D515" s="205" t="s">
        <v>401</v>
      </c>
      <c r="E515" s="217" t="s">
        <v>166</v>
      </c>
      <c r="F515" s="312"/>
      <c r="G515" s="121"/>
      <c r="H515" s="70"/>
      <c r="I515" s="105"/>
      <c r="J515" s="99">
        <f>'BOLETIM DE MEDIÇÃO 11'!S148-'MEMORIAL DE CALCULO 10'!K515</f>
        <v>0</v>
      </c>
      <c r="K515" s="82"/>
      <c r="L515" s="82">
        <f t="shared" si="26"/>
        <v>0</v>
      </c>
      <c r="M515" s="206">
        <v>4</v>
      </c>
      <c r="N515" s="86">
        <f t="shared" si="25"/>
        <v>4</v>
      </c>
    </row>
    <row r="516" spans="2:14" hidden="1" x14ac:dyDescent="0.25">
      <c r="B516" s="203"/>
      <c r="C516" s="211"/>
      <c r="D516" s="205"/>
      <c r="E516" s="217"/>
      <c r="F516" s="312"/>
      <c r="G516" s="121"/>
      <c r="H516" s="70"/>
      <c r="I516" s="105"/>
      <c r="J516" s="99"/>
      <c r="K516" s="82"/>
      <c r="L516" s="82"/>
      <c r="M516" s="206"/>
      <c r="N516" s="86">
        <f t="shared" si="25"/>
        <v>0</v>
      </c>
    </row>
    <row r="517" spans="2:14" hidden="1" x14ac:dyDescent="0.25">
      <c r="B517" s="203"/>
      <c r="C517" s="211"/>
      <c r="D517" s="205"/>
      <c r="E517" s="217"/>
      <c r="F517" s="312"/>
      <c r="G517" s="121"/>
      <c r="H517" s="70"/>
      <c r="I517" s="105"/>
      <c r="J517" s="99"/>
      <c r="K517" s="82"/>
      <c r="L517" s="82"/>
      <c r="M517" s="206"/>
      <c r="N517" s="86">
        <f t="shared" si="25"/>
        <v>0</v>
      </c>
    </row>
    <row r="518" spans="2:14" ht="22.5" hidden="1" x14ac:dyDescent="0.25">
      <c r="B518" s="203" t="s">
        <v>402</v>
      </c>
      <c r="C518" s="211">
        <v>94492</v>
      </c>
      <c r="D518" s="205" t="s">
        <v>404</v>
      </c>
      <c r="E518" s="217" t="s">
        <v>166</v>
      </c>
      <c r="F518" s="312"/>
      <c r="G518" s="121"/>
      <c r="H518" s="70"/>
      <c r="I518" s="105"/>
      <c r="J518" s="99">
        <f>'BOLETIM DE MEDIÇÃO 11'!S149-'MEMORIAL DE CALCULO 10'!K518</f>
        <v>0</v>
      </c>
      <c r="K518" s="82"/>
      <c r="L518" s="82">
        <f t="shared" si="26"/>
        <v>0</v>
      </c>
      <c r="M518" s="206">
        <v>2</v>
      </c>
      <c r="N518" s="86">
        <f t="shared" si="25"/>
        <v>2</v>
      </c>
    </row>
    <row r="519" spans="2:14" hidden="1" x14ac:dyDescent="0.25">
      <c r="B519" s="203"/>
      <c r="C519" s="211"/>
      <c r="D519" s="205"/>
      <c r="E519" s="217"/>
      <c r="F519" s="312"/>
      <c r="G519" s="121"/>
      <c r="H519" s="70"/>
      <c r="I519" s="105"/>
      <c r="J519" s="99"/>
      <c r="K519" s="82"/>
      <c r="L519" s="82"/>
      <c r="M519" s="206"/>
      <c r="N519" s="86">
        <f t="shared" si="25"/>
        <v>0</v>
      </c>
    </row>
    <row r="520" spans="2:14" hidden="1" x14ac:dyDescent="0.25">
      <c r="B520" s="203"/>
      <c r="C520" s="211"/>
      <c r="D520" s="205"/>
      <c r="E520" s="217"/>
      <c r="F520" s="312"/>
      <c r="G520" s="121"/>
      <c r="H520" s="70"/>
      <c r="I520" s="105"/>
      <c r="J520" s="99"/>
      <c r="K520" s="82"/>
      <c r="L520" s="82"/>
      <c r="M520" s="206"/>
      <c r="N520" s="86">
        <f t="shared" si="25"/>
        <v>0</v>
      </c>
    </row>
    <row r="521" spans="2:14" ht="22.5" hidden="1" x14ac:dyDescent="0.25">
      <c r="B521" s="203" t="s">
        <v>405</v>
      </c>
      <c r="C521" s="211">
        <v>95675</v>
      </c>
      <c r="D521" s="205" t="s">
        <v>407</v>
      </c>
      <c r="E521" s="217" t="s">
        <v>166</v>
      </c>
      <c r="F521" s="312"/>
      <c r="G521" s="121"/>
      <c r="H521" s="70"/>
      <c r="I521" s="105"/>
      <c r="J521" s="99">
        <f>'BOLETIM DE MEDIÇÃO 11'!S150-'MEMORIAL DE CALCULO 10'!K521</f>
        <v>0</v>
      </c>
      <c r="K521" s="82"/>
      <c r="L521" s="82">
        <f t="shared" si="26"/>
        <v>0</v>
      </c>
      <c r="M521" s="206">
        <v>1</v>
      </c>
      <c r="N521" s="86">
        <f t="shared" si="25"/>
        <v>1</v>
      </c>
    </row>
    <row r="522" spans="2:14" hidden="1" x14ac:dyDescent="0.25">
      <c r="B522" s="203"/>
      <c r="C522" s="211"/>
      <c r="D522" s="205"/>
      <c r="E522" s="217"/>
      <c r="F522" s="312"/>
      <c r="G522" s="121"/>
      <c r="H522" s="70"/>
      <c r="I522" s="105"/>
      <c r="J522" s="99"/>
      <c r="K522" s="82"/>
      <c r="L522" s="82"/>
      <c r="M522" s="206"/>
      <c r="N522" s="86">
        <f t="shared" si="25"/>
        <v>0</v>
      </c>
    </row>
    <row r="523" spans="2:14" hidden="1" x14ac:dyDescent="0.25">
      <c r="B523" s="203"/>
      <c r="C523" s="211"/>
      <c r="D523" s="205"/>
      <c r="E523" s="217"/>
      <c r="F523" s="312"/>
      <c r="G523" s="121"/>
      <c r="H523" s="70"/>
      <c r="I523" s="105"/>
      <c r="J523" s="99"/>
      <c r="K523" s="82"/>
      <c r="L523" s="82"/>
      <c r="M523" s="206"/>
      <c r="N523" s="86">
        <f t="shared" si="25"/>
        <v>0</v>
      </c>
    </row>
    <row r="524" spans="2:14" ht="45" hidden="1" x14ac:dyDescent="0.25">
      <c r="B524" s="203" t="s">
        <v>408</v>
      </c>
      <c r="C524" s="211">
        <v>97902</v>
      </c>
      <c r="D524" s="205" t="s">
        <v>410</v>
      </c>
      <c r="E524" s="217" t="s">
        <v>166</v>
      </c>
      <c r="F524" s="312"/>
      <c r="G524" s="121"/>
      <c r="H524" s="70"/>
      <c r="I524" s="105"/>
      <c r="J524" s="99">
        <f>'BOLETIM DE MEDIÇÃO 11'!S151-'MEMORIAL DE CALCULO 10'!K524</f>
        <v>7</v>
      </c>
      <c r="K524" s="82"/>
      <c r="L524" s="82">
        <f t="shared" si="26"/>
        <v>7</v>
      </c>
      <c r="M524" s="206">
        <v>7</v>
      </c>
      <c r="N524" s="86">
        <f t="shared" si="25"/>
        <v>0</v>
      </c>
    </row>
    <row r="525" spans="2:14" hidden="1" x14ac:dyDescent="0.25">
      <c r="B525" s="203"/>
      <c r="C525" s="211"/>
      <c r="D525" s="205"/>
      <c r="E525" s="217"/>
      <c r="F525" s="312"/>
      <c r="G525" s="121"/>
      <c r="H525" s="70"/>
      <c r="I525" s="105"/>
      <c r="J525" s="99"/>
      <c r="K525" s="82"/>
      <c r="L525" s="82"/>
      <c r="M525" s="206"/>
      <c r="N525" s="86">
        <f t="shared" si="25"/>
        <v>0</v>
      </c>
    </row>
    <row r="526" spans="2:14" hidden="1" x14ac:dyDescent="0.25">
      <c r="B526" s="203"/>
      <c r="C526" s="211"/>
      <c r="D526" s="205"/>
      <c r="E526" s="217"/>
      <c r="F526" s="312"/>
      <c r="G526" s="121"/>
      <c r="H526" s="70"/>
      <c r="I526" s="105"/>
      <c r="J526" s="99"/>
      <c r="K526" s="82"/>
      <c r="L526" s="82"/>
      <c r="M526" s="206"/>
      <c r="N526" s="86">
        <f t="shared" si="25"/>
        <v>0</v>
      </c>
    </row>
    <row r="527" spans="2:14" ht="45" hidden="1" x14ac:dyDescent="0.25">
      <c r="B527" s="203" t="s">
        <v>411</v>
      </c>
      <c r="C527" s="211">
        <v>99258</v>
      </c>
      <c r="D527" s="205" t="s">
        <v>413</v>
      </c>
      <c r="E527" s="217" t="s">
        <v>166</v>
      </c>
      <c r="F527" s="312"/>
      <c r="G527" s="121"/>
      <c r="H527" s="70"/>
      <c r="I527" s="105"/>
      <c r="J527" s="99">
        <f>'BOLETIM DE MEDIÇÃO 11'!S152-'MEMORIAL DE CALCULO 10'!K527</f>
        <v>1</v>
      </c>
      <c r="K527" s="82"/>
      <c r="L527" s="82">
        <f t="shared" si="26"/>
        <v>1</v>
      </c>
      <c r="M527" s="206">
        <v>1</v>
      </c>
      <c r="N527" s="86">
        <f t="shared" si="25"/>
        <v>0</v>
      </c>
    </row>
    <row r="528" spans="2:14" hidden="1" x14ac:dyDescent="0.25">
      <c r="B528" s="203"/>
      <c r="C528" s="211"/>
      <c r="D528" s="205"/>
      <c r="E528" s="217"/>
      <c r="F528" s="312"/>
      <c r="G528" s="121"/>
      <c r="H528" s="70"/>
      <c r="I528" s="105"/>
      <c r="J528" s="99"/>
      <c r="K528" s="82"/>
      <c r="L528" s="82"/>
      <c r="M528" s="206"/>
      <c r="N528" s="86">
        <f t="shared" si="25"/>
        <v>0</v>
      </c>
    </row>
    <row r="529" spans="2:14" hidden="1" x14ac:dyDescent="0.25">
      <c r="B529" s="203"/>
      <c r="C529" s="211"/>
      <c r="D529" s="205"/>
      <c r="E529" s="217"/>
      <c r="F529" s="312"/>
      <c r="G529" s="121"/>
      <c r="H529" s="70"/>
      <c r="I529" s="105"/>
      <c r="J529" s="99"/>
      <c r="K529" s="82"/>
      <c r="L529" s="82"/>
      <c r="M529" s="206"/>
      <c r="N529" s="86">
        <f t="shared" si="25"/>
        <v>0</v>
      </c>
    </row>
    <row r="530" spans="2:14" ht="33.75" hidden="1" x14ac:dyDescent="0.25">
      <c r="B530" s="203" t="s">
        <v>414</v>
      </c>
      <c r="C530" s="211">
        <v>89482</v>
      </c>
      <c r="D530" s="205" t="s">
        <v>416</v>
      </c>
      <c r="E530" s="217" t="s">
        <v>166</v>
      </c>
      <c r="F530" s="312"/>
      <c r="G530" s="121"/>
      <c r="H530" s="70"/>
      <c r="I530" s="105"/>
      <c r="J530" s="99">
        <f>'BOLETIM DE MEDIÇÃO 11'!S153-'MEMORIAL DE CALCULO 10'!K530</f>
        <v>10</v>
      </c>
      <c r="K530" s="82"/>
      <c r="L530" s="82">
        <f t="shared" si="26"/>
        <v>10</v>
      </c>
      <c r="M530" s="206">
        <v>10</v>
      </c>
      <c r="N530" s="86">
        <f t="shared" si="25"/>
        <v>0</v>
      </c>
    </row>
    <row r="531" spans="2:14" hidden="1" x14ac:dyDescent="0.25">
      <c r="B531" s="203"/>
      <c r="C531" s="211"/>
      <c r="D531" s="205"/>
      <c r="E531" s="217"/>
      <c r="F531" s="312"/>
      <c r="G531" s="121"/>
      <c r="H531" s="70"/>
      <c r="I531" s="105"/>
      <c r="J531" s="99"/>
      <c r="K531" s="82"/>
      <c r="L531" s="82"/>
      <c r="M531" s="206"/>
      <c r="N531" s="86">
        <f t="shared" si="25"/>
        <v>0</v>
      </c>
    </row>
    <row r="532" spans="2:14" hidden="1" x14ac:dyDescent="0.25">
      <c r="B532" s="203"/>
      <c r="C532" s="211"/>
      <c r="D532" s="205"/>
      <c r="E532" s="217"/>
      <c r="F532" s="312"/>
      <c r="G532" s="121"/>
      <c r="H532" s="70"/>
      <c r="I532" s="105"/>
      <c r="J532" s="99"/>
      <c r="K532" s="82"/>
      <c r="L532" s="82"/>
      <c r="M532" s="206"/>
      <c r="N532" s="86">
        <f t="shared" si="25"/>
        <v>0</v>
      </c>
    </row>
    <row r="533" spans="2:14" ht="56.25" hidden="1" x14ac:dyDescent="0.25">
      <c r="B533" s="203" t="s">
        <v>417</v>
      </c>
      <c r="C533" s="211">
        <v>91792</v>
      </c>
      <c r="D533" s="205" t="s">
        <v>419</v>
      </c>
      <c r="E533" s="217" t="s">
        <v>37</v>
      </c>
      <c r="F533" s="312"/>
      <c r="G533" s="121"/>
      <c r="H533" s="70"/>
      <c r="I533" s="105"/>
      <c r="J533" s="99">
        <f>'BOLETIM DE MEDIÇÃO 11'!S154-'MEMORIAL DE CALCULO 10'!K533</f>
        <v>0</v>
      </c>
      <c r="K533" s="81">
        <f>K534</f>
        <v>38.85</v>
      </c>
      <c r="L533" s="82">
        <f t="shared" si="26"/>
        <v>38.85</v>
      </c>
      <c r="M533" s="206">
        <v>38.85</v>
      </c>
      <c r="N533" s="86">
        <f t="shared" si="25"/>
        <v>0</v>
      </c>
    </row>
    <row r="534" spans="2:14" hidden="1" x14ac:dyDescent="0.25">
      <c r="B534" s="203"/>
      <c r="C534" s="211"/>
      <c r="D534" s="377" t="s">
        <v>1004</v>
      </c>
      <c r="E534" s="217"/>
      <c r="F534" s="312">
        <v>1</v>
      </c>
      <c r="G534" s="462">
        <v>38.85</v>
      </c>
      <c r="H534" s="463"/>
      <c r="I534" s="464"/>
      <c r="J534" s="99"/>
      <c r="K534" s="82">
        <f>G534</f>
        <v>38.85</v>
      </c>
      <c r="L534" s="82"/>
      <c r="M534" s="206"/>
      <c r="N534" s="86"/>
    </row>
    <row r="535" spans="2:14" hidden="1" x14ac:dyDescent="0.25">
      <c r="B535" s="203"/>
      <c r="C535" s="211"/>
      <c r="D535" s="205"/>
      <c r="E535" s="217"/>
      <c r="F535" s="312"/>
      <c r="G535" s="121"/>
      <c r="H535" s="70"/>
      <c r="I535" s="105"/>
      <c r="J535" s="99"/>
      <c r="K535" s="82"/>
      <c r="L535" s="82"/>
      <c r="M535" s="206"/>
      <c r="N535" s="86"/>
    </row>
    <row r="536" spans="2:14" ht="56.25" hidden="1" x14ac:dyDescent="0.25">
      <c r="B536" s="203" t="s">
        <v>420</v>
      </c>
      <c r="C536" s="211">
        <v>91793</v>
      </c>
      <c r="D536" s="205" t="s">
        <v>422</v>
      </c>
      <c r="E536" s="217" t="s">
        <v>37</v>
      </c>
      <c r="F536" s="312"/>
      <c r="G536" s="121"/>
      <c r="H536" s="70"/>
      <c r="I536" s="105"/>
      <c r="J536" s="99">
        <f>'BOLETIM DE MEDIÇÃO 11'!S155-'MEMORIAL DE CALCULO 10'!K536</f>
        <v>0</v>
      </c>
      <c r="K536" s="81">
        <f>K537</f>
        <v>46.51</v>
      </c>
      <c r="L536" s="82">
        <f t="shared" si="26"/>
        <v>46.51</v>
      </c>
      <c r="M536" s="206">
        <v>46.51</v>
      </c>
      <c r="N536" s="86">
        <f t="shared" si="25"/>
        <v>0</v>
      </c>
    </row>
    <row r="537" spans="2:14" hidden="1" x14ac:dyDescent="0.25">
      <c r="B537" s="203"/>
      <c r="C537" s="211"/>
      <c r="D537" s="377" t="s">
        <v>1004</v>
      </c>
      <c r="E537" s="217"/>
      <c r="F537" s="312">
        <v>1</v>
      </c>
      <c r="G537" s="462">
        <v>46.51</v>
      </c>
      <c r="H537" s="463"/>
      <c r="I537" s="464"/>
      <c r="J537" s="99"/>
      <c r="K537" s="82">
        <f>G537</f>
        <v>46.51</v>
      </c>
      <c r="L537" s="82"/>
      <c r="M537" s="206"/>
      <c r="N537" s="86"/>
    </row>
    <row r="538" spans="2:14" hidden="1" x14ac:dyDescent="0.25">
      <c r="B538" s="203"/>
      <c r="C538" s="211"/>
      <c r="D538" s="205"/>
      <c r="E538" s="217"/>
      <c r="F538" s="312"/>
      <c r="G538" s="121"/>
      <c r="H538" s="70"/>
      <c r="I538" s="105"/>
      <c r="J538" s="99"/>
      <c r="K538" s="82"/>
      <c r="L538" s="82"/>
      <c r="M538" s="206"/>
      <c r="N538" s="86"/>
    </row>
    <row r="539" spans="2:14" ht="45" hidden="1" x14ac:dyDescent="0.25">
      <c r="B539" s="203" t="s">
        <v>423</v>
      </c>
      <c r="C539" s="211">
        <v>98107</v>
      </c>
      <c r="D539" s="205" t="s">
        <v>425</v>
      </c>
      <c r="E539" s="217" t="s">
        <v>166</v>
      </c>
      <c r="F539" s="312"/>
      <c r="G539" s="121"/>
      <c r="H539" s="70"/>
      <c r="I539" s="105"/>
      <c r="J539" s="99">
        <f>'BOLETIM DE MEDIÇÃO 11'!S156-'MEMORIAL DE CALCULO 10'!K539</f>
        <v>1</v>
      </c>
      <c r="K539" s="82"/>
      <c r="L539" s="82">
        <f t="shared" si="26"/>
        <v>1</v>
      </c>
      <c r="M539" s="206">
        <v>1</v>
      </c>
      <c r="N539" s="86">
        <f t="shared" si="25"/>
        <v>0</v>
      </c>
    </row>
    <row r="540" spans="2:14" hidden="1" x14ac:dyDescent="0.25">
      <c r="B540" s="203"/>
      <c r="C540" s="211"/>
      <c r="D540" s="205"/>
      <c r="E540" s="217"/>
      <c r="F540" s="312"/>
      <c r="G540" s="121"/>
      <c r="H540" s="70"/>
      <c r="I540" s="105"/>
      <c r="J540" s="99"/>
      <c r="K540" s="82"/>
      <c r="L540" s="82"/>
      <c r="M540" s="206"/>
      <c r="N540" s="86">
        <f t="shared" si="25"/>
        <v>0</v>
      </c>
    </row>
    <row r="541" spans="2:14" hidden="1" x14ac:dyDescent="0.25">
      <c r="B541" s="203"/>
      <c r="C541" s="211"/>
      <c r="D541" s="205"/>
      <c r="E541" s="217"/>
      <c r="F541" s="312"/>
      <c r="G541" s="121"/>
      <c r="H541" s="70"/>
      <c r="I541" s="105"/>
      <c r="J541" s="99"/>
      <c r="K541" s="82"/>
      <c r="L541" s="82"/>
      <c r="M541" s="206"/>
      <c r="N541" s="86">
        <f t="shared" si="25"/>
        <v>0</v>
      </c>
    </row>
    <row r="542" spans="2:14" ht="56.25" hidden="1" x14ac:dyDescent="0.25">
      <c r="B542" s="203" t="s">
        <v>426</v>
      </c>
      <c r="C542" s="211">
        <v>91795</v>
      </c>
      <c r="D542" s="205" t="s">
        <v>428</v>
      </c>
      <c r="E542" s="217" t="s">
        <v>37</v>
      </c>
      <c r="F542" s="312"/>
      <c r="G542" s="121"/>
      <c r="H542" s="70"/>
      <c r="I542" s="105"/>
      <c r="J542" s="99">
        <f>'BOLETIM DE MEDIÇÃO 11'!S157-'MEMORIAL DE CALCULO 10'!K542</f>
        <v>66.38000000000001</v>
      </c>
      <c r="K542" s="81">
        <f>K543</f>
        <v>66.385000000000005</v>
      </c>
      <c r="L542" s="82">
        <f t="shared" si="26"/>
        <v>132.76500000000001</v>
      </c>
      <c r="M542" s="206">
        <v>132.77000000000001</v>
      </c>
      <c r="N542" s="86">
        <f t="shared" si="25"/>
        <v>4.9999999999954525E-3</v>
      </c>
    </row>
    <row r="543" spans="2:14" hidden="1" x14ac:dyDescent="0.25">
      <c r="B543" s="203"/>
      <c r="C543" s="211"/>
      <c r="D543" s="377" t="s">
        <v>983</v>
      </c>
      <c r="E543" s="217"/>
      <c r="F543" s="312">
        <v>1</v>
      </c>
      <c r="G543" s="462">
        <f>0.5*132.77</f>
        <v>66.385000000000005</v>
      </c>
      <c r="H543" s="463"/>
      <c r="I543" s="464"/>
      <c r="J543" s="99"/>
      <c r="K543" s="82">
        <f>G543</f>
        <v>66.385000000000005</v>
      </c>
      <c r="L543" s="82"/>
      <c r="M543" s="206"/>
      <c r="N543" s="86"/>
    </row>
    <row r="544" spans="2:14" ht="45" hidden="1" x14ac:dyDescent="0.25">
      <c r="B544" s="203" t="s">
        <v>429</v>
      </c>
      <c r="C544" s="211">
        <v>99251</v>
      </c>
      <c r="D544" s="215" t="s">
        <v>431</v>
      </c>
      <c r="E544" s="217" t="s">
        <v>166</v>
      </c>
      <c r="F544" s="312"/>
      <c r="G544" s="121"/>
      <c r="H544" s="70"/>
      <c r="I544" s="105"/>
      <c r="J544" s="99">
        <f>'BOLETIM DE MEDIÇÃO 11'!S158-'MEMORIAL DE CALCULO 10'!K544</f>
        <v>0</v>
      </c>
      <c r="K544" s="82"/>
      <c r="L544" s="82">
        <f t="shared" si="26"/>
        <v>0</v>
      </c>
      <c r="M544" s="206">
        <v>2</v>
      </c>
      <c r="N544" s="86"/>
    </row>
    <row r="545" spans="2:14" hidden="1" x14ac:dyDescent="0.25">
      <c r="B545" s="203"/>
      <c r="C545" s="211"/>
      <c r="D545" s="215"/>
      <c r="E545" s="217"/>
      <c r="F545" s="312"/>
      <c r="G545" s="121"/>
      <c r="H545" s="70"/>
      <c r="I545" s="105"/>
      <c r="J545" s="99"/>
      <c r="K545" s="82"/>
      <c r="L545" s="82"/>
      <c r="M545" s="206"/>
      <c r="N545" s="86"/>
    </row>
    <row r="546" spans="2:14" hidden="1" x14ac:dyDescent="0.25">
      <c r="B546" s="203"/>
      <c r="C546" s="211"/>
      <c r="D546" s="215"/>
      <c r="E546" s="217"/>
      <c r="F546" s="312"/>
      <c r="G546" s="121"/>
      <c r="H546" s="70"/>
      <c r="I546" s="105"/>
      <c r="J546" s="99"/>
      <c r="K546" s="82"/>
      <c r="L546" s="82"/>
      <c r="M546" s="206"/>
      <c r="N546" s="86"/>
    </row>
    <row r="547" spans="2:14" ht="56.25" hidden="1" x14ac:dyDescent="0.25">
      <c r="B547" s="203" t="s">
        <v>432</v>
      </c>
      <c r="C547" s="211">
        <v>91790</v>
      </c>
      <c r="D547" s="215" t="s">
        <v>434</v>
      </c>
      <c r="E547" s="217" t="s">
        <v>37</v>
      </c>
      <c r="F547" s="312"/>
      <c r="G547" s="121"/>
      <c r="H547" s="70"/>
      <c r="I547" s="105"/>
      <c r="J547" s="99">
        <f>'BOLETIM DE MEDIÇÃO 11'!S159-'MEMORIAL DE CALCULO 10'!K547</f>
        <v>-12.902999999999999</v>
      </c>
      <c r="K547" s="81">
        <f>K548</f>
        <v>12.902999999999999</v>
      </c>
      <c r="L547" s="82">
        <f t="shared" si="26"/>
        <v>0</v>
      </c>
      <c r="M547" s="206">
        <v>43.01</v>
      </c>
      <c r="N547" s="86"/>
    </row>
    <row r="548" spans="2:14" hidden="1" x14ac:dyDescent="0.25">
      <c r="B548" s="50"/>
      <c r="C548" s="66"/>
      <c r="D548" s="377" t="s">
        <v>984</v>
      </c>
      <c r="E548" s="69"/>
      <c r="F548" s="312">
        <v>1</v>
      </c>
      <c r="G548" s="462">
        <f>0.3*43.01</f>
        <v>12.902999999999999</v>
      </c>
      <c r="H548" s="463"/>
      <c r="I548" s="464"/>
      <c r="J548" s="99"/>
      <c r="K548" s="82">
        <f>G548</f>
        <v>12.902999999999999</v>
      </c>
      <c r="L548" s="82"/>
      <c r="M548" s="82"/>
      <c r="N548" s="86"/>
    </row>
    <row r="549" spans="2:14" hidden="1" x14ac:dyDescent="0.25">
      <c r="B549" s="50"/>
      <c r="C549" s="66"/>
      <c r="D549" s="53"/>
      <c r="E549" s="69"/>
      <c r="F549" s="312"/>
      <c r="G549" s="121"/>
      <c r="H549" s="70"/>
      <c r="I549" s="105"/>
      <c r="J549" s="99"/>
      <c r="K549" s="82"/>
      <c r="L549" s="82"/>
      <c r="M549" s="82"/>
      <c r="N549" s="86"/>
    </row>
    <row r="550" spans="2:14" hidden="1" x14ac:dyDescent="0.25">
      <c r="B550" s="50"/>
      <c r="C550" s="66"/>
      <c r="D550" s="53"/>
      <c r="E550" s="69"/>
      <c r="F550" s="312"/>
      <c r="G550" s="121"/>
      <c r="H550" s="70"/>
      <c r="I550" s="105"/>
      <c r="J550" s="99"/>
      <c r="K550" s="82"/>
      <c r="L550" s="82"/>
      <c r="M550" s="82"/>
      <c r="N550" s="86"/>
    </row>
    <row r="551" spans="2:14" hidden="1" x14ac:dyDescent="0.25">
      <c r="B551" s="50"/>
      <c r="C551" s="66"/>
      <c r="D551" s="53"/>
      <c r="E551" s="69"/>
      <c r="F551" s="312"/>
      <c r="G551" s="121"/>
      <c r="H551" s="70"/>
      <c r="I551" s="105"/>
      <c r="J551" s="99"/>
      <c r="K551" s="82"/>
      <c r="L551" s="82"/>
      <c r="M551" s="82"/>
      <c r="N551" s="86"/>
    </row>
    <row r="552" spans="2:14" hidden="1" x14ac:dyDescent="0.25">
      <c r="B552" s="50"/>
      <c r="C552" s="66"/>
      <c r="D552" s="53"/>
      <c r="E552" s="69"/>
      <c r="F552" s="312"/>
      <c r="G552" s="121"/>
      <c r="H552" s="70"/>
      <c r="I552" s="105"/>
      <c r="J552" s="99"/>
      <c r="K552" s="82"/>
      <c r="L552" s="82"/>
      <c r="M552" s="82"/>
      <c r="N552" s="86"/>
    </row>
    <row r="553" spans="2:14" hidden="1" x14ac:dyDescent="0.25">
      <c r="B553" s="50"/>
      <c r="C553" s="66"/>
      <c r="D553" s="53"/>
      <c r="E553" s="69"/>
      <c r="F553" s="312"/>
      <c r="G553" s="121"/>
      <c r="H553" s="70"/>
      <c r="I553" s="105"/>
      <c r="J553" s="99"/>
      <c r="K553" s="82"/>
      <c r="L553" s="82"/>
      <c r="M553" s="82"/>
      <c r="N553" s="86"/>
    </row>
    <row r="554" spans="2:14" hidden="1" x14ac:dyDescent="0.25">
      <c r="B554" s="50"/>
      <c r="C554" s="66"/>
      <c r="D554" s="53"/>
      <c r="E554" s="69"/>
      <c r="F554" s="312"/>
      <c r="G554" s="121"/>
      <c r="H554" s="70"/>
      <c r="I554" s="105"/>
      <c r="J554" s="99"/>
      <c r="K554" s="82"/>
      <c r="L554" s="82"/>
      <c r="M554" s="82"/>
      <c r="N554" s="86"/>
    </row>
    <row r="555" spans="2:14" hidden="1" x14ac:dyDescent="0.25">
      <c r="B555" s="50"/>
      <c r="C555" s="66"/>
      <c r="D555" s="53"/>
      <c r="E555" s="69"/>
      <c r="F555" s="312"/>
      <c r="G555" s="121"/>
      <c r="H555" s="70"/>
      <c r="I555" s="105"/>
      <c r="J555" s="99"/>
      <c r="K555" s="82"/>
      <c r="L555" s="82"/>
      <c r="M555" s="82"/>
      <c r="N555" s="86"/>
    </row>
    <row r="556" spans="2:14" hidden="1" x14ac:dyDescent="0.25">
      <c r="B556" s="50"/>
      <c r="C556" s="66"/>
      <c r="D556" s="53"/>
      <c r="E556" s="69"/>
      <c r="F556" s="312"/>
      <c r="G556" s="121"/>
      <c r="H556" s="70"/>
      <c r="I556" s="105"/>
      <c r="J556" s="99"/>
      <c r="K556" s="82"/>
      <c r="L556" s="82"/>
      <c r="M556" s="82"/>
      <c r="N556" s="86"/>
    </row>
    <row r="557" spans="2:14" hidden="1" x14ac:dyDescent="0.25">
      <c r="B557" s="50"/>
      <c r="C557" s="66"/>
      <c r="D557" s="53"/>
      <c r="E557" s="69"/>
      <c r="F557" s="312"/>
      <c r="G557" s="121"/>
      <c r="H557" s="70"/>
      <c r="I557" s="105"/>
      <c r="J557" s="99"/>
      <c r="K557" s="82"/>
      <c r="L557" s="82"/>
      <c r="M557" s="82"/>
      <c r="N557" s="86"/>
    </row>
    <row r="558" spans="2:14" hidden="1" x14ac:dyDescent="0.25">
      <c r="B558" s="50"/>
      <c r="C558" s="66"/>
      <c r="D558" s="53"/>
      <c r="E558" s="69"/>
      <c r="F558" s="312"/>
      <c r="G558" s="121"/>
      <c r="H558" s="70"/>
      <c r="I558" s="105"/>
      <c r="J558" s="99"/>
      <c r="K558" s="82"/>
      <c r="L558" s="82"/>
      <c r="M558" s="82"/>
      <c r="N558" s="86"/>
    </row>
    <row r="559" spans="2:14" hidden="1" x14ac:dyDescent="0.25">
      <c r="B559" s="50"/>
      <c r="C559" s="66"/>
      <c r="D559" s="53"/>
      <c r="E559" s="69"/>
      <c r="F559" s="312"/>
      <c r="G559" s="121"/>
      <c r="H559" s="70"/>
      <c r="I559" s="105"/>
      <c r="J559" s="99"/>
      <c r="K559" s="82"/>
      <c r="L559" s="82"/>
      <c r="M559" s="82"/>
      <c r="N559" s="86"/>
    </row>
    <row r="560" spans="2:14" hidden="1" x14ac:dyDescent="0.25">
      <c r="B560" s="50"/>
      <c r="C560" s="66"/>
      <c r="D560" s="53"/>
      <c r="E560" s="69"/>
      <c r="F560" s="312"/>
      <c r="G560" s="121"/>
      <c r="H560" s="70"/>
      <c r="I560" s="105"/>
      <c r="J560" s="99"/>
      <c r="K560" s="82"/>
      <c r="L560" s="82"/>
      <c r="M560" s="82"/>
      <c r="N560" s="86"/>
    </row>
    <row r="561" spans="2:14" hidden="1" x14ac:dyDescent="0.25">
      <c r="B561" s="50"/>
      <c r="C561" s="66"/>
      <c r="D561" s="53"/>
      <c r="E561" s="69"/>
      <c r="F561" s="312"/>
      <c r="G561" s="121"/>
      <c r="H561" s="70"/>
      <c r="I561" s="105"/>
      <c r="J561" s="99"/>
      <c r="K561" s="82"/>
      <c r="L561" s="82"/>
      <c r="M561" s="82"/>
      <c r="N561" s="86"/>
    </row>
    <row r="562" spans="2:14" hidden="1" x14ac:dyDescent="0.25">
      <c r="B562" s="50"/>
      <c r="C562" s="66"/>
      <c r="D562" s="53"/>
      <c r="E562" s="69"/>
      <c r="F562" s="312"/>
      <c r="G562" s="121"/>
      <c r="H562" s="70"/>
      <c r="I562" s="105"/>
      <c r="J562" s="99"/>
      <c r="K562" s="82"/>
      <c r="L562" s="82"/>
      <c r="M562" s="82"/>
      <c r="N562" s="86"/>
    </row>
    <row r="563" spans="2:14" hidden="1" x14ac:dyDescent="0.25">
      <c r="B563" s="50"/>
      <c r="C563" s="66"/>
      <c r="D563" s="53"/>
      <c r="E563" s="69"/>
      <c r="F563" s="312"/>
      <c r="G563" s="121"/>
      <c r="H563" s="70"/>
      <c r="I563" s="105"/>
      <c r="J563" s="99"/>
      <c r="K563" s="82"/>
      <c r="L563" s="82"/>
      <c r="M563" s="82"/>
      <c r="N563" s="86"/>
    </row>
    <row r="564" spans="2:14" hidden="1" x14ac:dyDescent="0.25">
      <c r="B564" s="50"/>
      <c r="C564" s="66"/>
      <c r="D564" s="53"/>
      <c r="E564" s="69"/>
      <c r="F564" s="312"/>
      <c r="G564" s="121"/>
      <c r="H564" s="70"/>
      <c r="I564" s="105"/>
      <c r="J564" s="99"/>
      <c r="K564" s="82"/>
      <c r="L564" s="82"/>
      <c r="M564" s="82"/>
      <c r="N564" s="86"/>
    </row>
    <row r="565" spans="2:14" hidden="1" x14ac:dyDescent="0.25">
      <c r="B565" s="50"/>
      <c r="C565" s="66"/>
      <c r="D565" s="53"/>
      <c r="E565" s="69"/>
      <c r="F565" s="312"/>
      <c r="G565" s="121"/>
      <c r="H565" s="70"/>
      <c r="I565" s="105"/>
      <c r="J565" s="99"/>
      <c r="K565" s="82"/>
      <c r="L565" s="82"/>
      <c r="M565" s="82"/>
      <c r="N565" s="86"/>
    </row>
    <row r="566" spans="2:14" hidden="1" x14ac:dyDescent="0.25">
      <c r="B566" s="50"/>
      <c r="C566" s="66"/>
      <c r="D566" s="53"/>
      <c r="E566" s="69"/>
      <c r="F566" s="312"/>
      <c r="G566" s="121"/>
      <c r="H566" s="70"/>
      <c r="I566" s="105"/>
      <c r="J566" s="99"/>
      <c r="K566" s="82"/>
      <c r="L566" s="82"/>
      <c r="M566" s="82"/>
      <c r="N566" s="86"/>
    </row>
    <row r="567" spans="2:14" hidden="1" x14ac:dyDescent="0.25">
      <c r="B567" s="50"/>
      <c r="C567" s="66"/>
      <c r="D567" s="53"/>
      <c r="E567" s="69"/>
      <c r="F567" s="312"/>
      <c r="G567" s="121"/>
      <c r="H567" s="70"/>
      <c r="I567" s="105"/>
      <c r="J567" s="99"/>
      <c r="K567" s="82"/>
      <c r="L567" s="82"/>
      <c r="M567" s="82"/>
      <c r="N567" s="86"/>
    </row>
    <row r="568" spans="2:14" hidden="1" x14ac:dyDescent="0.25">
      <c r="B568" s="50"/>
      <c r="C568" s="66"/>
      <c r="D568" s="53"/>
      <c r="E568" s="69"/>
      <c r="F568" s="312"/>
      <c r="G568" s="121"/>
      <c r="H568" s="70"/>
      <c r="I568" s="105"/>
      <c r="J568" s="99"/>
      <c r="K568" s="82"/>
      <c r="L568" s="82"/>
      <c r="M568" s="82"/>
      <c r="N568" s="86"/>
    </row>
    <row r="569" spans="2:14" hidden="1" x14ac:dyDescent="0.25">
      <c r="B569" s="50"/>
      <c r="C569" s="66"/>
      <c r="D569" s="53"/>
      <c r="E569" s="69"/>
      <c r="F569" s="312"/>
      <c r="G569" s="121"/>
      <c r="H569" s="70"/>
      <c r="I569" s="105"/>
      <c r="J569" s="99"/>
      <c r="K569" s="82"/>
      <c r="L569" s="82"/>
      <c r="M569" s="82"/>
      <c r="N569" s="86"/>
    </row>
    <row r="570" spans="2:14" hidden="1" x14ac:dyDescent="0.25">
      <c r="B570" s="50"/>
      <c r="C570" s="66"/>
      <c r="D570" s="53"/>
      <c r="E570" s="69"/>
      <c r="F570" s="312"/>
      <c r="G570" s="121"/>
      <c r="H570" s="70"/>
      <c r="I570" s="105"/>
      <c r="J570" s="99"/>
      <c r="K570" s="82"/>
      <c r="L570" s="82"/>
      <c r="M570" s="82"/>
      <c r="N570" s="86"/>
    </row>
    <row r="571" spans="2:14" hidden="1" x14ac:dyDescent="0.25">
      <c r="B571" s="50"/>
      <c r="C571" s="66"/>
      <c r="D571" s="53"/>
      <c r="E571" s="69"/>
      <c r="F571" s="312"/>
      <c r="G571" s="121"/>
      <c r="H571" s="70"/>
      <c r="I571" s="105"/>
      <c r="J571" s="99"/>
      <c r="K571" s="82"/>
      <c r="L571" s="82"/>
      <c r="M571" s="82"/>
      <c r="N571" s="86"/>
    </row>
    <row r="572" spans="2:14" hidden="1" x14ac:dyDescent="0.25">
      <c r="B572" s="50"/>
      <c r="C572" s="66"/>
      <c r="D572" s="53"/>
      <c r="E572" s="69"/>
      <c r="F572" s="312"/>
      <c r="G572" s="121"/>
      <c r="H572" s="70"/>
      <c r="I572" s="105"/>
      <c r="J572" s="99"/>
      <c r="K572" s="82"/>
      <c r="L572" s="82"/>
      <c r="M572" s="82"/>
      <c r="N572" s="86"/>
    </row>
    <row r="573" spans="2:14" hidden="1" x14ac:dyDescent="0.25">
      <c r="B573" s="50"/>
      <c r="C573" s="66"/>
      <c r="D573" s="53"/>
      <c r="E573" s="69"/>
      <c r="F573" s="312"/>
      <c r="G573" s="121"/>
      <c r="H573" s="70"/>
      <c r="I573" s="105"/>
      <c r="J573" s="99"/>
      <c r="K573" s="82"/>
      <c r="L573" s="82"/>
      <c r="M573" s="82"/>
      <c r="N573" s="86"/>
    </row>
    <row r="574" spans="2:14" hidden="1" x14ac:dyDescent="0.25">
      <c r="B574" s="50"/>
      <c r="C574" s="66"/>
      <c r="D574" s="53"/>
      <c r="E574" s="69"/>
      <c r="F574" s="312"/>
      <c r="G574" s="121"/>
      <c r="H574" s="70"/>
      <c r="I574" s="105"/>
      <c r="J574" s="99"/>
      <c r="K574" s="82"/>
      <c r="L574" s="82"/>
      <c r="M574" s="82"/>
      <c r="N574" s="86"/>
    </row>
    <row r="575" spans="2:14" hidden="1" x14ac:dyDescent="0.25">
      <c r="B575" s="50"/>
      <c r="C575" s="66"/>
      <c r="D575" s="53"/>
      <c r="E575" s="69"/>
      <c r="F575" s="312"/>
      <c r="G575" s="121"/>
      <c r="H575" s="70"/>
      <c r="I575" s="105"/>
      <c r="J575" s="99"/>
      <c r="K575" s="82"/>
      <c r="L575" s="82"/>
      <c r="M575" s="82"/>
      <c r="N575" s="86"/>
    </row>
    <row r="576" spans="2:14" hidden="1" x14ac:dyDescent="0.25">
      <c r="B576" s="50"/>
      <c r="C576" s="66"/>
      <c r="D576" s="53"/>
      <c r="E576" s="69"/>
      <c r="F576" s="312"/>
      <c r="G576" s="121"/>
      <c r="H576" s="70"/>
      <c r="I576" s="105"/>
      <c r="J576" s="99"/>
      <c r="K576" s="82"/>
      <c r="L576" s="82"/>
      <c r="M576" s="82"/>
      <c r="N576" s="86"/>
    </row>
    <row r="577" spans="1:14" hidden="1" x14ac:dyDescent="0.25">
      <c r="B577" s="50"/>
      <c r="C577" s="66"/>
      <c r="D577" s="53"/>
      <c r="E577" s="69"/>
      <c r="F577" s="312"/>
      <c r="G577" s="121"/>
      <c r="H577" s="70"/>
      <c r="I577" s="105"/>
      <c r="J577" s="99"/>
      <c r="K577" s="82"/>
      <c r="L577" s="82"/>
      <c r="M577" s="82"/>
      <c r="N577" s="86"/>
    </row>
    <row r="578" spans="1:14" ht="14.45" hidden="1" customHeight="1" x14ac:dyDescent="0.25">
      <c r="B578" s="51">
        <v>1.1499999999999999</v>
      </c>
      <c r="C578" s="65" t="s">
        <v>474</v>
      </c>
      <c r="D578" s="53"/>
      <c r="E578" s="44"/>
      <c r="F578" s="130"/>
      <c r="G578" s="463"/>
      <c r="H578" s="463"/>
      <c r="I578" s="464"/>
      <c r="J578" s="99"/>
      <c r="K578" s="81"/>
      <c r="L578" s="82"/>
      <c r="M578" s="82"/>
      <c r="N578" s="86"/>
    </row>
    <row r="579" spans="1:14" ht="56.25" hidden="1" x14ac:dyDescent="0.25">
      <c r="A579" s="79"/>
      <c r="B579" s="50" t="s">
        <v>495</v>
      </c>
      <c r="C579" s="66">
        <v>87548</v>
      </c>
      <c r="D579" s="53" t="s">
        <v>154</v>
      </c>
      <c r="E579" s="44" t="s">
        <v>17</v>
      </c>
      <c r="F579" s="259"/>
      <c r="G579" s="121"/>
      <c r="H579" s="70"/>
      <c r="I579" s="105"/>
      <c r="J579" s="99">
        <f>'BOLETIM DE MEDIÇÃO 05'!O190-'MEMORIAL DE CALCULO 10'!K579</f>
        <v>6.2000000000011823E-2</v>
      </c>
      <c r="K579" s="351">
        <f>K580</f>
        <v>405.60400000000004</v>
      </c>
      <c r="L579" s="82">
        <f t="shared" ref="L579" si="27">J579+K579</f>
        <v>405.66600000000005</v>
      </c>
      <c r="M579" s="82">
        <f>'BOLETIM DE MEDIÇÃO 05'!G190</f>
        <v>811.27</v>
      </c>
      <c r="N579" s="86">
        <f t="shared" ref="N579" si="28">M579-L579</f>
        <v>405.60399999999993</v>
      </c>
    </row>
    <row r="580" spans="1:14" hidden="1" x14ac:dyDescent="0.25">
      <c r="A580" s="79"/>
      <c r="B580" s="50"/>
      <c r="C580" s="66"/>
      <c r="D580" s="344" t="s">
        <v>960</v>
      </c>
      <c r="E580" s="44"/>
      <c r="F580" s="130">
        <v>2</v>
      </c>
      <c r="G580" s="462">
        <f>65.42</f>
        <v>65.42</v>
      </c>
      <c r="H580" s="465"/>
      <c r="I580" s="105">
        <v>3.1</v>
      </c>
      <c r="J580" s="99"/>
      <c r="K580" s="351">
        <f>F580*G580*I580</f>
        <v>405.60400000000004</v>
      </c>
      <c r="L580" s="82"/>
      <c r="M580" s="82"/>
      <c r="N580" s="86"/>
    </row>
    <row r="581" spans="1:14" ht="14.45" hidden="1" customHeight="1" x14ac:dyDescent="0.25">
      <c r="A581" s="79"/>
      <c r="B581" s="266"/>
      <c r="C581" s="266"/>
      <c r="D581" s="255"/>
      <c r="E581" s="238"/>
      <c r="F581" s="261"/>
      <c r="G581" s="272"/>
      <c r="H581" s="273"/>
      <c r="I581" s="274"/>
      <c r="J581" s="255"/>
      <c r="K581" s="238"/>
      <c r="L581" s="238"/>
      <c r="M581" s="238"/>
      <c r="N581" s="258"/>
    </row>
    <row r="584" spans="1:14" ht="69.599999999999994" hidden="1" customHeight="1" x14ac:dyDescent="0.25">
      <c r="D584" s="278" t="s">
        <v>832</v>
      </c>
      <c r="E584" s="277" t="s">
        <v>41</v>
      </c>
      <c r="F584" s="279"/>
      <c r="G584" s="521" t="s">
        <v>836</v>
      </c>
      <c r="H584" s="522"/>
      <c r="I584" s="523"/>
      <c r="J584" s="279"/>
      <c r="K584" s="280">
        <f>SUM(K587:K591)</f>
        <v>16.472439999999999</v>
      </c>
      <c r="M584" s="282"/>
    </row>
    <row r="585" spans="1:14" ht="14.45" hidden="1" customHeight="1" x14ac:dyDescent="0.25">
      <c r="D585" s="239"/>
      <c r="E585" s="239"/>
      <c r="F585" s="239"/>
      <c r="G585" s="239"/>
      <c r="H585" s="239"/>
      <c r="I585" s="239"/>
      <c r="J585" s="239"/>
      <c r="K585" s="239"/>
    </row>
    <row r="586" spans="1:14" ht="36.6" hidden="1" customHeight="1" x14ac:dyDescent="0.25">
      <c r="D586" s="281"/>
      <c r="E586" s="239"/>
      <c r="F586" s="275" t="s">
        <v>556</v>
      </c>
      <c r="G586" s="276" t="s">
        <v>833</v>
      </c>
      <c r="H586" s="276" t="s">
        <v>834</v>
      </c>
      <c r="I586" s="276" t="s">
        <v>835</v>
      </c>
      <c r="J586" s="239"/>
      <c r="K586" s="239"/>
    </row>
    <row r="587" spans="1:14" ht="14.45" hidden="1" customHeight="1" x14ac:dyDescent="0.25">
      <c r="D587" s="288" t="s">
        <v>879</v>
      </c>
      <c r="E587" s="239"/>
      <c r="F587" s="245">
        <v>1</v>
      </c>
      <c r="G587" s="245">
        <v>12.5</v>
      </c>
      <c r="H587" s="245">
        <v>0.1</v>
      </c>
      <c r="I587" s="245">
        <v>0.36</v>
      </c>
      <c r="J587" s="277"/>
      <c r="K587" s="245">
        <f>((I587+H587/2)*G587)*0.2</f>
        <v>1.0250000000000001</v>
      </c>
    </row>
    <row r="588" spans="1:14" ht="20.45" hidden="1" customHeight="1" x14ac:dyDescent="0.25">
      <c r="D588" s="288" t="s">
        <v>876</v>
      </c>
      <c r="E588" s="239"/>
      <c r="F588" s="245">
        <v>1</v>
      </c>
      <c r="G588" s="245">
        <v>11.67</v>
      </c>
      <c r="H588" s="245">
        <v>0.36</v>
      </c>
      <c r="I588" s="245">
        <v>0.53</v>
      </c>
      <c r="J588" s="277"/>
      <c r="K588" s="245">
        <f t="shared" ref="K588:K591" si="29">((I588+H588/2)*G588)*0.2</f>
        <v>1.6571400000000001</v>
      </c>
    </row>
    <row r="589" spans="1:14" ht="20.45" hidden="1" customHeight="1" x14ac:dyDescent="0.25">
      <c r="D589" s="288" t="s">
        <v>880</v>
      </c>
      <c r="E589" s="239"/>
      <c r="F589" s="245">
        <v>1</v>
      </c>
      <c r="G589" s="245">
        <v>27.1</v>
      </c>
      <c r="H589" s="245">
        <v>0.53</v>
      </c>
      <c r="I589" s="245">
        <v>0.74</v>
      </c>
      <c r="J589" s="277"/>
      <c r="K589" s="245">
        <f t="shared" si="29"/>
        <v>5.4470999999999998</v>
      </c>
    </row>
    <row r="590" spans="1:14" ht="30.6" hidden="1" customHeight="1" x14ac:dyDescent="0.25">
      <c r="D590" s="288" t="s">
        <v>881</v>
      </c>
      <c r="E590" s="239"/>
      <c r="F590" s="245">
        <v>1</v>
      </c>
      <c r="G590" s="245">
        <v>33.9</v>
      </c>
      <c r="H590" s="245">
        <v>0.74</v>
      </c>
      <c r="I590" s="245">
        <v>0.61</v>
      </c>
      <c r="J590" s="277"/>
      <c r="K590" s="245">
        <f t="shared" si="29"/>
        <v>6.644400000000001</v>
      </c>
    </row>
    <row r="591" spans="1:14" ht="20.45" hidden="1" customHeight="1" x14ac:dyDescent="0.25">
      <c r="D591" s="288" t="s">
        <v>882</v>
      </c>
      <c r="E591" s="239"/>
      <c r="F591" s="245">
        <v>1</v>
      </c>
      <c r="G591" s="245">
        <v>12.4</v>
      </c>
      <c r="H591" s="245">
        <v>0.61</v>
      </c>
      <c r="I591" s="245">
        <v>0.38</v>
      </c>
      <c r="J591" s="277"/>
      <c r="K591" s="245">
        <f t="shared" si="29"/>
        <v>1.6988000000000003</v>
      </c>
    </row>
    <row r="594" spans="7:7" x14ac:dyDescent="0.25">
      <c r="G594" s="330"/>
    </row>
  </sheetData>
  <mergeCells count="263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208:I208"/>
    <mergeCell ref="G104:H104"/>
    <mergeCell ref="G105:H105"/>
    <mergeCell ref="G106:H106"/>
    <mergeCell ref="G107:H107"/>
    <mergeCell ref="G108:I108"/>
    <mergeCell ref="G207:I207"/>
    <mergeCell ref="G98:H98"/>
    <mergeCell ref="G99:H99"/>
    <mergeCell ref="G100:H100"/>
    <mergeCell ref="G101:H101"/>
    <mergeCell ref="G102:H102"/>
    <mergeCell ref="G103:H103"/>
    <mergeCell ref="G216:I216"/>
    <mergeCell ref="G217:I217"/>
    <mergeCell ref="G226:H226"/>
    <mergeCell ref="G227:H227"/>
    <mergeCell ref="G228:H228"/>
    <mergeCell ref="G229:H229"/>
    <mergeCell ref="G230:H230"/>
    <mergeCell ref="G231:H231"/>
    <mergeCell ref="G225:H225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56:I256"/>
    <mergeCell ref="G257:I257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70:I270"/>
    <mergeCell ref="G273:I273"/>
    <mergeCell ref="G274:I274"/>
    <mergeCell ref="G275:H275"/>
    <mergeCell ref="G276:H276"/>
    <mergeCell ref="G277:H277"/>
    <mergeCell ref="G271:I271"/>
    <mergeCell ref="G272:I272"/>
    <mergeCell ref="G264:I264"/>
    <mergeCell ref="G265:I265"/>
    <mergeCell ref="G269:I269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H294"/>
    <mergeCell ref="G295:H295"/>
    <mergeCell ref="G308:H308"/>
    <mergeCell ref="G309:H309"/>
    <mergeCell ref="G310:H310"/>
    <mergeCell ref="G311:H311"/>
    <mergeCell ref="G312:H312"/>
    <mergeCell ref="G313:H313"/>
    <mergeCell ref="G302:H302"/>
    <mergeCell ref="G303:H303"/>
    <mergeCell ref="G304:H304"/>
    <mergeCell ref="G305:H305"/>
    <mergeCell ref="G306:I306"/>
    <mergeCell ref="G307:H307"/>
    <mergeCell ref="G315:I315"/>
    <mergeCell ref="G326:H326"/>
    <mergeCell ref="G327:H327"/>
    <mergeCell ref="G328:H328"/>
    <mergeCell ref="G329:H329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54:I354"/>
    <mergeCell ref="G355:I355"/>
    <mergeCell ref="G348:H348"/>
    <mergeCell ref="G349:H349"/>
    <mergeCell ref="G350:H350"/>
    <mergeCell ref="G351:H351"/>
    <mergeCell ref="G352:I352"/>
    <mergeCell ref="G353:I353"/>
    <mergeCell ref="G343:I343"/>
    <mergeCell ref="G344:H344"/>
    <mergeCell ref="G345:H345"/>
    <mergeCell ref="G346:H346"/>
    <mergeCell ref="G347:H347"/>
    <mergeCell ref="G385:H385"/>
    <mergeCell ref="G374:H374"/>
    <mergeCell ref="G375:H375"/>
    <mergeCell ref="G376:H376"/>
    <mergeCell ref="G377:H377"/>
    <mergeCell ref="G378:H378"/>
    <mergeCell ref="G379:H379"/>
    <mergeCell ref="G371:H371"/>
    <mergeCell ref="G372:H372"/>
    <mergeCell ref="G373:H373"/>
    <mergeCell ref="G423:I423"/>
    <mergeCell ref="G425:I425"/>
    <mergeCell ref="G427:I427"/>
    <mergeCell ref="G429:I429"/>
    <mergeCell ref="G431:I431"/>
    <mergeCell ref="G433:I433"/>
    <mergeCell ref="G392:H392"/>
    <mergeCell ref="G412:H412"/>
    <mergeCell ref="G417:I417"/>
    <mergeCell ref="G419:I419"/>
    <mergeCell ref="G420:I420"/>
    <mergeCell ref="G422:I422"/>
    <mergeCell ref="G394:H394"/>
    <mergeCell ref="G395:H395"/>
    <mergeCell ref="G396:H396"/>
    <mergeCell ref="G397:H397"/>
    <mergeCell ref="G404:I404"/>
    <mergeCell ref="G398:H398"/>
    <mergeCell ref="G399:H399"/>
    <mergeCell ref="G400:H400"/>
    <mergeCell ref="G401:H401"/>
    <mergeCell ref="G403:I403"/>
    <mergeCell ref="G393:H393"/>
    <mergeCell ref="G447:I447"/>
    <mergeCell ref="G451:I451"/>
    <mergeCell ref="G454:I454"/>
    <mergeCell ref="G457:I457"/>
    <mergeCell ref="G461:I461"/>
    <mergeCell ref="G463:I463"/>
    <mergeCell ref="G435:I435"/>
    <mergeCell ref="G437:I437"/>
    <mergeCell ref="G439:I439"/>
    <mergeCell ref="G441:I441"/>
    <mergeCell ref="G443:I443"/>
    <mergeCell ref="G445:I445"/>
    <mergeCell ref="G481:I481"/>
    <mergeCell ref="G482:I482"/>
    <mergeCell ref="G483:I483"/>
    <mergeCell ref="C484:D484"/>
    <mergeCell ref="G486:I486"/>
    <mergeCell ref="G489:I489"/>
    <mergeCell ref="G469:I469"/>
    <mergeCell ref="G471:I471"/>
    <mergeCell ref="G473:I473"/>
    <mergeCell ref="G477:I477"/>
    <mergeCell ref="G479:I479"/>
    <mergeCell ref="G480:I480"/>
    <mergeCell ref="G537:I537"/>
    <mergeCell ref="G543:I543"/>
    <mergeCell ref="G548:I548"/>
    <mergeCell ref="G578:I578"/>
    <mergeCell ref="G580:H580"/>
    <mergeCell ref="G584:I584"/>
    <mergeCell ref="G492:I492"/>
    <mergeCell ref="G495:I495"/>
    <mergeCell ref="G498:I498"/>
    <mergeCell ref="G501:I501"/>
    <mergeCell ref="G504:I504"/>
    <mergeCell ref="G534:I534"/>
    <mergeCell ref="G386:H386"/>
    <mergeCell ref="G387:H387"/>
    <mergeCell ref="G388:H388"/>
    <mergeCell ref="G389:H389"/>
    <mergeCell ref="G390:H390"/>
    <mergeCell ref="G391:H391"/>
    <mergeCell ref="G380:H380"/>
    <mergeCell ref="G381:H381"/>
    <mergeCell ref="G316:I316"/>
    <mergeCell ref="G336:H336"/>
    <mergeCell ref="G337:H337"/>
    <mergeCell ref="G338:H338"/>
    <mergeCell ref="G339:H339"/>
    <mergeCell ref="G340:H340"/>
    <mergeCell ref="G341:I341"/>
    <mergeCell ref="G330:H330"/>
    <mergeCell ref="G331:H331"/>
    <mergeCell ref="G332:H332"/>
    <mergeCell ref="G333:H333"/>
    <mergeCell ref="G334:H334"/>
    <mergeCell ref="G335:H335"/>
    <mergeCell ref="G382:H382"/>
    <mergeCell ref="G383:H383"/>
    <mergeCell ref="G384:H384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3272-7841-404C-8516-01C20D14AC84}">
  <sheetPr>
    <pageSetUpPr fitToPage="1"/>
  </sheetPr>
  <dimension ref="A1:U562"/>
  <sheetViews>
    <sheetView zoomScale="91" zoomScaleNormal="205" workbookViewId="0">
      <selection activeCell="A401" sqref="A401:XFD401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33" t="s">
        <v>1014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f>'BOLETIM DE MEDIÇÃO 11'!B8:C8</f>
        <v>45926</v>
      </c>
      <c r="C8" s="448"/>
      <c r="D8" s="23" t="str">
        <f>'BOLETIM DE MEDIÇÃO 11'!D8</f>
        <v>14/03/2025 a 26/09/2025</v>
      </c>
      <c r="E8" s="449">
        <f>'BOLETIM DE MEDIÇÃO 11'!E8</f>
        <v>125103.41000000003</v>
      </c>
      <c r="F8" s="450"/>
      <c r="G8" s="451"/>
      <c r="H8" s="452">
        <f>'BOLETIM DE MEDIÇÃO 11'!P8</f>
        <v>690790.10710544977</v>
      </c>
      <c r="I8" s="453"/>
      <c r="J8" s="454" t="s">
        <v>1006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09)'!K14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09)'!K15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09)'!K16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09)'!K17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09)'!K19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09)'!K21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09)'!K24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09)'!K25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2">
        <v>1</v>
      </c>
      <c r="G70" s="499">
        <f>43.05</f>
        <v>43.05</v>
      </c>
      <c r="H70" s="500"/>
      <c r="I70" s="501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3"/>
      <c r="G71" s="502"/>
      <c r="H71" s="503"/>
      <c r="I71" s="504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6" t="s">
        <v>883</v>
      </c>
      <c r="H72" s="497"/>
      <c r="I72" s="498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4" t="s">
        <v>838</v>
      </c>
      <c r="H73" s="495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4">
        <v>9</v>
      </c>
      <c r="H74" s="495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4">
        <v>5</v>
      </c>
      <c r="H75" s="495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4">
        <f xml:space="preserve"> (13.03 * 2.7)</f>
        <v>35.180999999999997</v>
      </c>
      <c r="H76" s="495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4">
        <v>3</v>
      </c>
      <c r="H77" s="495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4">
        <v>7</v>
      </c>
      <c r="H78" s="495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4">
        <v>21</v>
      </c>
      <c r="H79" s="495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4">
        <v>27</v>
      </c>
      <c r="H80" s="495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4">
        <v>26</v>
      </c>
      <c r="H81" s="495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4">
        <v>1.6</v>
      </c>
      <c r="H82" s="495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4">
        <v>1.6</v>
      </c>
      <c r="H83" s="495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4">
        <v>45</v>
      </c>
      <c r="H84" s="495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4">
        <v>19</v>
      </c>
      <c r="H85" s="495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4">
        <v>19</v>
      </c>
      <c r="H86" s="495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4">
        <v>5</v>
      </c>
      <c r="H87" s="495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4">
        <v>14</v>
      </c>
      <c r="H88" s="495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5">
        <v>36</v>
      </c>
      <c r="H89" s="506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5">
        <v>46</v>
      </c>
      <c r="H90" s="506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4">
        <v>41</v>
      </c>
      <c r="H91" s="495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4">
        <v>27</v>
      </c>
      <c r="H92" s="495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4">
        <v>53</v>
      </c>
      <c r="H93" s="495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4">
        <f xml:space="preserve"> (2.65*1.8)</f>
        <v>4.7699999999999996</v>
      </c>
      <c r="H94" s="495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4">
        <v>30</v>
      </c>
      <c r="H95" s="495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4">
        <v>30</v>
      </c>
      <c r="H96" s="495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4">
        <v>14</v>
      </c>
      <c r="H97" s="495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4">
        <v>14</v>
      </c>
      <c r="H98" s="495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4">
        <v>20</v>
      </c>
      <c r="H99" s="495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4">
        <v>3</v>
      </c>
      <c r="H100" s="495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4">
        <v>4</v>
      </c>
      <c r="H101" s="495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4">
        <v>12</v>
      </c>
      <c r="H102" s="495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4">
        <v>20</v>
      </c>
      <c r="H103" s="495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4">
        <v>4</v>
      </c>
      <c r="H104" s="495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4">
        <v>5</v>
      </c>
      <c r="H105" s="495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4">
        <f>1184.23-SUM(G74:H105)</f>
        <v>582.07900000000006</v>
      </c>
      <c r="H106" s="495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4"/>
      <c r="H107" s="495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75" t="s">
        <v>652</v>
      </c>
      <c r="H108" s="477"/>
      <c r="I108" s="478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09)'!K154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09)'!K163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71" t="s">
        <v>831</v>
      </c>
      <c r="H172" s="473"/>
      <c r="I172" s="474"/>
      <c r="J172" s="99">
        <f>'BOLETIM DE MEDIÇÃO 05'!O29-'MEMORIAL DE CALCULO 09)'!K172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75">
        <v>492.78</v>
      </c>
      <c r="H173" s="477"/>
      <c r="I173" s="478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75">
        <f>(2*12)+(2*3.79)+(2*8.94)+(2*6.27)+ 1.39+0.99 +(2*1.85)+(2*1.7)+ (2*1.35)</f>
        <v>74.180000000000007</v>
      </c>
      <c r="H174" s="476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75">
        <f>(2*10.92)+(2*10.92)+ 1.3 + 1.1</f>
        <v>46.08</v>
      </c>
      <c r="H175" s="476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75">
        <f>(2*1.87)+(2*1.87)</f>
        <v>7.48</v>
      </c>
      <c r="H176" s="476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75">
        <f>(2*6.55)+(2*6.3)+1.75+1.35+1.19</f>
        <v>29.990000000000002</v>
      </c>
      <c r="H177" s="476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75">
        <f>(2*8.39)+(2*1.7)+ 1.1+ 3.13 + (2*5.24)+ (2*3.11)</f>
        <v>41.11</v>
      </c>
      <c r="H178" s="476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75"/>
      <c r="H179" s="476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75"/>
      <c r="H180" s="476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75"/>
      <c r="H181" s="476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75"/>
      <c r="H182" s="476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75"/>
      <c r="H183" s="476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75"/>
      <c r="H184" s="476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75"/>
      <c r="H185" s="476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75"/>
      <c r="H186" s="476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75"/>
      <c r="H187" s="476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75"/>
      <c r="H188" s="476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75"/>
      <c r="H189" s="476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75"/>
      <c r="H190" s="476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75"/>
      <c r="H191" s="476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75"/>
      <c r="H192" s="476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75"/>
      <c r="H193" s="476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75"/>
      <c r="H194" s="476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75"/>
      <c r="H195" s="476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75"/>
      <c r="H196" s="476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75"/>
      <c r="H197" s="476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75"/>
      <c r="H198" s="476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75"/>
      <c r="H199" s="476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71">
        <f xml:space="preserve"> (2*1.31) + (2*1.51) + (2*4.98)</f>
        <v>15.600000000000001</v>
      </c>
      <c r="H201" s="47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71">
        <f xml:space="preserve"> (3*3.37) + (1.37) + (2*3.47)</f>
        <v>18.420000000000002</v>
      </c>
      <c r="H202" s="47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71">
        <f xml:space="preserve"> (1.87) + (2*3.62)</f>
        <v>9.11</v>
      </c>
      <c r="H203" s="47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71">
        <f xml:space="preserve"> (4*0.88) + (2*3.36) + (2*5.03)</f>
        <v>20.3</v>
      </c>
      <c r="H204" s="47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71">
        <f xml:space="preserve"> (2*3.18) + (2*3.18)</f>
        <v>12.72</v>
      </c>
      <c r="H205" s="47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71">
        <f xml:space="preserve"> (4*2.15)</f>
        <v>8.6</v>
      </c>
      <c r="H206" s="47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71">
        <f xml:space="preserve"> (4*6.99)</f>
        <v>27.96</v>
      </c>
      <c r="H207" s="47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71" t="s">
        <v>831</v>
      </c>
      <c r="H208" s="473"/>
      <c r="I208" s="474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71"/>
      <c r="H209" s="473"/>
      <c r="I209" s="474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75" t="s">
        <v>679</v>
      </c>
      <c r="H217" s="476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71" t="s">
        <v>680</v>
      </c>
      <c r="H218" s="47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71" t="s">
        <v>681</v>
      </c>
      <c r="H219" s="47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71" t="s">
        <v>682</v>
      </c>
      <c r="H220" s="47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71" t="s">
        <v>684</v>
      </c>
      <c r="H221" s="47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71" t="s">
        <v>683</v>
      </c>
      <c r="H222" s="47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71" t="s">
        <v>685</v>
      </c>
      <c r="H223" s="47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75" t="s">
        <v>686</v>
      </c>
      <c r="H224" s="476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71" t="s">
        <v>687</v>
      </c>
      <c r="H225" s="47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71" t="s">
        <v>688</v>
      </c>
      <c r="H226" s="47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75" t="s">
        <v>689</v>
      </c>
      <c r="H227" s="476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71" t="s">
        <v>690</v>
      </c>
      <c r="H228" s="47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75" t="s">
        <v>691</v>
      </c>
      <c r="H229" s="476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71" t="s">
        <v>692</v>
      </c>
      <c r="H230" s="47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71" t="s">
        <v>693</v>
      </c>
      <c r="H231" s="47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75" t="s">
        <v>694</v>
      </c>
      <c r="H232" s="476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71" t="s">
        <v>695</v>
      </c>
      <c r="H233" s="47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71" t="s">
        <v>696</v>
      </c>
      <c r="H234" s="47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71" t="s">
        <v>697</v>
      </c>
      <c r="H235" s="47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71" t="s">
        <v>698</v>
      </c>
      <c r="H236" s="47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71" t="s">
        <v>699</v>
      </c>
      <c r="H237" s="47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71" t="s">
        <v>700</v>
      </c>
      <c r="H238" s="47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71" t="s">
        <v>701</v>
      </c>
      <c r="H239" s="47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75" t="s">
        <v>702</v>
      </c>
      <c r="H240" s="476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71" t="s">
        <v>704</v>
      </c>
      <c r="H241" s="47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71" t="s">
        <v>703</v>
      </c>
      <c r="H242" s="47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71" t="s">
        <v>703</v>
      </c>
      <c r="H243" s="47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71" t="s">
        <v>705</v>
      </c>
      <c r="H244" s="47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71" t="s">
        <v>704</v>
      </c>
      <c r="H245" s="47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71" t="s">
        <v>705</v>
      </c>
      <c r="H246" s="47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71" t="s">
        <v>704</v>
      </c>
      <c r="H247" s="47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71">
        <v>9.6</v>
      </c>
      <c r="H248" s="473"/>
      <c r="I248" s="474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71">
        <v>12.75</v>
      </c>
      <c r="H249" s="473"/>
      <c r="I249" s="474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8" t="s">
        <v>874</v>
      </c>
      <c r="H257" s="489"/>
      <c r="I257" s="490"/>
      <c r="J257" s="99">
        <f>'BOLETIM DE MEDIÇÃO 05'!O31-'MEMORIAL DE CALCULO 09)'!K257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71"/>
      <c r="H258" s="473"/>
      <c r="I258" s="474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71">
        <v>9.6</v>
      </c>
      <c r="H259" s="473"/>
      <c r="I259" s="474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71" t="s">
        <v>831</v>
      </c>
      <c r="H260" s="473"/>
      <c r="I260" s="474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71">
        <f>G249</f>
        <v>12.75</v>
      </c>
      <c r="H261" s="473"/>
      <c r="I261" s="474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71" t="s">
        <v>831</v>
      </c>
      <c r="H262" s="473"/>
      <c r="I262" s="474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75" t="s">
        <v>647</v>
      </c>
      <c r="H263" s="476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71">
        <f xml:space="preserve"> ((0.59*(1.85/0.1)) * 2)</f>
        <v>21.83</v>
      </c>
      <c r="H264" s="47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71">
        <f>(0.69*(1.87/0.1)) + (0.79*(1.87/0.1))</f>
        <v>27.675999999999998</v>
      </c>
      <c r="H265" s="47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71">
        <f>((0.69*(1.9/0.1))*3) + ((0.59*(1.87/0.1))*2)</f>
        <v>61.395999999999987</v>
      </c>
      <c r="H266" s="47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71">
        <f>((0.69*(1.92/0.1))*1) + ((0.59*(1.92/0.1))*2)</f>
        <v>35.903999999999996</v>
      </c>
      <c r="H267" s="47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71">
        <f>((0.79*(1.94/0.1))*3)</f>
        <v>45.977999999999994</v>
      </c>
      <c r="H268" s="47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71">
        <f>((0.69*(1.96/0.1))*3) + ((0.59*(1.96/0.1))*2)</f>
        <v>63.699999999999989</v>
      </c>
      <c r="H269" s="47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71">
        <f>((0.59*(1.95/0.1))*2) + ((0.69*(1.95/0.1))*3) +((0.79*(1.95/0.1))*1)</f>
        <v>78.78</v>
      </c>
      <c r="H270" s="47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71">
        <f>((0.59*(1.97/0.1))*1)  +((0.79*(1.97/0.1))*2)</f>
        <v>42.749000000000002</v>
      </c>
      <c r="H271" s="47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71">
        <f>((0.59*(1.9/0.1))*3)</f>
        <v>33.629999999999995</v>
      </c>
      <c r="H272" s="47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71">
        <f>((0.69*(1.86/0.1))*1) + ((0.69*(1.86/0.1))*1) + ((0.89*(1.86/0.1))*1)</f>
        <v>42.222000000000001</v>
      </c>
      <c r="H273" s="47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71">
        <f>((0.69*(1.87/0.1))*3)</f>
        <v>38.708999999999996</v>
      </c>
      <c r="H274" s="47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71">
        <f>((0.69*(1.9/0.1))*1) + ((0.79*(1.9/0.1))*2) + ((0.59*(1.9/0.1))*1)</f>
        <v>54.339999999999989</v>
      </c>
      <c r="H275" s="47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71">
        <f>((0.79*(1.91/0.1))*1) +((0.59*(1.91/0.1))*1)</f>
        <v>26.357999999999997</v>
      </c>
      <c r="H276" s="47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71">
        <f>((0.79*(1.94/0.1))*1) +((0.59*(1.94/0.1))*5)</f>
        <v>72.555999999999983</v>
      </c>
      <c r="H277" s="47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71">
        <f>((0.69*(1.92/0.1))*2) + ((0.69*(1.92/0.1))*1)</f>
        <v>39.744</v>
      </c>
      <c r="H278" s="47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71">
        <f>((0.59*(1.93/0.1))*2) + ((0.79*(1.93/0.1))*1)</f>
        <v>38.020999999999994</v>
      </c>
      <c r="H279" s="47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71">
        <f>((0.59*(1.87/0.1))*2) + ((0.69*(1.87/0.1))*2)</f>
        <v>47.872</v>
      </c>
      <c r="H280" s="47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71">
        <f>((0.59*(1.88/0.1))*3) + ((0.69*(1.88/0.1))*1)</f>
        <v>46.24799999999999</v>
      </c>
      <c r="H281" s="47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71">
        <f>((0.79*(1.9/0.1))*1) + ((0.69*(1.9/0.1))*3)</f>
        <v>54.339999999999982</v>
      </c>
      <c r="H282" s="47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71">
        <f>((0.59*(1.9/0.1))*1)</f>
        <v>11.209999999999997</v>
      </c>
      <c r="H283" s="47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71">
        <f>((0.69*(1.87/0.1))*1) + ((0.59*(1.87/0.1))*1)</f>
        <v>23.936</v>
      </c>
      <c r="H284" s="47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71">
        <f>((0.69*(2/0.1))*1) + ((0.59*(2/0.1))*2)</f>
        <v>37.4</v>
      </c>
      <c r="H285" s="47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71">
        <f>((0.69*(2.01/0.1))*1) + ((0.59*(2.01/0.1))*5) + ((0.79*(2.01/0.1))*1)</f>
        <v>89.042999999999992</v>
      </c>
      <c r="H286" s="47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71">
        <f>(((1.39+0.47+0.47))*(1.86/0.15))</f>
        <v>28.892000000000003</v>
      </c>
      <c r="H287" s="47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71">
        <f>(((1.09+0.022))*(1.87/0.15))</f>
        <v>13.862933333333336</v>
      </c>
      <c r="H288" s="47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71">
        <f>(((1.09+0.022))*(1.89/0.15))</f>
        <v>14.011200000000001</v>
      </c>
      <c r="H289" s="47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71">
        <f>(((0.59))*(1.9/0.15))</f>
        <v>7.4733333333333327</v>
      </c>
      <c r="H290" s="47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71">
        <f>(((0.59))*(1.92/0.15))</f>
        <v>7.5519999999999996</v>
      </c>
      <c r="H291" s="47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71">
        <f>(((0.59))*(1.9/0.15))</f>
        <v>7.4733333333333327</v>
      </c>
      <c r="H292" s="47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71">
        <f>(((0.69))*(1.98/0.15))</f>
        <v>9.1080000000000005</v>
      </c>
      <c r="H293" s="47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75">
        <v>210.13</v>
      </c>
      <c r="H294" s="477"/>
      <c r="I294" s="478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71">
        <f xml:space="preserve"> (2*2.51) + (40*0.59)</f>
        <v>28.619999999999997</v>
      </c>
      <c r="H295" s="47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71">
        <f xml:space="preserve"> (19*0.79)</f>
        <v>15.010000000000002</v>
      </c>
      <c r="H296" s="47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71">
        <f xml:space="preserve"> (21*0.79)</f>
        <v>16.59</v>
      </c>
      <c r="H297" s="47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71">
        <f xml:space="preserve"> (2*3.86) + (29*0.79)</f>
        <v>30.63</v>
      </c>
      <c r="H298" s="47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71">
        <f xml:space="preserve"> (22*0.59)</f>
        <v>12.979999999999999</v>
      </c>
      <c r="H299" s="47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71">
        <f xml:space="preserve"> (14*0.059)</f>
        <v>0.82599999999999996</v>
      </c>
      <c r="H300" s="47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71">
        <f xml:space="preserve"> (59*0.59)</f>
        <v>34.809999999999995</v>
      </c>
      <c r="H301" s="47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09)'!K302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71">
        <v>295</v>
      </c>
      <c r="H303" s="473"/>
      <c r="I303" s="474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75" t="s">
        <v>628</v>
      </c>
      <c r="H306" s="476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71">
        <f xml:space="preserve"> (4*(0.2+0.25+1.85+0.33)) * 2</f>
        <v>21.040000000000003</v>
      </c>
      <c r="H307" s="47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71">
        <f xml:space="preserve"> ((4*(0.2+0.25+1.87+0.33)) * 2)</f>
        <v>21.200000000000003</v>
      </c>
      <c r="H308" s="47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71">
        <f xml:space="preserve"> (4*(0.2+0.25+1.9+0.33)) * 5</f>
        <v>53.6</v>
      </c>
      <c r="H309" s="47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71">
        <f xml:space="preserve"> (4*(0.2+0.25+1.92+0.33)) *3</f>
        <v>32.400000000000006</v>
      </c>
      <c r="H310" s="47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71">
        <f xml:space="preserve"> (4*(0.2+0.25+1.94+0.33)) * 3</f>
        <v>32.64</v>
      </c>
      <c r="H311" s="47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71">
        <f xml:space="preserve"> (4*(0.2+0.25+1.96+0.33)) * 5</f>
        <v>54.800000000000004</v>
      </c>
      <c r="H312" s="47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71">
        <f xml:space="preserve"> (4*(0.2+0.25+1.95+0.33)) * 6</f>
        <v>65.52</v>
      </c>
      <c r="H313" s="47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71">
        <f xml:space="preserve"> (4*(0.2+0.25+1.97+0.33)) * 3</f>
        <v>33</v>
      </c>
      <c r="H314" s="47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71">
        <f xml:space="preserve"> (4*(0.2+0.25+1.9+0.33)) * 3</f>
        <v>32.160000000000004</v>
      </c>
      <c r="H315" s="47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71">
        <f xml:space="preserve"> ((4*(0.2+0.25+1.86+0.33)) * 3)</f>
        <v>31.68</v>
      </c>
      <c r="H316" s="47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71">
        <f xml:space="preserve"> ((4*(0.2+0.25+1.87+0.33)) * 3)</f>
        <v>31.800000000000004</v>
      </c>
      <c r="H317" s="47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71">
        <f xml:space="preserve"> ((4*(0.2+0.25+1.9+0.33)) * 4)</f>
        <v>42.88</v>
      </c>
      <c r="H318" s="47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71">
        <f xml:space="preserve"> ((4*(0.2+0.25+1.91+0.33)) * 2)</f>
        <v>21.52</v>
      </c>
      <c r="H319" s="47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71">
        <f xml:space="preserve"> ((4*(0.2+0.25+1.94+0.33)) * 6)</f>
        <v>65.28</v>
      </c>
      <c r="H320" s="47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71">
        <f xml:space="preserve"> ((4*(0.2+0.25+1.92+0.33)) *3)</f>
        <v>32.400000000000006</v>
      </c>
      <c r="H321" s="47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71">
        <f xml:space="preserve"> ((4*(0.2+0.25+1.93+0.33)) *3)</f>
        <v>32.519999999999996</v>
      </c>
      <c r="H322" s="47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71">
        <f xml:space="preserve"> ((4*(0.2+0.25+1.87+0.33)) *4)</f>
        <v>42.400000000000006</v>
      </c>
      <c r="H323" s="47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71">
        <f xml:space="preserve"> ((4*(0.2+0.25+1.88+0.33)) *4)</f>
        <v>42.56</v>
      </c>
      <c r="H324" s="47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71">
        <f xml:space="preserve"> ((4*(0.2+0.25+1.9+0.33)) *4)</f>
        <v>42.88</v>
      </c>
      <c r="H325" s="47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71">
        <f>((4*(0.2+0.25+1.9+0.33))) + ((8*(0.2+0.25+1.9)))</f>
        <v>29.520000000000003</v>
      </c>
      <c r="H326" s="47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71">
        <f xml:space="preserve"> ((4*(0.2+0.25+1.97+0.33)) *2)</f>
        <v>22</v>
      </c>
      <c r="H327" s="47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71">
        <f xml:space="preserve"> ((4*(0.2+0.25+2+0.33)) *3)</f>
        <v>33.36</v>
      </c>
      <c r="H328" s="47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71">
        <f xml:space="preserve"> ((4*(0.2+0.25+2.01+0.33)) *7)</f>
        <v>78.12</v>
      </c>
      <c r="H329" s="47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71" t="s">
        <v>831</v>
      </c>
      <c r="H330" s="473"/>
      <c r="I330" s="474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75" t="s">
        <v>628</v>
      </c>
      <c r="H331" s="476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71">
        <f>((8*(0.2+0.25+1.86+0.42)))</f>
        <v>21.84</v>
      </c>
      <c r="H332" s="47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71">
        <f>((6*(0.2+0.25+1.87+0.42)))</f>
        <v>16.440000000000001</v>
      </c>
      <c r="H333" s="47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71">
        <f>((6*(0.2+0.25+1.89+0.42)))</f>
        <v>16.559999999999999</v>
      </c>
      <c r="H334" s="47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71">
        <f>((4*(0.2+0.25+1.9+0.42)))</f>
        <v>11.08</v>
      </c>
      <c r="H335" s="47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71">
        <f>((4*(0.2+0.25+1.92+0.42)))</f>
        <v>11.16</v>
      </c>
      <c r="H336" s="47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71">
        <f>((4*(0.2+0.25+1.9+0.42)))</f>
        <v>11.08</v>
      </c>
      <c r="H337" s="47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71">
        <f>((4*(0.2+0.25+1.98+0.42)))+(2*(0.2+0.25+1.98))</f>
        <v>16.260000000000002</v>
      </c>
      <c r="H338" s="47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75">
        <v>52.34</v>
      </c>
      <c r="H339" s="477"/>
      <c r="I339" s="478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71"/>
      <c r="H340" s="473"/>
      <c r="I340" s="474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71">
        <v>223.49</v>
      </c>
      <c r="H341" s="473"/>
      <c r="I341" s="474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75" t="s">
        <v>706</v>
      </c>
      <c r="H350" s="476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71">
        <f xml:space="preserve"> ((0.15+0.25)*2) *2</f>
        <v>1.6</v>
      </c>
      <c r="H351" s="47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71">
        <f xml:space="preserve"> ((0.2+0.25)*2) + ((0.2+0.3)*2)</f>
        <v>1.9</v>
      </c>
      <c r="H352" s="472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71">
        <f xml:space="preserve"> ((0.2+0.25)*2*3) + ((0.2+0.2)*2*1) + ((0.15+0.2)*2*1)</f>
        <v>4.2</v>
      </c>
      <c r="H353" s="47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71">
        <f xml:space="preserve"> ((0.2+0.25)*2*1) + ((0.15+0.25)*2*2)</f>
        <v>2.5</v>
      </c>
      <c r="H354" s="47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71">
        <f xml:space="preserve"> ((0.15+0.3)*2*3)</f>
        <v>2.6999999999999997</v>
      </c>
      <c r="H355" s="47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71">
        <f xml:space="preserve"> ((0.2+0.25)*2*3) + ((0.15+0.25)*2*2)</f>
        <v>4.3000000000000007</v>
      </c>
      <c r="H356" s="47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71">
        <f xml:space="preserve"> ((0.2+0.25)*2*3) + ((0.15+0.25)*2*2) +  ((0.2+0.3)*2*1)</f>
        <v>5.3000000000000007</v>
      </c>
      <c r="H357" s="47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71">
        <f xml:space="preserve"> ((0.2+0.25)*2*2) + ((0.15+0.25)*2*1)</f>
        <v>2.6</v>
      </c>
      <c r="H358" s="47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71">
        <f>((0.15+0.25)*2*3)</f>
        <v>2.4000000000000004</v>
      </c>
      <c r="H359" s="47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71">
        <f xml:space="preserve"> ((0.2+0.25)*2*1) + ((0.15+0.25)*2*1) +  ((0.2+0.35)*2*1)</f>
        <v>2.8000000000000003</v>
      </c>
      <c r="H360" s="47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71">
        <f xml:space="preserve"> ((0.2+0.25)*2*1) + ((0.15+0.3)*2*2)</f>
        <v>2.6999999999999997</v>
      </c>
      <c r="H361" s="47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71">
        <f xml:space="preserve"> ((0.2+0.3)*2*1) + ((0.15+0.3)*2*1) +  ((0.15+0.25)*2*1) + ((0.15+0.35)*2*1)</f>
        <v>3.7</v>
      </c>
      <c r="H362" s="47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71">
        <f xml:space="preserve"> ((0.15+0.25)*2*1) + ((0.2+0.3)*2*1)</f>
        <v>1.8</v>
      </c>
      <c r="H363" s="47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71">
        <f xml:space="preserve"> ((0.15+0.25)*2*5) + ((0.25+0.25)*2*1)</f>
        <v>5</v>
      </c>
      <c r="H364" s="47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71">
        <f xml:space="preserve"> ((0.2+0.25)*2*1) + ((0.15+0.25)*2*1) +  ((0.25+0.25)*2*1)</f>
        <v>2.7</v>
      </c>
      <c r="H365" s="47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71">
        <f xml:space="preserve"> ((0.15+0.25)*2*2) + ((0.25+0.25)*2*1)</f>
        <v>2.6</v>
      </c>
      <c r="H366" s="47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71">
        <f xml:space="preserve"> ((0.15+0.25)*2*2) + ((0.2+0.25)*2*2)</f>
        <v>3.4000000000000004</v>
      </c>
      <c r="H367" s="47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71">
        <f xml:space="preserve"> ((0.15+0.25)*2*3) + ((0.2+0.25)*2*1)</f>
        <v>3.3000000000000003</v>
      </c>
      <c r="H368" s="47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71">
        <f>((0.2+0.25)*2*3) + ((0.25+0.25)*2*1)</f>
        <v>3.7</v>
      </c>
      <c r="H369" s="47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71">
        <f>((0.2+0.2)*2*1)</f>
        <v>0.8</v>
      </c>
      <c r="H370" s="47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71">
        <f>((0.2+0.25)*2*1) + ((0.15+0.25)*2*1)</f>
        <v>1.7000000000000002</v>
      </c>
      <c r="H371" s="47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71">
        <f>((0.2+0.25)*2*1) + ((0.15+0.25)*2*2)</f>
        <v>2.5</v>
      </c>
      <c r="H372" s="47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71">
        <f xml:space="preserve"> ((0.2+0.3)*2*1) + ((0.15+0.25)*2*5) +  ((0.25+0.25)*2*1)</f>
        <v>6</v>
      </c>
      <c r="H373" s="47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71">
        <f>((0.15+0.3)*2*1)</f>
        <v>0.89999999999999991</v>
      </c>
      <c r="H374" s="47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71">
        <f>((0.15+0.5)*2*1)</f>
        <v>1.3</v>
      </c>
      <c r="H375" s="47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71">
        <f>((0.15+0.5)*2*1)</f>
        <v>1.3</v>
      </c>
      <c r="H376" s="47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71">
        <f>((0.15+0.25)*2*1)</f>
        <v>0.8</v>
      </c>
      <c r="H377" s="47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71">
        <f t="shared" ref="G378" si="18">((0.15+0.3)*2*1)</f>
        <v>0.89999999999999991</v>
      </c>
      <c r="H378" s="47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71">
        <f>((0.15+0.25)*2*1)</f>
        <v>0.8</v>
      </c>
      <c r="H379" s="47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71">
        <f>((0.15+0.3)*2*1)</f>
        <v>0.89999999999999991</v>
      </c>
      <c r="H380" s="47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09)'!K381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s="167" customFormat="1" ht="48.6" customHeight="1" x14ac:dyDescent="0.25">
      <c r="B384" s="203" t="s">
        <v>92</v>
      </c>
      <c r="C384" s="211">
        <v>92443</v>
      </c>
      <c r="D384" s="205" t="s">
        <v>94</v>
      </c>
      <c r="E384" s="206" t="s">
        <v>17</v>
      </c>
      <c r="F384" s="94">
        <v>1</v>
      </c>
      <c r="G384" s="104"/>
      <c r="H384" s="92"/>
      <c r="I384" s="105"/>
      <c r="J384" s="99">
        <f>'BOLETIM DE MEDIÇÃO 11'!S40-K384</f>
        <v>402.14</v>
      </c>
      <c r="K384" s="81">
        <f>G385</f>
        <v>8.8404000000000007</v>
      </c>
      <c r="L384" s="82">
        <f>J384+K384</f>
        <v>410.98039999999997</v>
      </c>
      <c r="M384" s="82">
        <f>'BOLETIM DE MEDIÇÃO 11'!G40</f>
        <v>410.98</v>
      </c>
      <c r="N384" s="86">
        <f>M384-L384</f>
        <v>-3.999999999564352E-4</v>
      </c>
    </row>
    <row r="385" spans="2:14" ht="14.45" customHeight="1" x14ac:dyDescent="0.25">
      <c r="B385" s="56"/>
      <c r="C385" s="60"/>
      <c r="D385" s="413" t="s">
        <v>1008</v>
      </c>
      <c r="E385" s="64"/>
      <c r="F385" s="94">
        <v>1</v>
      </c>
      <c r="G385" s="471">
        <v>8.8404000000000007</v>
      </c>
      <c r="H385" s="473"/>
      <c r="I385" s="474"/>
      <c r="J385" s="99"/>
      <c r="K385" s="82"/>
      <c r="L385" s="82"/>
      <c r="M385" s="82"/>
      <c r="N385" s="86"/>
    </row>
    <row r="386" spans="2:14" ht="40.15" customHeight="1" x14ac:dyDescent="0.25">
      <c r="B386" s="247" t="s">
        <v>95</v>
      </c>
      <c r="C386" s="248">
        <v>92480</v>
      </c>
      <c r="D386" s="402" t="s">
        <v>97</v>
      </c>
      <c r="E386" s="242" t="s">
        <v>17</v>
      </c>
      <c r="F386" s="243"/>
      <c r="G386" s="244"/>
      <c r="H386" s="403"/>
      <c r="I386" s="246"/>
      <c r="J386" s="249">
        <f>'BOLETIM DE MEDIÇÃO 11'!S41-'MEMORIAL DE CALCULO 09)'!K386</f>
        <v>331.92200000000003</v>
      </c>
      <c r="K386" s="250">
        <f>K387+K388</f>
        <v>107.89619999999999</v>
      </c>
      <c r="L386" s="251">
        <f t="shared" si="0"/>
        <v>439.81820000000005</v>
      </c>
      <c r="M386" s="251">
        <f>'BOLETIM DE MEDIÇÃO 05'!G41</f>
        <v>435.33</v>
      </c>
      <c r="N386" s="252">
        <f t="shared" si="1"/>
        <v>-4.488200000000063</v>
      </c>
    </row>
    <row r="387" spans="2:14" ht="18" customHeight="1" x14ac:dyDescent="0.25">
      <c r="B387" s="247"/>
      <c r="C387" s="404"/>
      <c r="D387" s="412" t="s">
        <v>1010</v>
      </c>
      <c r="E387" s="242"/>
      <c r="F387" s="243">
        <v>1</v>
      </c>
      <c r="G387" s="494">
        <v>92.376199999999997</v>
      </c>
      <c r="H387" s="543"/>
      <c r="I387" s="538"/>
      <c r="J387" s="249"/>
      <c r="K387" s="251">
        <f>G387</f>
        <v>92.376199999999997</v>
      </c>
      <c r="L387" s="251"/>
      <c r="M387" s="251"/>
      <c r="N387" s="252"/>
    </row>
    <row r="388" spans="2:14" ht="18" customHeight="1" x14ac:dyDescent="0.25">
      <c r="B388" s="247"/>
      <c r="C388" s="404"/>
      <c r="D388" s="412" t="s">
        <v>1009</v>
      </c>
      <c r="E388" s="242"/>
      <c r="F388" s="243">
        <v>1</v>
      </c>
      <c r="G388" s="494">
        <v>15.52</v>
      </c>
      <c r="H388" s="537"/>
      <c r="I388" s="538"/>
      <c r="J388" s="249"/>
      <c r="K388" s="251">
        <f>G388</f>
        <v>15.52</v>
      </c>
      <c r="L388" s="251"/>
      <c r="M388" s="251"/>
      <c r="N388" s="252"/>
    </row>
    <row r="389" spans="2:14" ht="24.6" customHeight="1" x14ac:dyDescent="0.25">
      <c r="B389" s="247" t="s">
        <v>98</v>
      </c>
      <c r="C389" s="248">
        <v>92267</v>
      </c>
      <c r="D389" s="402" t="s">
        <v>100</v>
      </c>
      <c r="E389" s="242"/>
      <c r="F389" s="243"/>
      <c r="G389" s="394"/>
      <c r="H389" s="242"/>
      <c r="I389" s="406"/>
      <c r="J389" s="249">
        <f>'BOLETIM DE MEDIÇÃO 11'!S42-'MEMORIAL DE CALCULO 09)'!K389</f>
        <v>72.858649999999997</v>
      </c>
      <c r="K389" s="250">
        <f>K390+K391</f>
        <v>57.966300000000004</v>
      </c>
      <c r="L389" s="251">
        <f>J389+K389</f>
        <v>130.82495</v>
      </c>
      <c r="M389" s="251">
        <f>'BOLETIM DE MEDIÇÃO 11'!G42</f>
        <v>130.82</v>
      </c>
      <c r="N389" s="252">
        <f>M389-L389</f>
        <v>-4.9500000000080036E-3</v>
      </c>
    </row>
    <row r="390" spans="2:14" ht="18" customHeight="1" x14ac:dyDescent="0.25">
      <c r="B390" s="247"/>
      <c r="C390" s="404"/>
      <c r="D390" s="412" t="s">
        <v>1011</v>
      </c>
      <c r="E390" s="242"/>
      <c r="F390" s="243">
        <v>1</v>
      </c>
      <c r="G390" s="494">
        <f>0.4*88.64</f>
        <v>35.456000000000003</v>
      </c>
      <c r="H390" s="544"/>
      <c r="I390" s="538"/>
      <c r="J390" s="249"/>
      <c r="K390" s="251">
        <f>G390</f>
        <v>35.456000000000003</v>
      </c>
      <c r="L390" s="251"/>
      <c r="M390" s="251"/>
      <c r="N390" s="252"/>
    </row>
    <row r="391" spans="2:14" ht="18" customHeight="1" x14ac:dyDescent="0.25">
      <c r="B391" s="247"/>
      <c r="C391" s="404"/>
      <c r="D391" s="412" t="s">
        <v>1012</v>
      </c>
      <c r="E391" s="242"/>
      <c r="F391" s="243">
        <v>1</v>
      </c>
      <c r="G391" s="494">
        <v>22.510300000000001</v>
      </c>
      <c r="H391" s="537"/>
      <c r="I391" s="538"/>
      <c r="J391" s="249"/>
      <c r="K391" s="251">
        <f>G391</f>
        <v>22.510300000000001</v>
      </c>
      <c r="L391" s="251"/>
      <c r="M391" s="251"/>
      <c r="N391" s="252"/>
    </row>
    <row r="392" spans="2:14" s="167" customFormat="1" ht="30.6" customHeight="1" x14ac:dyDescent="0.25">
      <c r="B392" s="49" t="s">
        <v>101</v>
      </c>
      <c r="C392" s="57">
        <v>92759</v>
      </c>
      <c r="D392" s="52" t="s">
        <v>103</v>
      </c>
      <c r="E392" s="64" t="s">
        <v>62</v>
      </c>
      <c r="F392" s="94"/>
      <c r="G392" s="104"/>
      <c r="H392" s="64"/>
      <c r="I392" s="105"/>
      <c r="J392" s="99">
        <f>'BOLETIM DE MEDIÇÃO 11'!S43-K392</f>
        <v>905.6037799999998</v>
      </c>
      <c r="K392" s="81">
        <f>K393</f>
        <v>130.6009</v>
      </c>
      <c r="L392" s="82">
        <f t="shared" si="0"/>
        <v>1036.2046799999998</v>
      </c>
      <c r="M392" s="82">
        <f>'BOLETIM DE MEDIÇÃO 05'!G43</f>
        <v>1027.8</v>
      </c>
      <c r="N392" s="86">
        <f t="shared" si="1"/>
        <v>-8.4046799999998711</v>
      </c>
    </row>
    <row r="393" spans="2:14" s="167" customFormat="1" ht="19.899999999999999" customHeight="1" x14ac:dyDescent="0.25">
      <c r="B393" s="49"/>
      <c r="C393" s="57"/>
      <c r="D393" s="344" t="s">
        <v>1013</v>
      </c>
      <c r="E393" s="64"/>
      <c r="F393" s="94">
        <v>1</v>
      </c>
      <c r="G393" s="471">
        <v>130.6009</v>
      </c>
      <c r="H393" s="473"/>
      <c r="I393" s="474"/>
      <c r="J393" s="99"/>
      <c r="K393" s="82">
        <f>F393*G393</f>
        <v>130.6009</v>
      </c>
      <c r="L393" s="82"/>
      <c r="M393" s="82"/>
      <c r="N393" s="86"/>
    </row>
    <row r="394" spans="2:14" s="167" customFormat="1" ht="33.6" hidden="1" customHeight="1" x14ac:dyDescent="0.25">
      <c r="B394" s="49" t="s">
        <v>104</v>
      </c>
      <c r="C394" s="57">
        <v>92760</v>
      </c>
      <c r="D394" s="52" t="s">
        <v>106</v>
      </c>
      <c r="E394" s="64" t="s">
        <v>62</v>
      </c>
      <c r="F394" s="94"/>
      <c r="G394" s="104"/>
      <c r="H394" s="64"/>
      <c r="I394" s="105"/>
      <c r="J394" s="99">
        <f>'BOLETIM DE MEDIÇÃO 05'!O44-'MEMORIAL DE CALCULO 09)'!K394</f>
        <v>7.82</v>
      </c>
      <c r="K394" s="82">
        <f>K395</f>
        <v>15.64</v>
      </c>
      <c r="L394" s="82">
        <f t="shared" ref="L394" si="19">J394+K394</f>
        <v>23.46</v>
      </c>
      <c r="M394" s="82">
        <f>'BOLETIM DE MEDIÇÃO 05'!G44</f>
        <v>39.1</v>
      </c>
      <c r="N394" s="86">
        <f t="shared" ref="N394" si="20">M394-L394</f>
        <v>15.64</v>
      </c>
    </row>
    <row r="395" spans="2:14" s="167" customFormat="1" ht="22.9" hidden="1" customHeight="1" x14ac:dyDescent="0.25">
      <c r="B395" s="49"/>
      <c r="C395" s="57"/>
      <c r="D395" s="294" t="s">
        <v>964</v>
      </c>
      <c r="E395" s="64"/>
      <c r="F395" s="94">
        <v>1</v>
      </c>
      <c r="G395" s="462">
        <f>0.4*39.1</f>
        <v>15.64</v>
      </c>
      <c r="H395" s="463"/>
      <c r="I395" s="464"/>
      <c r="J395" s="99"/>
      <c r="K395" s="82">
        <f>F395*G395</f>
        <v>15.64</v>
      </c>
      <c r="L395" s="82"/>
      <c r="M395" s="82"/>
      <c r="N395" s="86"/>
    </row>
    <row r="396" spans="2:14" s="167" customFormat="1" ht="30.6" customHeight="1" x14ac:dyDescent="0.25">
      <c r="B396" s="49" t="s">
        <v>107</v>
      </c>
      <c r="C396" s="57">
        <v>92761</v>
      </c>
      <c r="D396" s="52" t="s">
        <v>109</v>
      </c>
      <c r="E396" s="64" t="s">
        <v>62</v>
      </c>
      <c r="F396" s="94"/>
      <c r="G396" s="104"/>
      <c r="H396" s="64"/>
      <c r="I396" s="105"/>
      <c r="J396" s="99">
        <f>'BOLETIM DE MEDIÇÃO 11'!S45-K396</f>
        <v>852.63999999999987</v>
      </c>
      <c r="K396" s="81">
        <f>K397</f>
        <v>168.64</v>
      </c>
      <c r="L396" s="82">
        <f t="shared" si="0"/>
        <v>1021.2799999999999</v>
      </c>
      <c r="M396" s="82">
        <f>'BOLETIM DE MEDIÇÃO 05'!G45</f>
        <v>1000</v>
      </c>
      <c r="N396" s="86">
        <f t="shared" si="1"/>
        <v>-21.279999999999859</v>
      </c>
    </row>
    <row r="397" spans="2:14" s="167" customFormat="1" ht="22.9" customHeight="1" x14ac:dyDescent="0.25">
      <c r="B397" s="49"/>
      <c r="C397" s="57"/>
      <c r="D397" s="344" t="s">
        <v>1013</v>
      </c>
      <c r="E397" s="64"/>
      <c r="F397" s="94">
        <v>1</v>
      </c>
      <c r="G397" s="471">
        <v>168.64</v>
      </c>
      <c r="H397" s="473"/>
      <c r="I397" s="474"/>
      <c r="J397" s="99"/>
      <c r="K397" s="82">
        <f>F397*G397</f>
        <v>168.64</v>
      </c>
      <c r="L397" s="82"/>
      <c r="M397" s="82"/>
      <c r="N397" s="86"/>
    </row>
    <row r="398" spans="2:14" s="167" customFormat="1" ht="30.6" customHeight="1" x14ac:dyDescent="0.25">
      <c r="B398" s="49" t="s">
        <v>110</v>
      </c>
      <c r="C398" s="57">
        <v>92762</v>
      </c>
      <c r="D398" s="52" t="s">
        <v>112</v>
      </c>
      <c r="E398" s="64" t="s">
        <v>62</v>
      </c>
      <c r="F398" s="94"/>
      <c r="G398" s="104"/>
      <c r="H398" s="64"/>
      <c r="I398" s="105"/>
      <c r="J398" s="99">
        <f>'BOLETIM DE MEDIÇÃO 11'!S46-K398</f>
        <v>1303.8771200000001</v>
      </c>
      <c r="K398" s="81">
        <f>K399</f>
        <v>11.700799999999999</v>
      </c>
      <c r="L398" s="82">
        <f t="shared" si="0"/>
        <v>1315.5779200000002</v>
      </c>
      <c r="M398" s="82">
        <f>'BOLETIM DE MEDIÇÃO 05'!G46</f>
        <v>1306.0999999999999</v>
      </c>
      <c r="N398" s="86">
        <f t="shared" si="1"/>
        <v>-9.4779200000002675</v>
      </c>
    </row>
    <row r="399" spans="2:14" s="167" customFormat="1" ht="19.899999999999999" customHeight="1" x14ac:dyDescent="0.25">
      <c r="B399" s="49"/>
      <c r="C399" s="57"/>
      <c r="D399" s="344" t="s">
        <v>1013</v>
      </c>
      <c r="E399" s="64"/>
      <c r="F399" s="105">
        <v>1</v>
      </c>
      <c r="G399" s="471">
        <v>11.700799999999999</v>
      </c>
      <c r="H399" s="473"/>
      <c r="I399" s="474"/>
      <c r="J399" s="99"/>
      <c r="K399" s="82">
        <f>F399*G399</f>
        <v>11.700799999999999</v>
      </c>
      <c r="L399" s="82"/>
      <c r="M399" s="82"/>
      <c r="N399" s="86"/>
    </row>
    <row r="400" spans="2:14" s="167" customFormat="1" ht="19.899999999999999" customHeight="1" x14ac:dyDescent="0.25">
      <c r="B400" s="203" t="s">
        <v>113</v>
      </c>
      <c r="C400" s="211">
        <v>92763</v>
      </c>
      <c r="D400" s="205" t="s">
        <v>115</v>
      </c>
      <c r="E400" s="206" t="s">
        <v>62</v>
      </c>
      <c r="F400" s="105"/>
      <c r="G400" s="374"/>
      <c r="H400" s="374"/>
      <c r="I400" s="318"/>
      <c r="J400" s="99">
        <f>'BOLETIM DE MEDIÇÃO 11'!S47-K400</f>
        <v>161.6</v>
      </c>
      <c r="K400" s="81">
        <f>K401</f>
        <v>6.6020000000000003</v>
      </c>
      <c r="L400" s="82">
        <f>J400+K400</f>
        <v>168.202</v>
      </c>
      <c r="M400" s="82">
        <f>'BOLETIM DE MEDIÇÃO 11'!G47</f>
        <v>168.2</v>
      </c>
      <c r="N400" s="86">
        <f t="shared" si="1"/>
        <v>-2.0000000000095497E-3</v>
      </c>
    </row>
    <row r="401" spans="2:15" s="167" customFormat="1" ht="19.899999999999999" customHeight="1" x14ac:dyDescent="0.25">
      <c r="B401" s="203"/>
      <c r="C401" s="211"/>
      <c r="D401" s="205" t="s">
        <v>1008</v>
      </c>
      <c r="E401" s="206"/>
      <c r="F401" s="105">
        <v>1</v>
      </c>
      <c r="G401" s="471">
        <v>6.6020000000000003</v>
      </c>
      <c r="H401" s="473"/>
      <c r="I401" s="474"/>
      <c r="J401" s="99"/>
      <c r="K401" s="82">
        <f>G401</f>
        <v>6.6020000000000003</v>
      </c>
      <c r="L401" s="82"/>
      <c r="M401" s="82"/>
      <c r="N401" s="86"/>
    </row>
    <row r="402" spans="2:15" s="167" customFormat="1" ht="33.75" x14ac:dyDescent="0.25">
      <c r="B402" s="49" t="s">
        <v>116</v>
      </c>
      <c r="C402" s="57">
        <v>92768</v>
      </c>
      <c r="D402" s="52" t="s">
        <v>118</v>
      </c>
      <c r="E402" s="64" t="s">
        <v>62</v>
      </c>
      <c r="F402" s="105"/>
      <c r="G402" s="99"/>
      <c r="H402" s="64"/>
      <c r="I402" s="105"/>
      <c r="J402" s="99">
        <f>'BOLETIM DE MEDIÇÃO 11'!S48-'MEMORIAL DE CALCULO 09)'!K402</f>
        <v>177.17999999999998</v>
      </c>
      <c r="K402" s="81">
        <f>K403</f>
        <v>28.2</v>
      </c>
      <c r="L402" s="82">
        <f t="shared" si="0"/>
        <v>205.37999999999997</v>
      </c>
      <c r="M402" s="82">
        <f>'BOLETIM DE MEDIÇÃO 05'!G48</f>
        <v>158.69999999999999</v>
      </c>
      <c r="N402" s="86">
        <f t="shared" si="1"/>
        <v>-46.679999999999978</v>
      </c>
    </row>
    <row r="403" spans="2:15" s="167" customFormat="1" x14ac:dyDescent="0.25">
      <c r="B403" s="49"/>
      <c r="C403" s="57"/>
      <c r="D403" s="411" t="s">
        <v>969</v>
      </c>
      <c r="E403" s="64"/>
      <c r="F403" s="105">
        <v>1</v>
      </c>
      <c r="G403" s="471">
        <v>28.2</v>
      </c>
      <c r="H403" s="473"/>
      <c r="I403" s="474"/>
      <c r="J403" s="99"/>
      <c r="K403" s="82">
        <f>F403*G403</f>
        <v>28.2</v>
      </c>
      <c r="L403" s="82"/>
      <c r="M403" s="82"/>
      <c r="N403" s="86"/>
    </row>
    <row r="404" spans="2:15" s="167" customFormat="1" ht="33.75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11'!S49-'MEMORIAL DE CALCULO 09)'!K404</f>
        <v>165.83199999999999</v>
      </c>
      <c r="K404" s="81">
        <f>K405</f>
        <v>12.9002</v>
      </c>
      <c r="L404" s="82">
        <f t="shared" si="0"/>
        <v>178.73220000000001</v>
      </c>
      <c r="M404" s="82">
        <f>'BOLETIM DE MEDIÇÃO 05'!G49</f>
        <v>170.5</v>
      </c>
      <c r="N404" s="86">
        <f t="shared" si="1"/>
        <v>-8.232200000000006</v>
      </c>
    </row>
    <row r="405" spans="2:15" s="167" customFormat="1" x14ac:dyDescent="0.25">
      <c r="B405" s="49"/>
      <c r="C405" s="57"/>
      <c r="D405" s="411" t="s">
        <v>969</v>
      </c>
      <c r="E405" s="64"/>
      <c r="F405" s="105">
        <v>1</v>
      </c>
      <c r="G405" s="471">
        <v>12.9002</v>
      </c>
      <c r="H405" s="473"/>
      <c r="I405" s="474"/>
      <c r="J405" s="99"/>
      <c r="K405" s="82">
        <f>F405*G405</f>
        <v>12.9002</v>
      </c>
      <c r="L405" s="82"/>
      <c r="M405" s="82"/>
      <c r="N405" s="86"/>
    </row>
    <row r="406" spans="2:15" s="167" customFormat="1" ht="33.75" x14ac:dyDescent="0.25">
      <c r="B406" s="49" t="s">
        <v>122</v>
      </c>
      <c r="C406" s="57">
        <v>92770</v>
      </c>
      <c r="D406" s="52" t="s">
        <v>124</v>
      </c>
      <c r="E406" s="64" t="s">
        <v>62</v>
      </c>
      <c r="F406" s="105"/>
      <c r="G406" s="99"/>
      <c r="H406" s="64"/>
      <c r="I406" s="105"/>
      <c r="J406" s="99">
        <f>'BOLETIM DE MEDIÇÃO 11'!S50-'MEMORIAL DE CALCULO 09)'!K406</f>
        <v>259</v>
      </c>
      <c r="K406" s="81">
        <f>K407</f>
        <v>20.100899999999999</v>
      </c>
      <c r="L406" s="82">
        <f t="shared" si="0"/>
        <v>279.10090000000002</v>
      </c>
      <c r="M406" s="82">
        <f>'BOLETIM DE MEDIÇÃO 05'!G50</f>
        <v>279.10000000000002</v>
      </c>
      <c r="N406" s="86">
        <f t="shared" si="1"/>
        <v>-9.0000000000145519E-4</v>
      </c>
    </row>
    <row r="407" spans="2:15" s="167" customFormat="1" ht="18" customHeight="1" x14ac:dyDescent="0.25">
      <c r="B407" s="49"/>
      <c r="C407" s="57"/>
      <c r="D407" s="411" t="s">
        <v>969</v>
      </c>
      <c r="E407" s="64"/>
      <c r="F407" s="105">
        <v>1</v>
      </c>
      <c r="G407" s="471">
        <v>20.100899999999999</v>
      </c>
      <c r="H407" s="473"/>
      <c r="I407" s="474"/>
      <c r="J407" s="99"/>
      <c r="K407" s="82">
        <f>F407*G407</f>
        <v>20.100899999999999</v>
      </c>
      <c r="L407" s="82"/>
      <c r="M407" s="82"/>
      <c r="N407" s="86"/>
    </row>
    <row r="408" spans="2:15" s="167" customFormat="1" ht="33.75" x14ac:dyDescent="0.25">
      <c r="B408" s="49" t="s">
        <v>125</v>
      </c>
      <c r="C408" s="57">
        <v>94966</v>
      </c>
      <c r="D408" s="52" t="s">
        <v>65</v>
      </c>
      <c r="E408" s="64" t="s">
        <v>41</v>
      </c>
      <c r="F408" s="105"/>
      <c r="G408" s="99"/>
      <c r="H408" s="64"/>
      <c r="I408" s="105"/>
      <c r="J408" s="99">
        <f>'BOLETIM DE MEDIÇÃO 11'!S51-'MEMORIAL DE CALCULO 09)'!K408</f>
        <v>71.628424999999979</v>
      </c>
      <c r="K408" s="81">
        <f>SUM(K409:K409)</f>
        <v>10.02003</v>
      </c>
      <c r="L408" s="82">
        <f t="shared" si="0"/>
        <v>81.648454999999984</v>
      </c>
      <c r="M408" s="82">
        <f>'BOLETIM DE MEDIÇÃO 05'!G51</f>
        <v>61.56</v>
      </c>
      <c r="N408" s="86">
        <f t="shared" si="1"/>
        <v>-20.088454999999982</v>
      </c>
    </row>
    <row r="409" spans="2:15" ht="19.149999999999999" customHeight="1" x14ac:dyDescent="0.25">
      <c r="B409" s="247"/>
      <c r="C409" s="248"/>
      <c r="D409" s="344" t="s">
        <v>1013</v>
      </c>
      <c r="E409" s="242"/>
      <c r="F409" s="246">
        <v>1</v>
      </c>
      <c r="G409" s="541">
        <v>10.02003</v>
      </c>
      <c r="H409" s="541"/>
      <c r="I409" s="542"/>
      <c r="J409" s="249"/>
      <c r="K409" s="251">
        <f t="shared" ref="K409" si="21">F409*G409</f>
        <v>10.02003</v>
      </c>
      <c r="L409" s="251"/>
      <c r="M409" s="251"/>
      <c r="N409" s="252"/>
    </row>
    <row r="410" spans="2:15" ht="22.5" x14ac:dyDescent="0.25">
      <c r="B410" s="247" t="s">
        <v>126</v>
      </c>
      <c r="C410" s="248">
        <v>103670</v>
      </c>
      <c r="D410" s="402" t="s">
        <v>71</v>
      </c>
      <c r="E410" s="242" t="s">
        <v>41</v>
      </c>
      <c r="F410" s="246"/>
      <c r="G410" s="249"/>
      <c r="H410" s="403"/>
      <c r="I410" s="246"/>
      <c r="J410" s="249">
        <f>'BOLETIM DE MEDIÇÃO 05'!O52-'MEMORIAL DE CALCULO 09)'!K410</f>
        <v>9.4099000099999994</v>
      </c>
      <c r="K410" s="250">
        <f>G411</f>
        <v>10.02009999</v>
      </c>
      <c r="L410" s="251">
        <f t="shared" si="0"/>
        <v>19.43</v>
      </c>
      <c r="M410" s="251">
        <f>'BOLETIM DE MEDIÇÃO 05'!G52</f>
        <v>61.56</v>
      </c>
      <c r="N410" s="252">
        <f t="shared" si="1"/>
        <v>42.13</v>
      </c>
    </row>
    <row r="411" spans="2:15" x14ac:dyDescent="0.25">
      <c r="B411" s="247"/>
      <c r="C411" s="404"/>
      <c r="D411" s="415" t="s">
        <v>932</v>
      </c>
      <c r="E411" s="242"/>
      <c r="F411" s="243">
        <v>1</v>
      </c>
      <c r="G411" s="541">
        <v>10.02009999</v>
      </c>
      <c r="H411" s="541"/>
      <c r="I411" s="542"/>
      <c r="J411" s="249"/>
      <c r="K411" s="251">
        <f>F411*G411</f>
        <v>10.02009999</v>
      </c>
      <c r="L411" s="251"/>
      <c r="M411" s="251"/>
      <c r="N411" s="252"/>
    </row>
    <row r="412" spans="2:15" ht="33.75" x14ac:dyDescent="0.25">
      <c r="B412" s="247" t="s">
        <v>127</v>
      </c>
      <c r="C412" s="248">
        <v>92771</v>
      </c>
      <c r="D412" s="402" t="s">
        <v>129</v>
      </c>
      <c r="E412" s="242" t="s">
        <v>62</v>
      </c>
      <c r="F412" s="243"/>
      <c r="G412" s="244"/>
      <c r="H412" s="403"/>
      <c r="I412" s="246"/>
      <c r="J412" s="249">
        <f>'BOLETIM DE MEDIÇÃO 11'!S53-'MEMORIAL DE CALCULO 09)'!K412</f>
        <v>312.29999999999995</v>
      </c>
      <c r="K412" s="250">
        <f>K413</f>
        <v>94.6</v>
      </c>
      <c r="L412" s="251">
        <f t="shared" si="0"/>
        <v>406.9</v>
      </c>
      <c r="M412" s="251">
        <f>'BOLETIM DE MEDIÇÃO 05'!G53</f>
        <v>312.3</v>
      </c>
      <c r="N412" s="252">
        <f t="shared" si="1"/>
        <v>-94.599999999999966</v>
      </c>
    </row>
    <row r="413" spans="2:15" ht="18" customHeight="1" x14ac:dyDescent="0.25">
      <c r="B413" s="247"/>
      <c r="C413" s="248"/>
      <c r="D413" s="412" t="s">
        <v>969</v>
      </c>
      <c r="E413" s="242"/>
      <c r="F413" s="246">
        <v>1</v>
      </c>
      <c r="G413" s="494">
        <v>94.6</v>
      </c>
      <c r="H413" s="537"/>
      <c r="I413" s="538"/>
      <c r="J413" s="249"/>
      <c r="K413" s="251">
        <f>G413</f>
        <v>94.6</v>
      </c>
      <c r="L413" s="251"/>
      <c r="M413" s="251"/>
      <c r="N413" s="252"/>
    </row>
    <row r="414" spans="2:15" ht="33.75" hidden="1" x14ac:dyDescent="0.25">
      <c r="B414" s="363" t="s">
        <v>130</v>
      </c>
      <c r="C414" s="364">
        <v>92772</v>
      </c>
      <c r="D414" s="401" t="s">
        <v>132</v>
      </c>
      <c r="E414" s="366" t="s">
        <v>62</v>
      </c>
      <c r="F414" s="367"/>
      <c r="G414" s="397"/>
      <c r="H414" s="366"/>
      <c r="I414" s="372"/>
      <c r="J414" s="368">
        <f>'BOLETIM DE MEDIÇÃO 11'!S54-'MEMORIAL DE CALCULO 09)'!K414</f>
        <v>154.80000000000001</v>
      </c>
      <c r="K414" s="369"/>
      <c r="L414" s="369">
        <f t="shared" si="0"/>
        <v>154.80000000000001</v>
      </c>
      <c r="M414" s="369">
        <f>'BOLETIM DE MEDIÇÃO 05'!G54</f>
        <v>154.80000000000001</v>
      </c>
      <c r="N414" s="370">
        <f t="shared" si="1"/>
        <v>0</v>
      </c>
      <c r="O414" s="371"/>
    </row>
    <row r="415" spans="2:15" ht="18" hidden="1" customHeight="1" x14ac:dyDescent="0.25">
      <c r="B415" s="363"/>
      <c r="C415" s="364"/>
      <c r="D415" s="365" t="s">
        <v>958</v>
      </c>
      <c r="E415" s="366"/>
      <c r="F415" s="372">
        <v>1</v>
      </c>
      <c r="G415" s="524">
        <v>154.80000000000001</v>
      </c>
      <c r="H415" s="525"/>
      <c r="I415" s="526"/>
      <c r="J415" s="368"/>
      <c r="K415" s="369"/>
      <c r="L415" s="369"/>
      <c r="M415" s="369"/>
      <c r="N415" s="370"/>
      <c r="O415" s="371"/>
    </row>
    <row r="416" spans="2:15" ht="18" hidden="1" customHeight="1" x14ac:dyDescent="0.25">
      <c r="B416" s="363"/>
      <c r="C416" s="364"/>
      <c r="D416" s="365"/>
      <c r="E416" s="366"/>
      <c r="F416" s="372"/>
      <c r="G416" s="388"/>
      <c r="H416" s="388"/>
      <c r="I416" s="389"/>
      <c r="J416" s="368"/>
      <c r="K416" s="369"/>
      <c r="L416" s="369"/>
      <c r="M416" s="369"/>
      <c r="N416" s="370"/>
      <c r="O416" s="371"/>
    </row>
    <row r="417" spans="2:14" ht="18" customHeight="1" x14ac:dyDescent="0.25">
      <c r="B417" s="212">
        <v>1.5</v>
      </c>
      <c r="C417" s="213" t="s">
        <v>134</v>
      </c>
      <c r="D417" s="205"/>
      <c r="E417" s="206"/>
      <c r="F417" s="123"/>
      <c r="G417" s="374"/>
      <c r="H417" s="374"/>
      <c r="I417" s="318"/>
      <c r="J417" s="99"/>
      <c r="K417" s="82"/>
      <c r="L417" s="82"/>
      <c r="M417" s="82"/>
      <c r="N417" s="86"/>
    </row>
    <row r="418" spans="2:14" ht="46.15" customHeight="1" x14ac:dyDescent="0.25">
      <c r="B418" s="384" t="s">
        <v>135</v>
      </c>
      <c r="C418" s="385">
        <v>103356</v>
      </c>
      <c r="D418" s="386" t="s">
        <v>137</v>
      </c>
      <c r="E418" s="387" t="s">
        <v>17</v>
      </c>
      <c r="F418" s="395"/>
      <c r="G418" s="374"/>
      <c r="H418" s="374"/>
      <c r="I418" s="318"/>
      <c r="J418" s="99">
        <f>'BOLETIM DE MEDIÇÃO 11'!S56-'MEMORIAL DE CALCULO 09)'!K418</f>
        <v>1196.3104999999998</v>
      </c>
      <c r="K418" s="81">
        <f>K419</f>
        <v>46.31</v>
      </c>
      <c r="L418" s="82">
        <f>J418+K418</f>
        <v>1242.6204999999998</v>
      </c>
      <c r="M418" s="82">
        <f>'BOLETIM DE MEDIÇÃO 11'!G56</f>
        <v>1242.6199999999999</v>
      </c>
      <c r="N418" s="86">
        <f>M418-L418</f>
        <v>-4.9999999987448973E-4</v>
      </c>
    </row>
    <row r="419" spans="2:14" ht="22.9" customHeight="1" x14ac:dyDescent="0.25">
      <c r="B419" s="49"/>
      <c r="C419" s="57"/>
      <c r="D419" s="144" t="s">
        <v>1015</v>
      </c>
      <c r="E419" s="64"/>
      <c r="F419" s="105">
        <v>1</v>
      </c>
      <c r="G419" s="471">
        <v>46.31</v>
      </c>
      <c r="H419" s="473"/>
      <c r="I419" s="474"/>
      <c r="J419" s="99"/>
      <c r="K419" s="82">
        <f>G419</f>
        <v>46.31</v>
      </c>
      <c r="L419" s="82"/>
      <c r="M419" s="82"/>
      <c r="N419" s="86"/>
    </row>
    <row r="420" spans="2:14" ht="14.45" customHeight="1" x14ac:dyDescent="0.25">
      <c r="B420" s="56">
        <v>1.6</v>
      </c>
      <c r="C420" s="60" t="s">
        <v>148</v>
      </c>
      <c r="D420" s="52"/>
      <c r="E420" s="64"/>
      <c r="F420" s="105"/>
      <c r="G420" s="99"/>
      <c r="H420" s="64"/>
      <c r="I420" s="105"/>
      <c r="J420" s="99">
        <f>'BOLETIM DE MEDIÇÃO 11'!S74-'MEMORIAL DE CALCULO 09)'!K420</f>
        <v>0</v>
      </c>
      <c r="K420" s="82"/>
      <c r="L420" s="82"/>
      <c r="M420" s="82"/>
      <c r="N420" s="86"/>
    </row>
    <row r="421" spans="2:14" ht="56.25" x14ac:dyDescent="0.25">
      <c r="B421" s="49" t="s">
        <v>152</v>
      </c>
      <c r="C421" s="57">
        <v>87548</v>
      </c>
      <c r="D421" s="52" t="s">
        <v>154</v>
      </c>
      <c r="E421" s="64" t="s">
        <v>17</v>
      </c>
      <c r="F421" s="105"/>
      <c r="G421" s="99"/>
      <c r="H421" s="64"/>
      <c r="I421" s="105"/>
      <c r="J421" s="99">
        <f>'BOLETIM DE MEDIÇÃO 11'!S75-'MEMORIAL DE CALCULO 09)'!K421</f>
        <v>-697.98</v>
      </c>
      <c r="K421" s="81">
        <f>K422</f>
        <v>697.98</v>
      </c>
      <c r="L421" s="82">
        <f t="shared" si="0"/>
        <v>0</v>
      </c>
      <c r="M421" s="82">
        <f>'BOLETIM DE MEDIÇÃO 05'!G62</f>
        <v>997.11</v>
      </c>
      <c r="N421" s="86">
        <f t="shared" si="1"/>
        <v>997.11</v>
      </c>
    </row>
    <row r="422" spans="2:14" x14ac:dyDescent="0.25">
      <c r="B422" s="49"/>
      <c r="C422" s="57"/>
      <c r="D422" s="344" t="s">
        <v>972</v>
      </c>
      <c r="E422" s="64"/>
      <c r="F422" s="105">
        <v>1</v>
      </c>
      <c r="G422" s="471">
        <v>697.98</v>
      </c>
      <c r="H422" s="473"/>
      <c r="I422" s="474"/>
      <c r="J422" s="99">
        <f>'BOLETIM DE MEDIÇÃO 11'!S76-'MEMORIAL DE CALCULO 09)'!K422</f>
        <v>-697.98</v>
      </c>
      <c r="K422" s="82">
        <f>F422*G422</f>
        <v>697.98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>
        <f>'BOLETIM DE MEDIÇÃO 11'!S77-'MEMORIAL DE CALCULO 09)'!K423</f>
        <v>0</v>
      </c>
      <c r="K423" s="82"/>
      <c r="L423" s="82"/>
      <c r="M423" s="82"/>
      <c r="N423" s="86"/>
    </row>
    <row r="424" spans="2:14" ht="56.25" x14ac:dyDescent="0.25">
      <c r="B424" s="49" t="s">
        <v>155</v>
      </c>
      <c r="C424" s="57">
        <v>87536</v>
      </c>
      <c r="D424" s="52" t="s">
        <v>157</v>
      </c>
      <c r="E424" s="64" t="s">
        <v>17</v>
      </c>
      <c r="F424" s="105"/>
      <c r="G424" s="374"/>
      <c r="H424" s="374"/>
      <c r="I424" s="318"/>
      <c r="J424" s="99">
        <f>'BOLETIM DE MEDIÇÃO 11'!S78-'MEMORIAL DE CALCULO 09)'!K424</f>
        <v>-351.87</v>
      </c>
      <c r="K424" s="81">
        <f>K425</f>
        <v>351.87</v>
      </c>
      <c r="L424" s="82">
        <f>J424+K424</f>
        <v>0</v>
      </c>
      <c r="M424" s="82">
        <f>'BOLETIM DE MEDIÇÃO 11'!G63</f>
        <v>351.87</v>
      </c>
      <c r="N424" s="86">
        <f>M424-L424</f>
        <v>351.87</v>
      </c>
    </row>
    <row r="425" spans="2:14" x14ac:dyDescent="0.25">
      <c r="B425" s="49"/>
      <c r="C425" s="57"/>
      <c r="D425" s="344" t="s">
        <v>972</v>
      </c>
      <c r="E425" s="64"/>
      <c r="F425" s="105">
        <v>1</v>
      </c>
      <c r="G425" s="471">
        <v>351.87</v>
      </c>
      <c r="H425" s="473"/>
      <c r="I425" s="474"/>
      <c r="J425" s="99">
        <f>'BOLETIM DE MEDIÇÃO 11'!S79-'MEMORIAL DE CALCULO 09)'!K425</f>
        <v>-351.87</v>
      </c>
      <c r="K425" s="82">
        <f>F425*G425</f>
        <v>351.87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>
        <f>'BOLETIM DE MEDIÇÃO 11'!S80-'MEMORIAL DE CALCULO 09)'!K426</f>
        <v>0</v>
      </c>
      <c r="K426" s="82"/>
      <c r="L426" s="82"/>
      <c r="M426" s="82"/>
      <c r="N426" s="86"/>
    </row>
    <row r="427" spans="2:14" x14ac:dyDescent="0.25">
      <c r="B427" s="347" t="s">
        <v>208</v>
      </c>
      <c r="C427" s="348" t="s">
        <v>209</v>
      </c>
      <c r="D427" s="344"/>
      <c r="E427" s="64"/>
      <c r="F427" s="105"/>
      <c r="G427" s="374"/>
      <c r="H427" s="374"/>
      <c r="I427" s="318"/>
      <c r="J427" s="99"/>
      <c r="K427" s="82"/>
      <c r="L427" s="82"/>
      <c r="M427" s="82"/>
      <c r="N427" s="86"/>
    </row>
    <row r="428" spans="2:14" ht="45" x14ac:dyDescent="0.25">
      <c r="B428" s="203" t="s">
        <v>210</v>
      </c>
      <c r="C428" s="211">
        <v>87894</v>
      </c>
      <c r="D428" s="205" t="s">
        <v>212</v>
      </c>
      <c r="E428" s="64"/>
      <c r="F428" s="105"/>
      <c r="G428" s="374"/>
      <c r="H428" s="374"/>
      <c r="I428" s="318"/>
      <c r="J428" s="99">
        <f>'BOLETIM DE MEDIÇÃO 11'!S82-'MEMORIAL DE CALCULO 09)'!K428</f>
        <v>420.44</v>
      </c>
      <c r="K428" s="81">
        <f>K429</f>
        <v>45.930999999999997</v>
      </c>
      <c r="L428" s="82">
        <f>J428+K428</f>
        <v>466.37099999999998</v>
      </c>
      <c r="M428" s="82">
        <f>'BOLETIM DE MEDIÇÃO 11'!G83</f>
        <v>466.37</v>
      </c>
      <c r="N428" s="86">
        <f>M428-L428</f>
        <v>-9.9999999997635314E-4</v>
      </c>
    </row>
    <row r="429" spans="2:14" x14ac:dyDescent="0.25">
      <c r="B429" s="49"/>
      <c r="C429" s="57"/>
      <c r="D429" s="344" t="s">
        <v>1013</v>
      </c>
      <c r="E429" s="64"/>
      <c r="F429" s="105">
        <v>1</v>
      </c>
      <c r="G429" s="471">
        <v>45.930999999999997</v>
      </c>
      <c r="H429" s="473"/>
      <c r="I429" s="474"/>
      <c r="J429" s="99"/>
      <c r="K429" s="82">
        <f>F429*G429</f>
        <v>45.930999999999997</v>
      </c>
      <c r="L429" s="82"/>
      <c r="M429" s="82"/>
      <c r="N429" s="86"/>
    </row>
    <row r="430" spans="2:14" ht="56.25" x14ac:dyDescent="0.25">
      <c r="B430" s="247" t="s">
        <v>213</v>
      </c>
      <c r="C430" s="385">
        <v>104233</v>
      </c>
      <c r="D430" s="386" t="s">
        <v>215</v>
      </c>
      <c r="E430" s="277" t="s">
        <v>17</v>
      </c>
      <c r="F430" s="105"/>
      <c r="G430" s="416"/>
      <c r="H430" s="390"/>
      <c r="I430" s="417"/>
      <c r="J430" s="99">
        <f>'BOLETIM DE MEDIÇÃO 11'!S83-'MEMORIAL DE CALCULO 09)'!K430</f>
        <v>278.39999999999998</v>
      </c>
      <c r="K430" s="81">
        <f>SUM(K431:K435)</f>
        <v>187.97049999999999</v>
      </c>
      <c r="L430" s="82">
        <f t="shared" ref="L430" si="22">J430+K430</f>
        <v>466.37049999999999</v>
      </c>
      <c r="M430" s="82">
        <f>'BOLETIM DE MEDIÇÃO 11'!G83</f>
        <v>466.37</v>
      </c>
      <c r="N430" s="86">
        <f t="shared" ref="N430" si="23">M430-L430</f>
        <v>-4.9999999998817657E-4</v>
      </c>
    </row>
    <row r="431" spans="2:14" x14ac:dyDescent="0.25">
      <c r="B431" s="49"/>
      <c r="C431" s="57"/>
      <c r="D431" s="344" t="s">
        <v>1013</v>
      </c>
      <c r="E431" s="64"/>
      <c r="F431" s="105">
        <v>1</v>
      </c>
      <c r="G431" s="471">
        <v>187.97049999999999</v>
      </c>
      <c r="H431" s="473"/>
      <c r="I431" s="474"/>
      <c r="J431" s="99"/>
      <c r="K431" s="82">
        <f>G431</f>
        <v>187.97049999999999</v>
      </c>
      <c r="L431" s="82"/>
      <c r="M431" s="82"/>
      <c r="N431" s="86"/>
    </row>
    <row r="432" spans="2:14" hidden="1" x14ac:dyDescent="0.25">
      <c r="B432" s="49"/>
      <c r="C432" s="57"/>
      <c r="D432" s="319" t="s">
        <v>996</v>
      </c>
      <c r="E432" s="64"/>
      <c r="F432" s="105"/>
      <c r="G432" s="374">
        <v>2.6</v>
      </c>
      <c r="H432" s="374"/>
      <c r="I432" s="105">
        <v>2.1</v>
      </c>
      <c r="J432" s="99"/>
      <c r="K432" s="82">
        <f t="shared" ref="K432:K435" si="24">F432*G432*I432</f>
        <v>0</v>
      </c>
      <c r="L432" s="82"/>
      <c r="M432" s="82"/>
      <c r="N432" s="86"/>
    </row>
    <row r="433" spans="2:14" hidden="1" x14ac:dyDescent="0.25">
      <c r="B433" s="49"/>
      <c r="C433" s="57"/>
      <c r="D433" s="319" t="s">
        <v>997</v>
      </c>
      <c r="E433" s="64"/>
      <c r="F433" s="105"/>
      <c r="G433" s="374">
        <v>0.8</v>
      </c>
      <c r="H433" s="374"/>
      <c r="I433" s="105">
        <v>2.1</v>
      </c>
      <c r="J433" s="99"/>
      <c r="K433" s="82">
        <f t="shared" si="24"/>
        <v>0</v>
      </c>
      <c r="L433" s="82"/>
      <c r="M433" s="82"/>
      <c r="N433" s="86"/>
    </row>
    <row r="434" spans="2:14" hidden="1" x14ac:dyDescent="0.25">
      <c r="B434" s="49"/>
      <c r="C434" s="57"/>
      <c r="D434" s="319" t="s">
        <v>998</v>
      </c>
      <c r="E434" s="64"/>
      <c r="F434" s="105"/>
      <c r="G434" s="374">
        <v>1.5</v>
      </c>
      <c r="H434" s="374"/>
      <c r="I434" s="105">
        <v>1</v>
      </c>
      <c r="J434" s="99"/>
      <c r="K434" s="82">
        <f t="shared" si="24"/>
        <v>0</v>
      </c>
      <c r="L434" s="82"/>
      <c r="M434" s="82"/>
      <c r="N434" s="86"/>
    </row>
    <row r="435" spans="2:14" hidden="1" x14ac:dyDescent="0.25">
      <c r="B435" s="49"/>
      <c r="C435" s="57"/>
      <c r="D435" s="319" t="s">
        <v>999</v>
      </c>
      <c r="E435" s="64"/>
      <c r="F435" s="105"/>
      <c r="G435" s="374">
        <v>1</v>
      </c>
      <c r="H435" s="374"/>
      <c r="I435" s="105">
        <v>0.5</v>
      </c>
      <c r="J435" s="99"/>
      <c r="K435" s="82">
        <f t="shared" si="24"/>
        <v>0</v>
      </c>
      <c r="L435" s="82"/>
      <c r="M435" s="82"/>
      <c r="N435" s="86"/>
    </row>
    <row r="436" spans="2:14" ht="14.45" hidden="1" customHeight="1" x14ac:dyDescent="0.25">
      <c r="B436" s="65">
        <v>1.1000000000000001</v>
      </c>
      <c r="C436" s="65" t="s">
        <v>229</v>
      </c>
      <c r="D436" s="344"/>
      <c r="E436" s="44"/>
      <c r="F436" s="130"/>
      <c r="G436" s="121"/>
      <c r="H436" s="70"/>
      <c r="I436" s="105"/>
      <c r="J436" s="99"/>
      <c r="K436" s="82">
        <f t="shared" ref="K436" si="25">(F436*G436*I436)</f>
        <v>0</v>
      </c>
      <c r="L436" s="82"/>
      <c r="M436" s="82"/>
      <c r="N436" s="86"/>
    </row>
    <row r="437" spans="2:14" ht="33.75" hidden="1" x14ac:dyDescent="0.25">
      <c r="B437" s="384" t="s">
        <v>284</v>
      </c>
      <c r="C437" s="385">
        <v>91834</v>
      </c>
      <c r="D437" s="391" t="s">
        <v>286</v>
      </c>
      <c r="E437" s="245" t="s">
        <v>37</v>
      </c>
      <c r="F437" s="312">
        <v>1</v>
      </c>
      <c r="G437" s="462">
        <v>200</v>
      </c>
      <c r="H437" s="463"/>
      <c r="I437" s="464"/>
      <c r="J437" s="99">
        <f>'BOLETIM DE MEDIÇÃO 11'!S108-'MEMORIAL DE CALCULO 09)'!K437</f>
        <v>150</v>
      </c>
      <c r="K437" s="81">
        <f>G437</f>
        <v>200</v>
      </c>
      <c r="L437" s="82">
        <f>J437+K437</f>
        <v>350</v>
      </c>
      <c r="M437" s="82">
        <f>'BOLETIM DE MEDIÇÃO 11'!G108</f>
        <v>830.48</v>
      </c>
      <c r="N437" s="86">
        <f>M437-L437</f>
        <v>480.48</v>
      </c>
    </row>
    <row r="438" spans="2:14" hidden="1" x14ac:dyDescent="0.25">
      <c r="B438" s="384"/>
      <c r="C438" s="385"/>
      <c r="D438" s="393" t="s">
        <v>1001</v>
      </c>
      <c r="E438" s="245"/>
      <c r="F438" s="312"/>
      <c r="G438" s="383"/>
      <c r="H438" s="392"/>
      <c r="I438" s="318"/>
      <c r="J438" s="99"/>
      <c r="K438" s="81"/>
      <c r="L438" s="82"/>
      <c r="M438" s="82"/>
      <c r="N438" s="86"/>
    </row>
    <row r="439" spans="2:14" ht="33.75" hidden="1" x14ac:dyDescent="0.25">
      <c r="B439" s="384" t="s">
        <v>287</v>
      </c>
      <c r="C439" s="385">
        <v>91868</v>
      </c>
      <c r="D439" s="386" t="s">
        <v>289</v>
      </c>
      <c r="E439" s="245" t="s">
        <v>37</v>
      </c>
      <c r="F439" s="312">
        <v>1</v>
      </c>
      <c r="G439" s="462">
        <v>55.97</v>
      </c>
      <c r="H439" s="463"/>
      <c r="I439" s="464"/>
      <c r="J439" s="99">
        <f>'BOLETIM DE MEDIÇÃO 11'!S109-'MEMORIAL DE CALCULO 09)'!K439</f>
        <v>0</v>
      </c>
      <c r="K439" s="81">
        <f>F439*G439</f>
        <v>55.97</v>
      </c>
      <c r="L439" s="82">
        <f t="shared" ref="L439" si="26">J439+K439</f>
        <v>55.97</v>
      </c>
      <c r="M439" s="82">
        <f>'BOLETIM DE MEDIÇÃO 11'!G109</f>
        <v>55.97</v>
      </c>
      <c r="N439" s="86">
        <f t="shared" ref="N439:N441" si="27">M439-L439</f>
        <v>0</v>
      </c>
    </row>
    <row r="440" spans="2:14" hidden="1" x14ac:dyDescent="0.25">
      <c r="B440" s="384"/>
      <c r="C440" s="385"/>
      <c r="D440" s="393" t="s">
        <v>1001</v>
      </c>
      <c r="E440" s="245"/>
      <c r="F440" s="312"/>
      <c r="G440" s="383"/>
      <c r="H440" s="383"/>
      <c r="I440" s="316"/>
      <c r="J440" s="99"/>
      <c r="K440" s="81"/>
      <c r="L440" s="82"/>
      <c r="M440" s="82"/>
      <c r="N440" s="86"/>
    </row>
    <row r="441" spans="2:14" ht="33.75" hidden="1" x14ac:dyDescent="0.25">
      <c r="B441" s="384" t="s">
        <v>290</v>
      </c>
      <c r="C441" s="385">
        <v>91867</v>
      </c>
      <c r="D441" s="386" t="s">
        <v>292</v>
      </c>
      <c r="E441" s="245" t="s">
        <v>37</v>
      </c>
      <c r="F441" s="312">
        <v>1</v>
      </c>
      <c r="G441" s="462">
        <v>36.19</v>
      </c>
      <c r="H441" s="463"/>
      <c r="I441" s="464"/>
      <c r="J441" s="99">
        <f>'BOLETIM DE MEDIÇÃO 11'!S110-'MEMORIAL DE CALCULO 09)'!K441</f>
        <v>0</v>
      </c>
      <c r="K441" s="81">
        <f>G441</f>
        <v>36.19</v>
      </c>
      <c r="L441" s="82">
        <f>J441+K441</f>
        <v>36.19</v>
      </c>
      <c r="M441" s="82">
        <f>'BOLETIM DE MEDIÇÃO 11'!G110</f>
        <v>36.19</v>
      </c>
      <c r="N441" s="86">
        <f t="shared" si="27"/>
        <v>0</v>
      </c>
    </row>
    <row r="442" spans="2:14" hidden="1" x14ac:dyDescent="0.25">
      <c r="B442" s="384"/>
      <c r="C442" s="385"/>
      <c r="D442" s="393" t="s">
        <v>1001</v>
      </c>
      <c r="E442" s="245"/>
      <c r="F442" s="312"/>
      <c r="G442" s="121"/>
      <c r="H442" s="70"/>
      <c r="I442" s="105"/>
      <c r="J442" s="99"/>
      <c r="K442" s="82"/>
      <c r="L442" s="82"/>
      <c r="M442" s="82"/>
      <c r="N442" s="86"/>
    </row>
    <row r="443" spans="2:14" hidden="1" x14ac:dyDescent="0.25">
      <c r="B443" s="347" t="s">
        <v>312</v>
      </c>
      <c r="C443" s="349" t="s">
        <v>313</v>
      </c>
      <c r="D443" s="53"/>
      <c r="E443" s="69"/>
      <c r="F443" s="312"/>
      <c r="G443" s="121"/>
      <c r="H443" s="70"/>
      <c r="I443" s="105"/>
      <c r="J443" s="99"/>
      <c r="K443" s="82"/>
      <c r="L443" s="82"/>
      <c r="M443" s="82"/>
      <c r="N443" s="86"/>
    </row>
    <row r="444" spans="2:14" ht="22.5" hidden="1" x14ac:dyDescent="0.25">
      <c r="B444" s="50" t="s">
        <v>314</v>
      </c>
      <c r="C444" s="66">
        <v>96620</v>
      </c>
      <c r="D444" s="53" t="s">
        <v>316</v>
      </c>
      <c r="E444" s="217" t="s">
        <v>41</v>
      </c>
      <c r="F444" s="312"/>
      <c r="G444" s="121"/>
      <c r="H444" s="70"/>
      <c r="I444" s="105"/>
      <c r="J444" s="99">
        <f>'BOLETIM DE MEDIÇÃO 11'!S119-'MEMORIAL DE CALCULO 09)'!K444</f>
        <v>10.199999999999999</v>
      </c>
      <c r="K444" s="81">
        <f>K445</f>
        <v>21.53</v>
      </c>
      <c r="L444" s="82">
        <f>J444+K444</f>
        <v>31.73</v>
      </c>
      <c r="M444" s="82">
        <f>'BOLETIM DE MEDIÇÃO 11'!G119</f>
        <v>35.340000000000003</v>
      </c>
      <c r="N444" s="86">
        <f>M444-L444</f>
        <v>3.610000000000003</v>
      </c>
    </row>
    <row r="445" spans="2:14" hidden="1" x14ac:dyDescent="0.25">
      <c r="B445" s="50"/>
      <c r="C445" s="66"/>
      <c r="D445" s="187" t="s">
        <v>994</v>
      </c>
      <c r="E445" s="69"/>
      <c r="F445" s="312"/>
      <c r="G445" s="462">
        <v>21.53</v>
      </c>
      <c r="H445" s="463"/>
      <c r="I445" s="464"/>
      <c r="J445" s="99"/>
      <c r="K445" s="82">
        <f>G445</f>
        <v>21.53</v>
      </c>
      <c r="L445" s="82"/>
      <c r="M445" s="82"/>
      <c r="N445" s="86"/>
    </row>
    <row r="446" spans="2:14" ht="67.5" hidden="1" x14ac:dyDescent="0.25">
      <c r="B446" s="384" t="s">
        <v>317</v>
      </c>
      <c r="C446" s="385">
        <v>94439</v>
      </c>
      <c r="D446" s="386" t="s">
        <v>319</v>
      </c>
      <c r="E446" s="277" t="s">
        <v>17</v>
      </c>
      <c r="F446" s="312"/>
      <c r="G446" s="121"/>
      <c r="H446" s="70"/>
      <c r="I446" s="105"/>
      <c r="J446" s="99">
        <f>'BOLETIM DE MEDIÇÃO 11'!S120</f>
        <v>116.27</v>
      </c>
      <c r="K446" s="81">
        <f>SUM(K447:K451)</f>
        <v>116.27</v>
      </c>
      <c r="L446" s="82">
        <f t="shared" ref="L446" si="28">J446+K446</f>
        <v>232.54</v>
      </c>
      <c r="M446" s="82">
        <f>'BOLETIM DE MEDIÇÃO 11'!G121</f>
        <v>634.5</v>
      </c>
      <c r="N446" s="86">
        <f>M446-L446</f>
        <v>401.96000000000004</v>
      </c>
    </row>
    <row r="447" spans="2:14" hidden="1" x14ac:dyDescent="0.25">
      <c r="B447" s="50"/>
      <c r="C447" s="66"/>
      <c r="D447" s="319" t="s">
        <v>846</v>
      </c>
      <c r="E447" s="69"/>
      <c r="F447" s="312">
        <v>1</v>
      </c>
      <c r="G447" s="462">
        <v>27</v>
      </c>
      <c r="H447" s="463"/>
      <c r="I447" s="464"/>
      <c r="J447" s="99"/>
      <c r="K447" s="82">
        <f>F447*G447</f>
        <v>27</v>
      </c>
      <c r="L447" s="82"/>
      <c r="M447" s="82"/>
      <c r="N447" s="86"/>
    </row>
    <row r="448" spans="2:14" hidden="1" x14ac:dyDescent="0.25">
      <c r="B448" s="50"/>
      <c r="C448" s="66"/>
      <c r="D448" s="319" t="s">
        <v>842</v>
      </c>
      <c r="E448" s="69"/>
      <c r="F448" s="312">
        <v>1</v>
      </c>
      <c r="G448" s="462">
        <v>26</v>
      </c>
      <c r="H448" s="463"/>
      <c r="I448" s="464"/>
      <c r="J448" s="99"/>
      <c r="K448" s="82">
        <f t="shared" ref="K448:K451" si="29">F448*G448</f>
        <v>26</v>
      </c>
      <c r="L448" s="82"/>
      <c r="M448" s="82"/>
      <c r="N448" s="86"/>
    </row>
    <row r="449" spans="2:14" hidden="1" x14ac:dyDescent="0.25">
      <c r="B449" s="50"/>
      <c r="C449" s="66"/>
      <c r="D449" s="319" t="s">
        <v>856</v>
      </c>
      <c r="E449" s="69"/>
      <c r="F449" s="312">
        <v>1</v>
      </c>
      <c r="G449" s="462">
        <v>30</v>
      </c>
      <c r="H449" s="463"/>
      <c r="I449" s="464"/>
      <c r="J449" s="99"/>
      <c r="K449" s="82">
        <f t="shared" si="29"/>
        <v>30</v>
      </c>
      <c r="L449" s="82"/>
      <c r="M449" s="82"/>
      <c r="N449" s="86"/>
    </row>
    <row r="450" spans="2:14" hidden="1" x14ac:dyDescent="0.25">
      <c r="B450" s="50"/>
      <c r="C450" s="66"/>
      <c r="D450" s="319" t="s">
        <v>981</v>
      </c>
      <c r="E450" s="69"/>
      <c r="F450" s="312">
        <v>1</v>
      </c>
      <c r="G450" s="462">
        <v>30</v>
      </c>
      <c r="H450" s="463"/>
      <c r="I450" s="464"/>
      <c r="J450" s="99"/>
      <c r="K450" s="82">
        <f t="shared" si="29"/>
        <v>30</v>
      </c>
      <c r="L450" s="82"/>
      <c r="M450" s="82"/>
      <c r="N450" s="86"/>
    </row>
    <row r="451" spans="2:14" hidden="1" x14ac:dyDescent="0.25">
      <c r="B451" s="50"/>
      <c r="C451" s="66"/>
      <c r="D451" s="319" t="s">
        <v>861</v>
      </c>
      <c r="E451" s="69"/>
      <c r="F451" s="312">
        <v>1</v>
      </c>
      <c r="G451" s="462">
        <v>3.27</v>
      </c>
      <c r="H451" s="463"/>
      <c r="I451" s="464"/>
      <c r="J451" s="99"/>
      <c r="K451" s="82">
        <f t="shared" si="29"/>
        <v>3.27</v>
      </c>
      <c r="L451" s="82"/>
      <c r="M451" s="82"/>
      <c r="N451" s="86"/>
    </row>
    <row r="452" spans="2:14" hidden="1" x14ac:dyDescent="0.25">
      <c r="B452" s="212">
        <v>1.1299999999999999</v>
      </c>
      <c r="C452" s="539" t="s">
        <v>368</v>
      </c>
      <c r="D452" s="540"/>
      <c r="E452" s="69"/>
      <c r="F452" s="312"/>
      <c r="G452" s="121"/>
      <c r="H452" s="70"/>
      <c r="I452" s="105"/>
      <c r="J452" s="99"/>
      <c r="K452" s="82"/>
      <c r="L452" s="82"/>
      <c r="M452" s="82"/>
      <c r="N452" s="86"/>
    </row>
    <row r="453" spans="2:14" ht="56.25" hidden="1" x14ac:dyDescent="0.25">
      <c r="B453" s="203" t="s">
        <v>369</v>
      </c>
      <c r="C453" s="211">
        <v>91785</v>
      </c>
      <c r="D453" s="205" t="s">
        <v>371</v>
      </c>
      <c r="E453" s="217" t="s">
        <v>37</v>
      </c>
      <c r="F453" s="312"/>
      <c r="G453" s="121"/>
      <c r="H453" s="70"/>
      <c r="I453" s="105"/>
      <c r="J453" s="99">
        <f>'BOLETIM DE MEDIÇÃO 11'!S138-'MEMORIAL DE CALCULO 09)'!K453</f>
        <v>0</v>
      </c>
      <c r="K453" s="81">
        <f>K454</f>
        <v>98.77</v>
      </c>
      <c r="L453" s="82">
        <f>J453+K453</f>
        <v>98.77</v>
      </c>
      <c r="M453" s="206">
        <v>98.77</v>
      </c>
      <c r="N453" s="86">
        <f t="shared" ref="N453:N510" si="30">M453-L453</f>
        <v>0</v>
      </c>
    </row>
    <row r="454" spans="2:14" hidden="1" x14ac:dyDescent="0.25">
      <c r="B454" s="203"/>
      <c r="C454" s="211"/>
      <c r="D454" s="377" t="s">
        <v>1004</v>
      </c>
      <c r="E454" s="217"/>
      <c r="F454" s="312">
        <v>1</v>
      </c>
      <c r="G454" s="462">
        <f>98.77</f>
        <v>98.77</v>
      </c>
      <c r="H454" s="463"/>
      <c r="I454" s="464"/>
      <c r="J454" s="99"/>
      <c r="K454" s="82">
        <f>G454</f>
        <v>98.77</v>
      </c>
      <c r="L454" s="82"/>
      <c r="M454" s="206"/>
      <c r="N454" s="86">
        <f t="shared" si="30"/>
        <v>0</v>
      </c>
    </row>
    <row r="455" spans="2:14" hidden="1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30"/>
        <v>0</v>
      </c>
    </row>
    <row r="456" spans="2:14" ht="56.25" hidden="1" x14ac:dyDescent="0.25">
      <c r="B456" s="203" t="s">
        <v>372</v>
      </c>
      <c r="C456" s="211">
        <v>91784</v>
      </c>
      <c r="D456" s="205" t="s">
        <v>374</v>
      </c>
      <c r="E456" s="217" t="s">
        <v>37</v>
      </c>
      <c r="F456" s="312"/>
      <c r="G456" s="121"/>
      <c r="H456" s="70"/>
      <c r="I456" s="105"/>
      <c r="J456" s="99">
        <f>'BOLETIM DE MEDIÇÃO 11'!S139-'MEMORIAL DE CALCULO 09)'!K456</f>
        <v>0</v>
      </c>
      <c r="K456" s="81">
        <f>K457</f>
        <v>62.17</v>
      </c>
      <c r="L456" s="82">
        <f t="shared" ref="L456:L515" si="31">J456+K456</f>
        <v>62.17</v>
      </c>
      <c r="M456" s="206">
        <v>62.17</v>
      </c>
      <c r="N456" s="86">
        <f t="shared" si="30"/>
        <v>0</v>
      </c>
    </row>
    <row r="457" spans="2:14" hidden="1" x14ac:dyDescent="0.25">
      <c r="B457" s="203"/>
      <c r="C457" s="211"/>
      <c r="D457" s="377" t="s">
        <v>1004</v>
      </c>
      <c r="E457" s="217"/>
      <c r="F457" s="312">
        <v>1</v>
      </c>
      <c r="G457" s="462">
        <f>62.17</f>
        <v>62.17</v>
      </c>
      <c r="H457" s="463"/>
      <c r="I457" s="464"/>
      <c r="J457" s="99"/>
      <c r="K457" s="82">
        <f>G457</f>
        <v>62.17</v>
      </c>
      <c r="L457" s="82"/>
      <c r="M457" s="206"/>
      <c r="N457" s="86">
        <f t="shared" si="30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30"/>
        <v>0</v>
      </c>
    </row>
    <row r="459" spans="2:14" ht="56.25" hidden="1" x14ac:dyDescent="0.25">
      <c r="B459" s="203" t="s">
        <v>375</v>
      </c>
      <c r="C459" s="211">
        <v>91786</v>
      </c>
      <c r="D459" s="205" t="s">
        <v>377</v>
      </c>
      <c r="E459" s="217" t="s">
        <v>37</v>
      </c>
      <c r="F459" s="312"/>
      <c r="G459" s="121"/>
      <c r="H459" s="70"/>
      <c r="I459" s="105"/>
      <c r="J459" s="99">
        <f>'BOLETIM DE MEDIÇÃO 11'!S140-'MEMORIAL DE CALCULO 09)'!K459</f>
        <v>17.324999999999999</v>
      </c>
      <c r="K459" s="81">
        <f>K460</f>
        <v>7.4249999999999998</v>
      </c>
      <c r="L459" s="82">
        <f t="shared" si="31"/>
        <v>24.75</v>
      </c>
      <c r="M459" s="206">
        <v>24.75</v>
      </c>
      <c r="N459" s="86">
        <f t="shared" si="30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462">
        <f>0.3*24.75</f>
        <v>7.4249999999999998</v>
      </c>
      <c r="H460" s="463"/>
      <c r="I460" s="464"/>
      <c r="J460" s="99"/>
      <c r="K460" s="82">
        <f>G460</f>
        <v>7.4249999999999998</v>
      </c>
      <c r="L460" s="82"/>
      <c r="M460" s="206"/>
      <c r="N460" s="86">
        <f t="shared" si="30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30"/>
        <v>0</v>
      </c>
    </row>
    <row r="462" spans="2:14" ht="56.25" hidden="1" x14ac:dyDescent="0.25">
      <c r="B462" s="203" t="s">
        <v>378</v>
      </c>
      <c r="C462" s="211">
        <v>91787</v>
      </c>
      <c r="D462" s="205" t="s">
        <v>380</v>
      </c>
      <c r="E462" s="217" t="s">
        <v>37</v>
      </c>
      <c r="F462" s="312"/>
      <c r="G462" s="121"/>
      <c r="H462" s="70"/>
      <c r="I462" s="105"/>
      <c r="J462" s="99">
        <f>'BOLETIM DE MEDIÇÃO 11'!S141-'MEMORIAL DE CALCULO 09)'!K462</f>
        <v>18.144000000000002</v>
      </c>
      <c r="K462" s="81">
        <f>K463</f>
        <v>7.7759999999999998</v>
      </c>
      <c r="L462" s="82">
        <f t="shared" si="31"/>
        <v>25.92</v>
      </c>
      <c r="M462" s="206">
        <v>25.92</v>
      </c>
      <c r="N462" s="86">
        <f t="shared" si="30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462">
        <f>0.3*25.92</f>
        <v>7.7759999999999998</v>
      </c>
      <c r="H463" s="463"/>
      <c r="I463" s="464"/>
      <c r="J463" s="99"/>
      <c r="K463" s="82">
        <f>G463</f>
        <v>7.7759999999999998</v>
      </c>
      <c r="L463" s="82"/>
      <c r="M463" s="206"/>
      <c r="N463" s="86">
        <f t="shared" si="30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30"/>
        <v>0</v>
      </c>
    </row>
    <row r="465" spans="2:14" ht="33.75" hidden="1" x14ac:dyDescent="0.25">
      <c r="B465" s="203" t="s">
        <v>381</v>
      </c>
      <c r="C465" s="211">
        <v>89987</v>
      </c>
      <c r="D465" s="205" t="s">
        <v>383</v>
      </c>
      <c r="E465" s="217" t="s">
        <v>166</v>
      </c>
      <c r="F465" s="312"/>
      <c r="G465" s="121"/>
      <c r="H465" s="70"/>
      <c r="I465" s="105"/>
      <c r="J465" s="99">
        <f>'BOLETIM DE MEDIÇÃO 11'!S142-'MEMORIAL DE CALCULO 09)'!K465</f>
        <v>7</v>
      </c>
      <c r="K465" s="81">
        <f>K466</f>
        <v>3</v>
      </c>
      <c r="L465" s="82">
        <f t="shared" si="31"/>
        <v>10</v>
      </c>
      <c r="M465" s="206">
        <v>10</v>
      </c>
      <c r="N465" s="86">
        <f t="shared" si="30"/>
        <v>0</v>
      </c>
    </row>
    <row r="466" spans="2:14" hidden="1" x14ac:dyDescent="0.25">
      <c r="B466" s="203"/>
      <c r="C466" s="211"/>
      <c r="D466" s="377" t="s">
        <v>984</v>
      </c>
      <c r="E466" s="217"/>
      <c r="F466" s="312">
        <v>1</v>
      </c>
      <c r="G466" s="462">
        <f>0.3*10</f>
        <v>3</v>
      </c>
      <c r="H466" s="463"/>
      <c r="I466" s="464"/>
      <c r="J466" s="99"/>
      <c r="K466" s="82">
        <f>G466</f>
        <v>3</v>
      </c>
      <c r="L466" s="82"/>
      <c r="M466" s="206"/>
      <c r="N466" s="86">
        <f t="shared" si="30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30"/>
        <v>0</v>
      </c>
    </row>
    <row r="468" spans="2:14" ht="22.5" hidden="1" x14ac:dyDescent="0.25">
      <c r="B468" s="203" t="s">
        <v>384</v>
      </c>
      <c r="C468" s="211">
        <v>94490</v>
      </c>
      <c r="D468" s="205" t="s">
        <v>386</v>
      </c>
      <c r="E468" s="217" t="s">
        <v>166</v>
      </c>
      <c r="F468" s="312"/>
      <c r="G468" s="121"/>
      <c r="H468" s="70"/>
      <c r="I468" s="105"/>
      <c r="J468" s="99">
        <f>'BOLETIM DE MEDIÇÃO 11'!S143-'MEMORIAL DE CALCULO 09)'!K468</f>
        <v>-1</v>
      </c>
      <c r="K468" s="81">
        <f>K469</f>
        <v>1</v>
      </c>
      <c r="L468" s="82">
        <f t="shared" si="31"/>
        <v>0</v>
      </c>
      <c r="M468" s="206">
        <v>2</v>
      </c>
      <c r="N468" s="86">
        <f t="shared" si="30"/>
        <v>2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462">
        <v>1</v>
      </c>
      <c r="H469" s="463"/>
      <c r="I469" s="464"/>
      <c r="J469" s="99"/>
      <c r="K469" s="82">
        <v>1</v>
      </c>
      <c r="L469" s="82"/>
      <c r="M469" s="206"/>
      <c r="N469" s="86">
        <f t="shared" si="30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30"/>
        <v>0</v>
      </c>
    </row>
    <row r="471" spans="2:14" ht="33.75" hidden="1" x14ac:dyDescent="0.25">
      <c r="B471" s="203" t="s">
        <v>387</v>
      </c>
      <c r="C471" s="211">
        <v>89985</v>
      </c>
      <c r="D471" s="205" t="s">
        <v>389</v>
      </c>
      <c r="E471" s="217" t="s">
        <v>166</v>
      </c>
      <c r="F471" s="312"/>
      <c r="G471" s="121"/>
      <c r="H471" s="70"/>
      <c r="I471" s="105"/>
      <c r="J471" s="99">
        <f>'BOLETIM DE MEDIÇÃO 11'!S144-'MEMORIAL DE CALCULO 09)'!K471</f>
        <v>3</v>
      </c>
      <c r="K471" s="81">
        <f>K472</f>
        <v>3</v>
      </c>
      <c r="L471" s="82">
        <f t="shared" si="31"/>
        <v>6</v>
      </c>
      <c r="M471" s="206">
        <v>6</v>
      </c>
      <c r="N471" s="86">
        <f t="shared" si="30"/>
        <v>0</v>
      </c>
    </row>
    <row r="472" spans="2:14" hidden="1" x14ac:dyDescent="0.25">
      <c r="B472" s="203"/>
      <c r="C472" s="211"/>
      <c r="D472" s="377" t="s">
        <v>983</v>
      </c>
      <c r="E472" s="217"/>
      <c r="F472" s="312">
        <v>1</v>
      </c>
      <c r="G472" s="462">
        <v>3</v>
      </c>
      <c r="H472" s="463"/>
      <c r="I472" s="464"/>
      <c r="J472" s="99"/>
      <c r="K472" s="82">
        <f>G472</f>
        <v>3</v>
      </c>
      <c r="L472" s="82"/>
      <c r="M472" s="206"/>
      <c r="N472" s="86">
        <f t="shared" si="30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30"/>
        <v>0</v>
      </c>
    </row>
    <row r="474" spans="2:14" ht="33.75" hidden="1" x14ac:dyDescent="0.25">
      <c r="B474" s="203" t="s">
        <v>390</v>
      </c>
      <c r="C474" s="211">
        <v>102613</v>
      </c>
      <c r="D474" s="205" t="s">
        <v>392</v>
      </c>
      <c r="E474" s="217" t="s">
        <v>166</v>
      </c>
      <c r="F474" s="312"/>
      <c r="G474" s="121"/>
      <c r="H474" s="70"/>
      <c r="I474" s="105"/>
      <c r="J474" s="99">
        <f>'BOLETIM DE MEDIÇÃO 11'!S145-'MEMORIAL DE CALCULO 09)'!K474</f>
        <v>2</v>
      </c>
      <c r="K474" s="82"/>
      <c r="L474" s="82">
        <f t="shared" si="31"/>
        <v>2</v>
      </c>
      <c r="M474" s="206">
        <v>2</v>
      </c>
      <c r="N474" s="86">
        <f t="shared" si="30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30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30"/>
        <v>0</v>
      </c>
    </row>
    <row r="477" spans="2:14" ht="22.5" hidden="1" x14ac:dyDescent="0.25">
      <c r="B477" s="203" t="s">
        <v>393</v>
      </c>
      <c r="C477" s="211">
        <v>102609</v>
      </c>
      <c r="D477" s="205" t="s">
        <v>395</v>
      </c>
      <c r="E477" s="217" t="s">
        <v>166</v>
      </c>
      <c r="F477" s="312"/>
      <c r="G477" s="121"/>
      <c r="H477" s="70"/>
      <c r="I477" s="105"/>
      <c r="J477" s="99">
        <f>'BOLETIM DE MEDIÇÃO 11'!S146-'MEMORIAL DE CALCULO 09)'!K477</f>
        <v>2</v>
      </c>
      <c r="K477" s="82"/>
      <c r="L477" s="82">
        <f t="shared" si="31"/>
        <v>2</v>
      </c>
      <c r="M477" s="206">
        <v>2</v>
      </c>
      <c r="N477" s="86">
        <f t="shared" si="30"/>
        <v>0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30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30"/>
        <v>0</v>
      </c>
    </row>
    <row r="480" spans="2:14" ht="22.5" hidden="1" x14ac:dyDescent="0.25">
      <c r="B480" s="203" t="s">
        <v>396</v>
      </c>
      <c r="C480" s="211">
        <v>94796</v>
      </c>
      <c r="D480" s="205" t="s">
        <v>398</v>
      </c>
      <c r="E480" s="217" t="s">
        <v>166</v>
      </c>
      <c r="F480" s="312"/>
      <c r="G480" s="121"/>
      <c r="H480" s="70"/>
      <c r="I480" s="105"/>
      <c r="J480" s="99">
        <f>'BOLETIM DE MEDIÇÃO 11'!S147-'MEMORIAL DE CALCULO 09)'!K480</f>
        <v>0</v>
      </c>
      <c r="K480" s="82"/>
      <c r="L480" s="82">
        <f t="shared" si="31"/>
        <v>0</v>
      </c>
      <c r="M480" s="206">
        <v>4</v>
      </c>
      <c r="N480" s="86">
        <f t="shared" si="30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30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30"/>
        <v>0</v>
      </c>
    </row>
    <row r="483" spans="2:14" ht="22.5" hidden="1" x14ac:dyDescent="0.25">
      <c r="B483" s="203" t="s">
        <v>399</v>
      </c>
      <c r="C483" s="211">
        <v>94491</v>
      </c>
      <c r="D483" s="205" t="s">
        <v>401</v>
      </c>
      <c r="E483" s="217" t="s">
        <v>166</v>
      </c>
      <c r="F483" s="312"/>
      <c r="G483" s="121"/>
      <c r="H483" s="70"/>
      <c r="I483" s="105"/>
      <c r="J483" s="99">
        <f>'BOLETIM DE MEDIÇÃO 11'!S148-'MEMORIAL DE CALCULO 09)'!K483</f>
        <v>0</v>
      </c>
      <c r="K483" s="82"/>
      <c r="L483" s="82">
        <f t="shared" si="31"/>
        <v>0</v>
      </c>
      <c r="M483" s="206">
        <v>4</v>
      </c>
      <c r="N483" s="86">
        <f t="shared" si="30"/>
        <v>4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30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30"/>
        <v>0</v>
      </c>
    </row>
    <row r="486" spans="2:14" ht="22.5" hidden="1" x14ac:dyDescent="0.25">
      <c r="B486" s="203" t="s">
        <v>402</v>
      </c>
      <c r="C486" s="211">
        <v>94492</v>
      </c>
      <c r="D486" s="205" t="s">
        <v>404</v>
      </c>
      <c r="E486" s="217" t="s">
        <v>166</v>
      </c>
      <c r="F486" s="312"/>
      <c r="G486" s="121"/>
      <c r="H486" s="70"/>
      <c r="I486" s="105"/>
      <c r="J486" s="99">
        <f>'BOLETIM DE MEDIÇÃO 11'!S149-'MEMORIAL DE CALCULO 09)'!K486</f>
        <v>0</v>
      </c>
      <c r="K486" s="82"/>
      <c r="L486" s="82">
        <f t="shared" si="31"/>
        <v>0</v>
      </c>
      <c r="M486" s="206">
        <v>2</v>
      </c>
      <c r="N486" s="86">
        <f t="shared" si="30"/>
        <v>2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30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30"/>
        <v>0</v>
      </c>
    </row>
    <row r="489" spans="2:14" ht="22.5" hidden="1" x14ac:dyDescent="0.25">
      <c r="B489" s="203" t="s">
        <v>405</v>
      </c>
      <c r="C489" s="211">
        <v>95675</v>
      </c>
      <c r="D489" s="205" t="s">
        <v>407</v>
      </c>
      <c r="E489" s="217" t="s">
        <v>166</v>
      </c>
      <c r="F489" s="312"/>
      <c r="G489" s="121"/>
      <c r="H489" s="70"/>
      <c r="I489" s="105"/>
      <c r="J489" s="99">
        <f>'BOLETIM DE MEDIÇÃO 11'!S150-'MEMORIAL DE CALCULO 09)'!K489</f>
        <v>0</v>
      </c>
      <c r="K489" s="82"/>
      <c r="L489" s="82">
        <f t="shared" si="31"/>
        <v>0</v>
      </c>
      <c r="M489" s="206">
        <v>1</v>
      </c>
      <c r="N489" s="86">
        <f t="shared" si="30"/>
        <v>1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30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30"/>
        <v>0</v>
      </c>
    </row>
    <row r="492" spans="2:14" ht="45" hidden="1" x14ac:dyDescent="0.25">
      <c r="B492" s="203" t="s">
        <v>408</v>
      </c>
      <c r="C492" s="211">
        <v>97902</v>
      </c>
      <c r="D492" s="205" t="s">
        <v>410</v>
      </c>
      <c r="E492" s="217" t="s">
        <v>166</v>
      </c>
      <c r="F492" s="312"/>
      <c r="G492" s="121"/>
      <c r="H492" s="70"/>
      <c r="I492" s="105"/>
      <c r="J492" s="99">
        <f>'BOLETIM DE MEDIÇÃO 11'!S151-'MEMORIAL DE CALCULO 09)'!K492</f>
        <v>7</v>
      </c>
      <c r="K492" s="82"/>
      <c r="L492" s="82">
        <f t="shared" si="31"/>
        <v>7</v>
      </c>
      <c r="M492" s="206">
        <v>7</v>
      </c>
      <c r="N492" s="86">
        <f t="shared" si="30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30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30"/>
        <v>0</v>
      </c>
    </row>
    <row r="495" spans="2:14" ht="45" hidden="1" x14ac:dyDescent="0.25">
      <c r="B495" s="203" t="s">
        <v>411</v>
      </c>
      <c r="C495" s="211">
        <v>99258</v>
      </c>
      <c r="D495" s="205" t="s">
        <v>413</v>
      </c>
      <c r="E495" s="217" t="s">
        <v>166</v>
      </c>
      <c r="F495" s="312"/>
      <c r="G495" s="121"/>
      <c r="H495" s="70"/>
      <c r="I495" s="105"/>
      <c r="J495" s="99">
        <f>'BOLETIM DE MEDIÇÃO 11'!S152-'MEMORIAL DE CALCULO 09)'!K495</f>
        <v>1</v>
      </c>
      <c r="K495" s="82"/>
      <c r="L495" s="82">
        <f t="shared" si="31"/>
        <v>1</v>
      </c>
      <c r="M495" s="206">
        <v>1</v>
      </c>
      <c r="N495" s="86">
        <f t="shared" si="30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30"/>
        <v>0</v>
      </c>
    </row>
    <row r="497" spans="2:14" hidden="1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30"/>
        <v>0</v>
      </c>
    </row>
    <row r="498" spans="2:14" ht="33.75" hidden="1" x14ac:dyDescent="0.25">
      <c r="B498" s="203" t="s">
        <v>414</v>
      </c>
      <c r="C498" s="211">
        <v>89482</v>
      </c>
      <c r="D498" s="205" t="s">
        <v>416</v>
      </c>
      <c r="E498" s="217" t="s">
        <v>166</v>
      </c>
      <c r="F498" s="312"/>
      <c r="G498" s="121"/>
      <c r="H498" s="70"/>
      <c r="I498" s="105"/>
      <c r="J498" s="99">
        <f>'BOLETIM DE MEDIÇÃO 11'!S153-'MEMORIAL DE CALCULO 09)'!K498</f>
        <v>10</v>
      </c>
      <c r="K498" s="82"/>
      <c r="L498" s="82">
        <f t="shared" si="31"/>
        <v>10</v>
      </c>
      <c r="M498" s="206">
        <v>10</v>
      </c>
      <c r="N498" s="86">
        <f t="shared" si="30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30"/>
        <v>0</v>
      </c>
    </row>
    <row r="500" spans="2:14" hidden="1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>
        <f t="shared" si="30"/>
        <v>0</v>
      </c>
    </row>
    <row r="501" spans="2:14" ht="56.25" hidden="1" x14ac:dyDescent="0.25">
      <c r="B501" s="203" t="s">
        <v>417</v>
      </c>
      <c r="C501" s="211">
        <v>91792</v>
      </c>
      <c r="D501" s="205" t="s">
        <v>419</v>
      </c>
      <c r="E501" s="217" t="s">
        <v>37</v>
      </c>
      <c r="F501" s="312"/>
      <c r="G501" s="121"/>
      <c r="H501" s="70"/>
      <c r="I501" s="105"/>
      <c r="J501" s="99">
        <f>'BOLETIM DE MEDIÇÃO 11'!S154-'MEMORIAL DE CALCULO 09)'!K501</f>
        <v>0</v>
      </c>
      <c r="K501" s="81">
        <f>K502</f>
        <v>38.85</v>
      </c>
      <c r="L501" s="82">
        <f t="shared" si="31"/>
        <v>38.85</v>
      </c>
      <c r="M501" s="206">
        <v>38.85</v>
      </c>
      <c r="N501" s="86">
        <f t="shared" si="30"/>
        <v>0</v>
      </c>
    </row>
    <row r="502" spans="2:14" hidden="1" x14ac:dyDescent="0.25">
      <c r="B502" s="203"/>
      <c r="C502" s="211"/>
      <c r="D502" s="377" t="s">
        <v>1004</v>
      </c>
      <c r="E502" s="217"/>
      <c r="F502" s="312">
        <v>1</v>
      </c>
      <c r="G502" s="462">
        <v>38.85</v>
      </c>
      <c r="H502" s="463"/>
      <c r="I502" s="464"/>
      <c r="J502" s="99"/>
      <c r="K502" s="82">
        <f>G502</f>
        <v>38.85</v>
      </c>
      <c r="L502" s="82"/>
      <c r="M502" s="206"/>
      <c r="N502" s="86"/>
    </row>
    <row r="503" spans="2:14" hidden="1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56.25" hidden="1" x14ac:dyDescent="0.25">
      <c r="B504" s="203" t="s">
        <v>420</v>
      </c>
      <c r="C504" s="211">
        <v>91793</v>
      </c>
      <c r="D504" s="205" t="s">
        <v>422</v>
      </c>
      <c r="E504" s="217" t="s">
        <v>37</v>
      </c>
      <c r="F504" s="312"/>
      <c r="G504" s="121"/>
      <c r="H504" s="70"/>
      <c r="I504" s="105"/>
      <c r="J504" s="99">
        <f>'BOLETIM DE MEDIÇÃO 11'!S155-'MEMORIAL DE CALCULO 09)'!K504</f>
        <v>0</v>
      </c>
      <c r="K504" s="81">
        <f>K505</f>
        <v>46.51</v>
      </c>
      <c r="L504" s="82">
        <f t="shared" si="31"/>
        <v>46.51</v>
      </c>
      <c r="M504" s="206">
        <v>46.51</v>
      </c>
      <c r="N504" s="86">
        <f t="shared" si="30"/>
        <v>0</v>
      </c>
    </row>
    <row r="505" spans="2:14" hidden="1" x14ac:dyDescent="0.25">
      <c r="B505" s="203"/>
      <c r="C505" s="211"/>
      <c r="D505" s="377" t="s">
        <v>1004</v>
      </c>
      <c r="E505" s="217"/>
      <c r="F505" s="312">
        <v>1</v>
      </c>
      <c r="G505" s="462">
        <v>46.51</v>
      </c>
      <c r="H505" s="463"/>
      <c r="I505" s="464"/>
      <c r="J505" s="99"/>
      <c r="K505" s="82">
        <f>G505</f>
        <v>46.51</v>
      </c>
      <c r="L505" s="82"/>
      <c r="M505" s="206"/>
      <c r="N505" s="86"/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/>
    </row>
    <row r="507" spans="2:14" ht="45" hidden="1" x14ac:dyDescent="0.25">
      <c r="B507" s="203" t="s">
        <v>423</v>
      </c>
      <c r="C507" s="211">
        <v>98107</v>
      </c>
      <c r="D507" s="205" t="s">
        <v>425</v>
      </c>
      <c r="E507" s="217" t="s">
        <v>166</v>
      </c>
      <c r="F507" s="312"/>
      <c r="G507" s="121"/>
      <c r="H507" s="70"/>
      <c r="I507" s="105"/>
      <c r="J507" s="99">
        <f>'BOLETIM DE MEDIÇÃO 11'!S156-'MEMORIAL DE CALCULO 09)'!K507</f>
        <v>1</v>
      </c>
      <c r="K507" s="82"/>
      <c r="L507" s="82">
        <f t="shared" si="31"/>
        <v>1</v>
      </c>
      <c r="M507" s="206">
        <v>1</v>
      </c>
      <c r="N507" s="86">
        <f t="shared" si="30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30"/>
        <v>0</v>
      </c>
    </row>
    <row r="509" spans="2:14" hidden="1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>
        <f t="shared" si="30"/>
        <v>0</v>
      </c>
    </row>
    <row r="510" spans="2:14" ht="56.25" hidden="1" x14ac:dyDescent="0.25">
      <c r="B510" s="203" t="s">
        <v>426</v>
      </c>
      <c r="C510" s="211">
        <v>91795</v>
      </c>
      <c r="D510" s="205" t="s">
        <v>428</v>
      </c>
      <c r="E510" s="217" t="s">
        <v>37</v>
      </c>
      <c r="F510" s="312"/>
      <c r="G510" s="121"/>
      <c r="H510" s="70"/>
      <c r="I510" s="105"/>
      <c r="J510" s="99">
        <f>'BOLETIM DE MEDIÇÃO 11'!S157-'MEMORIAL DE CALCULO 09)'!K510</f>
        <v>66.38000000000001</v>
      </c>
      <c r="K510" s="81">
        <f>K511</f>
        <v>66.385000000000005</v>
      </c>
      <c r="L510" s="82">
        <f t="shared" si="31"/>
        <v>132.76500000000001</v>
      </c>
      <c r="M510" s="206">
        <v>132.77000000000001</v>
      </c>
      <c r="N510" s="86">
        <f t="shared" si="30"/>
        <v>4.9999999999954525E-3</v>
      </c>
    </row>
    <row r="511" spans="2:14" hidden="1" x14ac:dyDescent="0.25">
      <c r="B511" s="203"/>
      <c r="C511" s="211"/>
      <c r="D511" s="377" t="s">
        <v>983</v>
      </c>
      <c r="E511" s="217"/>
      <c r="F511" s="312">
        <v>1</v>
      </c>
      <c r="G511" s="462">
        <f>0.5*132.77</f>
        <v>66.385000000000005</v>
      </c>
      <c r="H511" s="463"/>
      <c r="I511" s="464"/>
      <c r="J511" s="99"/>
      <c r="K511" s="82">
        <f>G511</f>
        <v>66.385000000000005</v>
      </c>
      <c r="L511" s="82"/>
      <c r="M511" s="206"/>
      <c r="N511" s="86"/>
    </row>
    <row r="512" spans="2:14" ht="45" hidden="1" x14ac:dyDescent="0.25">
      <c r="B512" s="203" t="s">
        <v>429</v>
      </c>
      <c r="C512" s="211">
        <v>99251</v>
      </c>
      <c r="D512" s="215" t="s">
        <v>431</v>
      </c>
      <c r="E512" s="217" t="s">
        <v>166</v>
      </c>
      <c r="F512" s="312"/>
      <c r="G512" s="121"/>
      <c r="H512" s="70"/>
      <c r="I512" s="105"/>
      <c r="J512" s="99">
        <f>'BOLETIM DE MEDIÇÃO 11'!S158-'MEMORIAL DE CALCULO 09)'!K512</f>
        <v>0</v>
      </c>
      <c r="K512" s="82"/>
      <c r="L512" s="82">
        <f t="shared" si="31"/>
        <v>0</v>
      </c>
      <c r="M512" s="206">
        <v>2</v>
      </c>
      <c r="N512" s="86"/>
    </row>
    <row r="513" spans="2:14" hidden="1" x14ac:dyDescent="0.25">
      <c r="B513" s="203"/>
      <c r="C513" s="211"/>
      <c r="D513" s="215"/>
      <c r="E513" s="217"/>
      <c r="F513" s="312"/>
      <c r="G513" s="121"/>
      <c r="H513" s="70"/>
      <c r="I513" s="105"/>
      <c r="J513" s="99"/>
      <c r="K513" s="82"/>
      <c r="L513" s="82"/>
      <c r="M513" s="206"/>
      <c r="N513" s="86"/>
    </row>
    <row r="514" spans="2:14" hidden="1" x14ac:dyDescent="0.25">
      <c r="B514" s="203"/>
      <c r="C514" s="211"/>
      <c r="D514" s="215"/>
      <c r="E514" s="217"/>
      <c r="F514" s="312"/>
      <c r="G514" s="121"/>
      <c r="H514" s="70"/>
      <c r="I514" s="105"/>
      <c r="J514" s="99"/>
      <c r="K514" s="82"/>
      <c r="L514" s="82"/>
      <c r="M514" s="206"/>
      <c r="N514" s="86"/>
    </row>
    <row r="515" spans="2:14" ht="56.25" hidden="1" x14ac:dyDescent="0.25">
      <c r="B515" s="203" t="s">
        <v>432</v>
      </c>
      <c r="C515" s="211">
        <v>91790</v>
      </c>
      <c r="D515" s="215" t="s">
        <v>434</v>
      </c>
      <c r="E515" s="217" t="s">
        <v>37</v>
      </c>
      <c r="F515" s="312"/>
      <c r="G515" s="121"/>
      <c r="H515" s="70"/>
      <c r="I515" s="105"/>
      <c r="J515" s="99">
        <f>'BOLETIM DE MEDIÇÃO 11'!S159-'MEMORIAL DE CALCULO 09)'!K515</f>
        <v>-12.902999999999999</v>
      </c>
      <c r="K515" s="81">
        <f>K516</f>
        <v>12.902999999999999</v>
      </c>
      <c r="L515" s="82">
        <f t="shared" si="31"/>
        <v>0</v>
      </c>
      <c r="M515" s="206">
        <v>43.01</v>
      </c>
      <c r="N515" s="86"/>
    </row>
    <row r="516" spans="2:14" hidden="1" x14ac:dyDescent="0.25">
      <c r="B516" s="50"/>
      <c r="C516" s="66"/>
      <c r="D516" s="377" t="s">
        <v>984</v>
      </c>
      <c r="E516" s="69"/>
      <c r="F516" s="312">
        <v>1</v>
      </c>
      <c r="G516" s="462">
        <f>0.3*43.01</f>
        <v>12.902999999999999</v>
      </c>
      <c r="H516" s="463"/>
      <c r="I516" s="464"/>
      <c r="J516" s="99"/>
      <c r="K516" s="82">
        <f>G516</f>
        <v>12.902999999999999</v>
      </c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idden="1" x14ac:dyDescent="0.25">
      <c r="B544" s="50"/>
      <c r="C544" s="66"/>
      <c r="D544" s="53"/>
      <c r="E544" s="69"/>
      <c r="F544" s="312"/>
      <c r="G544" s="121"/>
      <c r="H544" s="70"/>
      <c r="I544" s="105"/>
      <c r="J544" s="99"/>
      <c r="K544" s="82"/>
      <c r="L544" s="82"/>
      <c r="M544" s="82"/>
      <c r="N544" s="86"/>
    </row>
    <row r="545" spans="1:14" hidden="1" x14ac:dyDescent="0.25">
      <c r="B545" s="50"/>
      <c r="C545" s="66"/>
      <c r="D545" s="53"/>
      <c r="E545" s="69"/>
      <c r="F545" s="312"/>
      <c r="G545" s="121"/>
      <c r="H545" s="70"/>
      <c r="I545" s="105"/>
      <c r="J545" s="99"/>
      <c r="K545" s="82"/>
      <c r="L545" s="82"/>
      <c r="M545" s="82"/>
      <c r="N545" s="86"/>
    </row>
    <row r="546" spans="1:14" ht="14.45" hidden="1" customHeight="1" x14ac:dyDescent="0.25">
      <c r="B546" s="51">
        <v>1.1499999999999999</v>
      </c>
      <c r="C546" s="65" t="s">
        <v>474</v>
      </c>
      <c r="D546" s="53"/>
      <c r="E546" s="44"/>
      <c r="F546" s="130"/>
      <c r="G546" s="463"/>
      <c r="H546" s="463"/>
      <c r="I546" s="464"/>
      <c r="J546" s="99"/>
      <c r="K546" s="81"/>
      <c r="L546" s="82"/>
      <c r="M546" s="82"/>
      <c r="N546" s="86"/>
    </row>
    <row r="547" spans="1:14" ht="56.25" hidden="1" x14ac:dyDescent="0.25">
      <c r="A547" s="79"/>
      <c r="B547" s="50" t="s">
        <v>495</v>
      </c>
      <c r="C547" s="66">
        <v>87548</v>
      </c>
      <c r="D547" s="53" t="s">
        <v>154</v>
      </c>
      <c r="E547" s="44" t="s">
        <v>17</v>
      </c>
      <c r="F547" s="259"/>
      <c r="G547" s="121"/>
      <c r="H547" s="70"/>
      <c r="I547" s="105"/>
      <c r="J547" s="99">
        <f>'BOLETIM DE MEDIÇÃO 05'!O190-'MEMORIAL DE CALCULO 09)'!K547</f>
        <v>6.2000000000011823E-2</v>
      </c>
      <c r="K547" s="351">
        <f>K548</f>
        <v>405.60400000000004</v>
      </c>
      <c r="L547" s="82">
        <f t="shared" ref="L547" si="32">J547+K547</f>
        <v>405.66600000000005</v>
      </c>
      <c r="M547" s="82">
        <f>'BOLETIM DE MEDIÇÃO 05'!G190</f>
        <v>811.27</v>
      </c>
      <c r="N547" s="86">
        <f t="shared" ref="N547" si="33">M547-L547</f>
        <v>405.60399999999993</v>
      </c>
    </row>
    <row r="548" spans="1:14" hidden="1" x14ac:dyDescent="0.25">
      <c r="A548" s="79"/>
      <c r="B548" s="50"/>
      <c r="C548" s="66"/>
      <c r="D548" s="344" t="s">
        <v>960</v>
      </c>
      <c r="E548" s="44"/>
      <c r="F548" s="130">
        <v>2</v>
      </c>
      <c r="G548" s="462">
        <f>65.42</f>
        <v>65.42</v>
      </c>
      <c r="H548" s="465"/>
      <c r="I548" s="105">
        <v>3.1</v>
      </c>
      <c r="J548" s="99"/>
      <c r="K548" s="351">
        <f>F548*G548*I548</f>
        <v>405.60400000000004</v>
      </c>
      <c r="L548" s="82"/>
      <c r="M548" s="82"/>
      <c r="N548" s="86"/>
    </row>
    <row r="549" spans="1:14" ht="14.45" hidden="1" customHeight="1" x14ac:dyDescent="0.25">
      <c r="A549" s="79"/>
      <c r="B549" s="266"/>
      <c r="C549" s="266"/>
      <c r="D549" s="255"/>
      <c r="E549" s="238"/>
      <c r="F549" s="261"/>
      <c r="G549" s="272"/>
      <c r="H549" s="273"/>
      <c r="I549" s="274"/>
      <c r="J549" s="255"/>
      <c r="K549" s="238"/>
      <c r="L549" s="238"/>
      <c r="M549" s="238"/>
      <c r="N549" s="258"/>
    </row>
    <row r="552" spans="1:14" ht="69.599999999999994" hidden="1" customHeight="1" x14ac:dyDescent="0.25">
      <c r="D552" s="278" t="s">
        <v>832</v>
      </c>
      <c r="E552" s="277" t="s">
        <v>41</v>
      </c>
      <c r="F552" s="279"/>
      <c r="G552" s="521" t="s">
        <v>836</v>
      </c>
      <c r="H552" s="522"/>
      <c r="I552" s="523"/>
      <c r="J552" s="279"/>
      <c r="K552" s="280">
        <f>SUM(K555:K559)</f>
        <v>16.472439999999999</v>
      </c>
      <c r="M552" s="282"/>
    </row>
    <row r="553" spans="1:14" ht="14.45" hidden="1" customHeight="1" x14ac:dyDescent="0.25">
      <c r="D553" s="239"/>
      <c r="E553" s="239"/>
      <c r="F553" s="239"/>
      <c r="G553" s="239"/>
      <c r="H553" s="239"/>
      <c r="I553" s="239"/>
      <c r="J553" s="239"/>
      <c r="K553" s="239"/>
    </row>
    <row r="554" spans="1:14" ht="36.6" hidden="1" customHeight="1" x14ac:dyDescent="0.25">
      <c r="D554" s="281"/>
      <c r="E554" s="239"/>
      <c r="F554" s="275" t="s">
        <v>556</v>
      </c>
      <c r="G554" s="276" t="s">
        <v>833</v>
      </c>
      <c r="H554" s="276" t="s">
        <v>834</v>
      </c>
      <c r="I554" s="276" t="s">
        <v>835</v>
      </c>
      <c r="J554" s="239"/>
      <c r="K554" s="239"/>
    </row>
    <row r="555" spans="1:14" ht="14.45" hidden="1" customHeight="1" x14ac:dyDescent="0.25">
      <c r="D555" s="288" t="s">
        <v>879</v>
      </c>
      <c r="E555" s="239"/>
      <c r="F555" s="245">
        <v>1</v>
      </c>
      <c r="G555" s="245">
        <v>12.5</v>
      </c>
      <c r="H555" s="245">
        <v>0.1</v>
      </c>
      <c r="I555" s="245">
        <v>0.36</v>
      </c>
      <c r="J555" s="277"/>
      <c r="K555" s="245">
        <f>((I555+H555/2)*G555)*0.2</f>
        <v>1.0250000000000001</v>
      </c>
    </row>
    <row r="556" spans="1:14" ht="20.45" hidden="1" customHeight="1" x14ac:dyDescent="0.25">
      <c r="D556" s="288" t="s">
        <v>876</v>
      </c>
      <c r="E556" s="239"/>
      <c r="F556" s="245">
        <v>1</v>
      </c>
      <c r="G556" s="245">
        <v>11.67</v>
      </c>
      <c r="H556" s="245">
        <v>0.36</v>
      </c>
      <c r="I556" s="245">
        <v>0.53</v>
      </c>
      <c r="J556" s="277"/>
      <c r="K556" s="245">
        <f t="shared" ref="K556:K559" si="34">((I556+H556/2)*G556)*0.2</f>
        <v>1.6571400000000001</v>
      </c>
    </row>
    <row r="557" spans="1:14" ht="20.45" hidden="1" customHeight="1" x14ac:dyDescent="0.25">
      <c r="D557" s="288" t="s">
        <v>880</v>
      </c>
      <c r="E557" s="239"/>
      <c r="F557" s="245">
        <v>1</v>
      </c>
      <c r="G557" s="245">
        <v>27.1</v>
      </c>
      <c r="H557" s="245">
        <v>0.53</v>
      </c>
      <c r="I557" s="245">
        <v>0.74</v>
      </c>
      <c r="J557" s="277"/>
      <c r="K557" s="245">
        <f t="shared" si="34"/>
        <v>5.4470999999999998</v>
      </c>
    </row>
    <row r="558" spans="1:14" ht="30.6" hidden="1" customHeight="1" x14ac:dyDescent="0.25">
      <c r="D558" s="288" t="s">
        <v>881</v>
      </c>
      <c r="E558" s="239"/>
      <c r="F558" s="245">
        <v>1</v>
      </c>
      <c r="G558" s="245">
        <v>33.9</v>
      </c>
      <c r="H558" s="245">
        <v>0.74</v>
      </c>
      <c r="I558" s="245">
        <v>0.61</v>
      </c>
      <c r="J558" s="277"/>
      <c r="K558" s="245">
        <f t="shared" si="34"/>
        <v>6.644400000000001</v>
      </c>
    </row>
    <row r="559" spans="1:14" ht="20.45" hidden="1" customHeight="1" x14ac:dyDescent="0.25">
      <c r="D559" s="288" t="s">
        <v>882</v>
      </c>
      <c r="E559" s="239"/>
      <c r="F559" s="245">
        <v>1</v>
      </c>
      <c r="G559" s="245">
        <v>12.4</v>
      </c>
      <c r="H559" s="245">
        <v>0.61</v>
      </c>
      <c r="I559" s="245">
        <v>0.38</v>
      </c>
      <c r="J559" s="277"/>
      <c r="K559" s="245">
        <f t="shared" si="34"/>
        <v>1.6988000000000003</v>
      </c>
    </row>
    <row r="562" spans="7:7" x14ac:dyDescent="0.25">
      <c r="G562" s="330"/>
    </row>
  </sheetData>
  <mergeCells count="288">
    <mergeCell ref="G546:I546"/>
    <mergeCell ref="G548:H548"/>
    <mergeCell ref="G552:I552"/>
    <mergeCell ref="G469:I469"/>
    <mergeCell ref="G472:I472"/>
    <mergeCell ref="G502:I502"/>
    <mergeCell ref="G505:I505"/>
    <mergeCell ref="G511:I511"/>
    <mergeCell ref="G516:I516"/>
    <mergeCell ref="C452:D452"/>
    <mergeCell ref="G454:I454"/>
    <mergeCell ref="G457:I457"/>
    <mergeCell ref="G460:I460"/>
    <mergeCell ref="G463:I463"/>
    <mergeCell ref="G466:I466"/>
    <mergeCell ref="G445:I445"/>
    <mergeCell ref="G447:I447"/>
    <mergeCell ref="G448:I448"/>
    <mergeCell ref="G449:I449"/>
    <mergeCell ref="G450:I450"/>
    <mergeCell ref="G451:I451"/>
    <mergeCell ref="G422:I422"/>
    <mergeCell ref="G425:I425"/>
    <mergeCell ref="G429:I429"/>
    <mergeCell ref="G437:I437"/>
    <mergeCell ref="G439:I439"/>
    <mergeCell ref="G441:I441"/>
    <mergeCell ref="G409:I409"/>
    <mergeCell ref="G411:I411"/>
    <mergeCell ref="G413:I413"/>
    <mergeCell ref="G415:I415"/>
    <mergeCell ref="G419:I419"/>
    <mergeCell ref="G431:I431"/>
    <mergeCell ref="G397:I397"/>
    <mergeCell ref="G399:I399"/>
    <mergeCell ref="G403:I403"/>
    <mergeCell ref="G405:I405"/>
    <mergeCell ref="G407:I407"/>
    <mergeCell ref="G379:H379"/>
    <mergeCell ref="G380:H380"/>
    <mergeCell ref="G387:I387"/>
    <mergeCell ref="G390:I390"/>
    <mergeCell ref="G393:I393"/>
    <mergeCell ref="G395:I395"/>
    <mergeCell ref="G385:I385"/>
    <mergeCell ref="G388:I388"/>
    <mergeCell ref="G391:I391"/>
    <mergeCell ref="G401:I401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CEBC-5DB3-43A2-A69B-017FFF7A5F39}">
  <sheetPr>
    <pageSetUpPr fitToPage="1"/>
  </sheetPr>
  <dimension ref="A1:U560"/>
  <sheetViews>
    <sheetView topLeftCell="A6" zoomScaleNormal="100" workbookViewId="0">
      <selection activeCell="G403" sqref="G403:I403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33" t="s">
        <v>993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f>'BOLETIM DE MEDIÇÃO 11'!B8:C8</f>
        <v>45926</v>
      </c>
      <c r="C8" s="448"/>
      <c r="D8" s="23" t="str">
        <f>'BOLETIM DE MEDIÇÃO 11'!D8</f>
        <v>14/03/2025 a 26/09/2025</v>
      </c>
      <c r="E8" s="449">
        <f>'BOLETIM DE MEDIÇÃO 11'!E8</f>
        <v>125103.41000000003</v>
      </c>
      <c r="F8" s="450"/>
      <c r="G8" s="451"/>
      <c r="H8" s="452">
        <f>'BOLETIM DE MEDIÇÃO 05'!H8</f>
        <v>274592.67562904983</v>
      </c>
      <c r="I8" s="453"/>
      <c r="J8" s="454" t="s">
        <v>987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08'!K14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08'!K15</f>
        <v>2.25</v>
      </c>
      <c r="K15" s="81">
        <f>F15*G15*H15</f>
        <v>2.75</v>
      </c>
      <c r="L15" s="82">
        <f t="shared" ref="L15:L417" si="0">J15+K15</f>
        <v>5</v>
      </c>
      <c r="M15" s="82">
        <f>'BOLETIM DE MEDIÇÃO 05'!G15</f>
        <v>5</v>
      </c>
      <c r="N15" s="86">
        <f t="shared" ref="N15:N417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08'!K16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08'!K17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08'!K19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08'!K21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08'!K24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08'!K25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2">
        <v>1</v>
      </c>
      <c r="G70" s="499">
        <f>43.05</f>
        <v>43.05</v>
      </c>
      <c r="H70" s="500"/>
      <c r="I70" s="501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3"/>
      <c r="G71" s="502"/>
      <c r="H71" s="503"/>
      <c r="I71" s="504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6" t="s">
        <v>883</v>
      </c>
      <c r="H72" s="497"/>
      <c r="I72" s="498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4" t="s">
        <v>838</v>
      </c>
      <c r="H73" s="495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4">
        <v>9</v>
      </c>
      <c r="H74" s="495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4">
        <v>5</v>
      </c>
      <c r="H75" s="495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4">
        <f xml:space="preserve"> (13.03 * 2.7)</f>
        <v>35.180999999999997</v>
      </c>
      <c r="H76" s="495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4">
        <v>3</v>
      </c>
      <c r="H77" s="495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4">
        <v>7</v>
      </c>
      <c r="H78" s="495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4">
        <v>21</v>
      </c>
      <c r="H79" s="495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4">
        <v>27</v>
      </c>
      <c r="H80" s="495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4">
        <v>26</v>
      </c>
      <c r="H81" s="495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4">
        <v>1.6</v>
      </c>
      <c r="H82" s="495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4">
        <v>1.6</v>
      </c>
      <c r="H83" s="495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4">
        <v>45</v>
      </c>
      <c r="H84" s="495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4">
        <v>19</v>
      </c>
      <c r="H85" s="495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4">
        <v>19</v>
      </c>
      <c r="H86" s="495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4">
        <v>5</v>
      </c>
      <c r="H87" s="495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4">
        <v>14</v>
      </c>
      <c r="H88" s="495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5">
        <v>36</v>
      </c>
      <c r="H89" s="506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5">
        <v>46</v>
      </c>
      <c r="H90" s="506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4">
        <v>41</v>
      </c>
      <c r="H91" s="495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4">
        <v>27</v>
      </c>
      <c r="H92" s="495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4">
        <v>53</v>
      </c>
      <c r="H93" s="495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4">
        <f xml:space="preserve"> (2.65*1.8)</f>
        <v>4.7699999999999996</v>
      </c>
      <c r="H94" s="495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4">
        <v>30</v>
      </c>
      <c r="H95" s="495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4">
        <v>30</v>
      </c>
      <c r="H96" s="495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4">
        <v>14</v>
      </c>
      <c r="H97" s="495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4">
        <v>14</v>
      </c>
      <c r="H98" s="495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4">
        <v>20</v>
      </c>
      <c r="H99" s="495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4">
        <v>3</v>
      </c>
      <c r="H100" s="495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4">
        <v>4</v>
      </c>
      <c r="H101" s="495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4">
        <v>12</v>
      </c>
      <c r="H102" s="495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4">
        <v>20</v>
      </c>
      <c r="H103" s="495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4">
        <v>4</v>
      </c>
      <c r="H104" s="495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4">
        <v>5</v>
      </c>
      <c r="H105" s="495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4">
        <f>1184.23-SUM(G74:H105)</f>
        <v>582.07900000000006</v>
      </c>
      <c r="H106" s="495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4"/>
      <c r="H107" s="495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75" t="s">
        <v>652</v>
      </c>
      <c r="H108" s="477"/>
      <c r="I108" s="478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08'!K154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08'!K163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71" t="s">
        <v>831</v>
      </c>
      <c r="H172" s="473"/>
      <c r="I172" s="474"/>
      <c r="J172" s="99">
        <f>'BOLETIM DE MEDIÇÃO 05'!O29-'MEMORIAL DE CALCULO 08'!K172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75">
        <v>492.78</v>
      </c>
      <c r="H173" s="477"/>
      <c r="I173" s="478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75">
        <f>(2*12)+(2*3.79)+(2*8.94)+(2*6.27)+ 1.39+0.99 +(2*1.85)+(2*1.7)+ (2*1.35)</f>
        <v>74.180000000000007</v>
      </c>
      <c r="H174" s="476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75">
        <f>(2*10.92)+(2*10.92)+ 1.3 + 1.1</f>
        <v>46.08</v>
      </c>
      <c r="H175" s="476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75">
        <f>(2*1.87)+(2*1.87)</f>
        <v>7.48</v>
      </c>
      <c r="H176" s="476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75">
        <f>(2*6.55)+(2*6.3)+1.75+1.35+1.19</f>
        <v>29.990000000000002</v>
      </c>
      <c r="H177" s="476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75">
        <f>(2*8.39)+(2*1.7)+ 1.1+ 3.13 + (2*5.24)+ (2*3.11)</f>
        <v>41.11</v>
      </c>
      <c r="H178" s="476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75"/>
      <c r="H179" s="476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75"/>
      <c r="H180" s="476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75"/>
      <c r="H181" s="476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75"/>
      <c r="H182" s="476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75"/>
      <c r="H183" s="476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75"/>
      <c r="H184" s="476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75"/>
      <c r="H185" s="476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75"/>
      <c r="H186" s="476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75"/>
      <c r="H187" s="476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75"/>
      <c r="H188" s="476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75"/>
      <c r="H189" s="476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75"/>
      <c r="H190" s="476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75"/>
      <c r="H191" s="476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75"/>
      <c r="H192" s="476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75"/>
      <c r="H193" s="476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75"/>
      <c r="H194" s="476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75"/>
      <c r="H195" s="476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75"/>
      <c r="H196" s="476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75"/>
      <c r="H197" s="476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75"/>
      <c r="H198" s="476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75"/>
      <c r="H199" s="476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71">
        <f xml:space="preserve"> (2*1.31) + (2*1.51) + (2*4.98)</f>
        <v>15.600000000000001</v>
      </c>
      <c r="H201" s="47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71">
        <f xml:space="preserve"> (3*3.37) + (1.37) + (2*3.47)</f>
        <v>18.420000000000002</v>
      </c>
      <c r="H202" s="47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71">
        <f xml:space="preserve"> (1.87) + (2*3.62)</f>
        <v>9.11</v>
      </c>
      <c r="H203" s="47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71">
        <f xml:space="preserve"> (4*0.88) + (2*3.36) + (2*5.03)</f>
        <v>20.3</v>
      </c>
      <c r="H204" s="47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71">
        <f xml:space="preserve"> (2*3.18) + (2*3.18)</f>
        <v>12.72</v>
      </c>
      <c r="H205" s="47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71">
        <f xml:space="preserve"> (4*2.15)</f>
        <v>8.6</v>
      </c>
      <c r="H206" s="47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71">
        <f xml:space="preserve"> (4*6.99)</f>
        <v>27.96</v>
      </c>
      <c r="H207" s="47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71" t="s">
        <v>831</v>
      </c>
      <c r="H208" s="473"/>
      <c r="I208" s="474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71"/>
      <c r="H209" s="473"/>
      <c r="I209" s="474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75" t="s">
        <v>679</v>
      </c>
      <c r="H217" s="476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71" t="s">
        <v>680</v>
      </c>
      <c r="H218" s="47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71" t="s">
        <v>681</v>
      </c>
      <c r="H219" s="47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71" t="s">
        <v>682</v>
      </c>
      <c r="H220" s="47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71" t="s">
        <v>684</v>
      </c>
      <c r="H221" s="47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71" t="s">
        <v>683</v>
      </c>
      <c r="H222" s="47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71" t="s">
        <v>685</v>
      </c>
      <c r="H223" s="47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75" t="s">
        <v>686</v>
      </c>
      <c r="H224" s="476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71" t="s">
        <v>687</v>
      </c>
      <c r="H225" s="47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71" t="s">
        <v>688</v>
      </c>
      <c r="H226" s="47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75" t="s">
        <v>689</v>
      </c>
      <c r="H227" s="476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71" t="s">
        <v>690</v>
      </c>
      <c r="H228" s="47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75" t="s">
        <v>691</v>
      </c>
      <c r="H229" s="476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71" t="s">
        <v>692</v>
      </c>
      <c r="H230" s="47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71" t="s">
        <v>693</v>
      </c>
      <c r="H231" s="47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75" t="s">
        <v>694</v>
      </c>
      <c r="H232" s="476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71" t="s">
        <v>695</v>
      </c>
      <c r="H233" s="47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71" t="s">
        <v>696</v>
      </c>
      <c r="H234" s="47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71" t="s">
        <v>697</v>
      </c>
      <c r="H235" s="47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71" t="s">
        <v>698</v>
      </c>
      <c r="H236" s="47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71" t="s">
        <v>699</v>
      </c>
      <c r="H237" s="47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71" t="s">
        <v>700</v>
      </c>
      <c r="H238" s="47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71" t="s">
        <v>701</v>
      </c>
      <c r="H239" s="47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75" t="s">
        <v>702</v>
      </c>
      <c r="H240" s="476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71" t="s">
        <v>704</v>
      </c>
      <c r="H241" s="47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71" t="s">
        <v>703</v>
      </c>
      <c r="H242" s="47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71" t="s">
        <v>703</v>
      </c>
      <c r="H243" s="47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71" t="s">
        <v>705</v>
      </c>
      <c r="H244" s="47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71" t="s">
        <v>704</v>
      </c>
      <c r="H245" s="47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71" t="s">
        <v>705</v>
      </c>
      <c r="H246" s="47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71" t="s">
        <v>704</v>
      </c>
      <c r="H247" s="47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71">
        <v>9.6</v>
      </c>
      <c r="H248" s="473"/>
      <c r="I248" s="474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71">
        <v>12.75</v>
      </c>
      <c r="H249" s="473"/>
      <c r="I249" s="474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8" t="s">
        <v>874</v>
      </c>
      <c r="H257" s="489"/>
      <c r="I257" s="490"/>
      <c r="J257" s="99">
        <f>'BOLETIM DE MEDIÇÃO 05'!O31-'MEMORIAL DE CALCULO 08'!K257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71"/>
      <c r="H258" s="473"/>
      <c r="I258" s="474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71">
        <v>9.6</v>
      </c>
      <c r="H259" s="473"/>
      <c r="I259" s="474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71" t="s">
        <v>831</v>
      </c>
      <c r="H260" s="473"/>
      <c r="I260" s="474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71">
        <f>G249</f>
        <v>12.75</v>
      </c>
      <c r="H261" s="473"/>
      <c r="I261" s="474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71" t="s">
        <v>831</v>
      </c>
      <c r="H262" s="473"/>
      <c r="I262" s="474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75" t="s">
        <v>647</v>
      </c>
      <c r="H263" s="476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71">
        <f xml:space="preserve"> ((0.59*(1.85/0.1)) * 2)</f>
        <v>21.83</v>
      </c>
      <c r="H264" s="47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71">
        <f>(0.69*(1.87/0.1)) + (0.79*(1.87/0.1))</f>
        <v>27.675999999999998</v>
      </c>
      <c r="H265" s="47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71">
        <f>((0.69*(1.9/0.1))*3) + ((0.59*(1.87/0.1))*2)</f>
        <v>61.395999999999987</v>
      </c>
      <c r="H266" s="47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71">
        <f>((0.69*(1.92/0.1))*1) + ((0.59*(1.92/0.1))*2)</f>
        <v>35.903999999999996</v>
      </c>
      <c r="H267" s="47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71">
        <f>((0.79*(1.94/0.1))*3)</f>
        <v>45.977999999999994</v>
      </c>
      <c r="H268" s="47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71">
        <f>((0.69*(1.96/0.1))*3) + ((0.59*(1.96/0.1))*2)</f>
        <v>63.699999999999989</v>
      </c>
      <c r="H269" s="47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71">
        <f>((0.59*(1.95/0.1))*2) + ((0.69*(1.95/0.1))*3) +((0.79*(1.95/0.1))*1)</f>
        <v>78.78</v>
      </c>
      <c r="H270" s="47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71">
        <f>((0.59*(1.97/0.1))*1)  +((0.79*(1.97/0.1))*2)</f>
        <v>42.749000000000002</v>
      </c>
      <c r="H271" s="47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71">
        <f>((0.59*(1.9/0.1))*3)</f>
        <v>33.629999999999995</v>
      </c>
      <c r="H272" s="47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71">
        <f>((0.69*(1.86/0.1))*1) + ((0.69*(1.86/0.1))*1) + ((0.89*(1.86/0.1))*1)</f>
        <v>42.222000000000001</v>
      </c>
      <c r="H273" s="47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71">
        <f>((0.69*(1.87/0.1))*3)</f>
        <v>38.708999999999996</v>
      </c>
      <c r="H274" s="47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71">
        <f>((0.69*(1.9/0.1))*1) + ((0.79*(1.9/0.1))*2) + ((0.59*(1.9/0.1))*1)</f>
        <v>54.339999999999989</v>
      </c>
      <c r="H275" s="47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71">
        <f>((0.79*(1.91/0.1))*1) +((0.59*(1.91/0.1))*1)</f>
        <v>26.357999999999997</v>
      </c>
      <c r="H276" s="47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71">
        <f>((0.79*(1.94/0.1))*1) +((0.59*(1.94/0.1))*5)</f>
        <v>72.555999999999983</v>
      </c>
      <c r="H277" s="47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71">
        <f>((0.69*(1.92/0.1))*2) + ((0.69*(1.92/0.1))*1)</f>
        <v>39.744</v>
      </c>
      <c r="H278" s="47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71">
        <f>((0.59*(1.93/0.1))*2) + ((0.79*(1.93/0.1))*1)</f>
        <v>38.020999999999994</v>
      </c>
      <c r="H279" s="47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71">
        <f>((0.59*(1.87/0.1))*2) + ((0.69*(1.87/0.1))*2)</f>
        <v>47.872</v>
      </c>
      <c r="H280" s="47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71">
        <f>((0.59*(1.88/0.1))*3) + ((0.69*(1.88/0.1))*1)</f>
        <v>46.24799999999999</v>
      </c>
      <c r="H281" s="47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71">
        <f>((0.79*(1.9/0.1))*1) + ((0.69*(1.9/0.1))*3)</f>
        <v>54.339999999999982</v>
      </c>
      <c r="H282" s="47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71">
        <f>((0.59*(1.9/0.1))*1)</f>
        <v>11.209999999999997</v>
      </c>
      <c r="H283" s="47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71">
        <f>((0.69*(1.87/0.1))*1) + ((0.59*(1.87/0.1))*1)</f>
        <v>23.936</v>
      </c>
      <c r="H284" s="47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71">
        <f>((0.69*(2/0.1))*1) + ((0.59*(2/0.1))*2)</f>
        <v>37.4</v>
      </c>
      <c r="H285" s="47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71">
        <f>((0.69*(2.01/0.1))*1) + ((0.59*(2.01/0.1))*5) + ((0.79*(2.01/0.1))*1)</f>
        <v>89.042999999999992</v>
      </c>
      <c r="H286" s="47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71">
        <f>(((1.39+0.47+0.47))*(1.86/0.15))</f>
        <v>28.892000000000003</v>
      </c>
      <c r="H287" s="47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71">
        <f>(((1.09+0.022))*(1.87/0.15))</f>
        <v>13.862933333333336</v>
      </c>
      <c r="H288" s="47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71">
        <f>(((1.09+0.022))*(1.89/0.15))</f>
        <v>14.011200000000001</v>
      </c>
      <c r="H289" s="47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71">
        <f>(((0.59))*(1.9/0.15))</f>
        <v>7.4733333333333327</v>
      </c>
      <c r="H290" s="47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71">
        <f>(((0.59))*(1.92/0.15))</f>
        <v>7.5519999999999996</v>
      </c>
      <c r="H291" s="47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71">
        <f>(((0.59))*(1.9/0.15))</f>
        <v>7.4733333333333327</v>
      </c>
      <c r="H292" s="47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71">
        <f>(((0.69))*(1.98/0.15))</f>
        <v>9.1080000000000005</v>
      </c>
      <c r="H293" s="47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75">
        <v>210.13</v>
      </c>
      <c r="H294" s="477"/>
      <c r="I294" s="478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71">
        <f xml:space="preserve"> (2*2.51) + (40*0.59)</f>
        <v>28.619999999999997</v>
      </c>
      <c r="H295" s="47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71">
        <f xml:space="preserve"> (19*0.79)</f>
        <v>15.010000000000002</v>
      </c>
      <c r="H296" s="47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71">
        <f xml:space="preserve"> (21*0.79)</f>
        <v>16.59</v>
      </c>
      <c r="H297" s="47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71">
        <f xml:space="preserve"> (2*3.86) + (29*0.79)</f>
        <v>30.63</v>
      </c>
      <c r="H298" s="47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71">
        <f xml:space="preserve"> (22*0.59)</f>
        <v>12.979999999999999</v>
      </c>
      <c r="H299" s="47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71">
        <f xml:space="preserve"> (14*0.059)</f>
        <v>0.82599999999999996</v>
      </c>
      <c r="H300" s="47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71">
        <f xml:space="preserve"> (59*0.59)</f>
        <v>34.809999999999995</v>
      </c>
      <c r="H301" s="47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08'!K302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71">
        <v>295</v>
      </c>
      <c r="H303" s="473"/>
      <c r="I303" s="474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75" t="s">
        <v>628</v>
      </c>
      <c r="H306" s="476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71">
        <f xml:space="preserve"> (4*(0.2+0.25+1.85+0.33)) * 2</f>
        <v>21.040000000000003</v>
      </c>
      <c r="H307" s="47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71">
        <f xml:space="preserve"> ((4*(0.2+0.25+1.87+0.33)) * 2)</f>
        <v>21.200000000000003</v>
      </c>
      <c r="H308" s="47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71">
        <f xml:space="preserve"> (4*(0.2+0.25+1.9+0.33)) * 5</f>
        <v>53.6</v>
      </c>
      <c r="H309" s="47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71">
        <f xml:space="preserve"> (4*(0.2+0.25+1.92+0.33)) *3</f>
        <v>32.400000000000006</v>
      </c>
      <c r="H310" s="47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71">
        <f xml:space="preserve"> (4*(0.2+0.25+1.94+0.33)) * 3</f>
        <v>32.64</v>
      </c>
      <c r="H311" s="47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71">
        <f xml:space="preserve"> (4*(0.2+0.25+1.96+0.33)) * 5</f>
        <v>54.800000000000004</v>
      </c>
      <c r="H312" s="47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71">
        <f xml:space="preserve"> (4*(0.2+0.25+1.95+0.33)) * 6</f>
        <v>65.52</v>
      </c>
      <c r="H313" s="47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71">
        <f xml:space="preserve"> (4*(0.2+0.25+1.97+0.33)) * 3</f>
        <v>33</v>
      </c>
      <c r="H314" s="47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71">
        <f xml:space="preserve"> (4*(0.2+0.25+1.9+0.33)) * 3</f>
        <v>32.160000000000004</v>
      </c>
      <c r="H315" s="47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71">
        <f xml:space="preserve"> ((4*(0.2+0.25+1.86+0.33)) * 3)</f>
        <v>31.68</v>
      </c>
      <c r="H316" s="47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71">
        <f xml:space="preserve"> ((4*(0.2+0.25+1.87+0.33)) * 3)</f>
        <v>31.800000000000004</v>
      </c>
      <c r="H317" s="47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71">
        <f xml:space="preserve"> ((4*(0.2+0.25+1.9+0.33)) * 4)</f>
        <v>42.88</v>
      </c>
      <c r="H318" s="47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71">
        <f xml:space="preserve"> ((4*(0.2+0.25+1.91+0.33)) * 2)</f>
        <v>21.52</v>
      </c>
      <c r="H319" s="47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71">
        <f xml:space="preserve"> ((4*(0.2+0.25+1.94+0.33)) * 6)</f>
        <v>65.28</v>
      </c>
      <c r="H320" s="47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71">
        <f xml:space="preserve"> ((4*(0.2+0.25+1.92+0.33)) *3)</f>
        <v>32.400000000000006</v>
      </c>
      <c r="H321" s="47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71">
        <f xml:space="preserve"> ((4*(0.2+0.25+1.93+0.33)) *3)</f>
        <v>32.519999999999996</v>
      </c>
      <c r="H322" s="47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71">
        <f xml:space="preserve"> ((4*(0.2+0.25+1.87+0.33)) *4)</f>
        <v>42.400000000000006</v>
      </c>
      <c r="H323" s="47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71">
        <f xml:space="preserve"> ((4*(0.2+0.25+1.88+0.33)) *4)</f>
        <v>42.56</v>
      </c>
      <c r="H324" s="47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71">
        <f xml:space="preserve"> ((4*(0.2+0.25+1.9+0.33)) *4)</f>
        <v>42.88</v>
      </c>
      <c r="H325" s="47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71">
        <f>((4*(0.2+0.25+1.9+0.33))) + ((8*(0.2+0.25+1.9)))</f>
        <v>29.520000000000003</v>
      </c>
      <c r="H326" s="47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71">
        <f xml:space="preserve"> ((4*(0.2+0.25+1.97+0.33)) *2)</f>
        <v>22</v>
      </c>
      <c r="H327" s="47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71">
        <f xml:space="preserve"> ((4*(0.2+0.25+2+0.33)) *3)</f>
        <v>33.36</v>
      </c>
      <c r="H328" s="47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71">
        <f xml:space="preserve"> ((4*(0.2+0.25+2.01+0.33)) *7)</f>
        <v>78.12</v>
      </c>
      <c r="H329" s="47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71" t="s">
        <v>831</v>
      </c>
      <c r="H330" s="473"/>
      <c r="I330" s="474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75" t="s">
        <v>628</v>
      </c>
      <c r="H331" s="476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71">
        <f>((8*(0.2+0.25+1.86+0.42)))</f>
        <v>21.84</v>
      </c>
      <c r="H332" s="47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71">
        <f>((6*(0.2+0.25+1.87+0.42)))</f>
        <v>16.440000000000001</v>
      </c>
      <c r="H333" s="47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71">
        <f>((6*(0.2+0.25+1.89+0.42)))</f>
        <v>16.559999999999999</v>
      </c>
      <c r="H334" s="47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71">
        <f>((4*(0.2+0.25+1.9+0.42)))</f>
        <v>11.08</v>
      </c>
      <c r="H335" s="47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71">
        <f>((4*(0.2+0.25+1.92+0.42)))</f>
        <v>11.16</v>
      </c>
      <c r="H336" s="47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71">
        <f>((4*(0.2+0.25+1.9+0.42)))</f>
        <v>11.08</v>
      </c>
      <c r="H337" s="47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71">
        <f>((4*(0.2+0.25+1.98+0.42)))+(2*(0.2+0.25+1.98))</f>
        <v>16.260000000000002</v>
      </c>
      <c r="H338" s="47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75">
        <v>52.34</v>
      </c>
      <c r="H339" s="477"/>
      <c r="I339" s="478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71"/>
      <c r="H340" s="473"/>
      <c r="I340" s="474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71">
        <v>223.49</v>
      </c>
      <c r="H341" s="473"/>
      <c r="I341" s="474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75" t="s">
        <v>706</v>
      </c>
      <c r="H350" s="476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71">
        <f xml:space="preserve"> ((0.15+0.25)*2) *2</f>
        <v>1.6</v>
      </c>
      <c r="H351" s="47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71">
        <f xml:space="preserve"> ((0.2+0.25)*2) + ((0.2+0.3)*2)</f>
        <v>1.9</v>
      </c>
      <c r="H352" s="472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71">
        <f xml:space="preserve"> ((0.2+0.25)*2*3) + ((0.2+0.2)*2*1) + ((0.15+0.2)*2*1)</f>
        <v>4.2</v>
      </c>
      <c r="H353" s="47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71">
        <f xml:space="preserve"> ((0.2+0.25)*2*1) + ((0.15+0.25)*2*2)</f>
        <v>2.5</v>
      </c>
      <c r="H354" s="47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71">
        <f xml:space="preserve"> ((0.15+0.3)*2*3)</f>
        <v>2.6999999999999997</v>
      </c>
      <c r="H355" s="47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71">
        <f xml:space="preserve"> ((0.2+0.25)*2*3) + ((0.15+0.25)*2*2)</f>
        <v>4.3000000000000007</v>
      </c>
      <c r="H356" s="47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71">
        <f xml:space="preserve"> ((0.2+0.25)*2*3) + ((0.15+0.25)*2*2) +  ((0.2+0.3)*2*1)</f>
        <v>5.3000000000000007</v>
      </c>
      <c r="H357" s="47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71">
        <f xml:space="preserve"> ((0.2+0.25)*2*2) + ((0.15+0.25)*2*1)</f>
        <v>2.6</v>
      </c>
      <c r="H358" s="47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71">
        <f>((0.15+0.25)*2*3)</f>
        <v>2.4000000000000004</v>
      </c>
      <c r="H359" s="47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71">
        <f xml:space="preserve"> ((0.2+0.25)*2*1) + ((0.15+0.25)*2*1) +  ((0.2+0.35)*2*1)</f>
        <v>2.8000000000000003</v>
      </c>
      <c r="H360" s="47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71">
        <f xml:space="preserve"> ((0.2+0.25)*2*1) + ((0.15+0.3)*2*2)</f>
        <v>2.6999999999999997</v>
      </c>
      <c r="H361" s="47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71">
        <f xml:space="preserve"> ((0.2+0.3)*2*1) + ((0.15+0.3)*2*1) +  ((0.15+0.25)*2*1) + ((0.15+0.35)*2*1)</f>
        <v>3.7</v>
      </c>
      <c r="H362" s="47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71">
        <f xml:space="preserve"> ((0.15+0.25)*2*1) + ((0.2+0.3)*2*1)</f>
        <v>1.8</v>
      </c>
      <c r="H363" s="47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71">
        <f xml:space="preserve"> ((0.15+0.25)*2*5) + ((0.25+0.25)*2*1)</f>
        <v>5</v>
      </c>
      <c r="H364" s="47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71">
        <f xml:space="preserve"> ((0.2+0.25)*2*1) + ((0.15+0.25)*2*1) +  ((0.25+0.25)*2*1)</f>
        <v>2.7</v>
      </c>
      <c r="H365" s="47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71">
        <f xml:space="preserve"> ((0.15+0.25)*2*2) + ((0.25+0.25)*2*1)</f>
        <v>2.6</v>
      </c>
      <c r="H366" s="47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71">
        <f xml:space="preserve"> ((0.15+0.25)*2*2) + ((0.2+0.25)*2*2)</f>
        <v>3.4000000000000004</v>
      </c>
      <c r="H367" s="47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71">
        <f xml:space="preserve"> ((0.15+0.25)*2*3) + ((0.2+0.25)*2*1)</f>
        <v>3.3000000000000003</v>
      </c>
      <c r="H368" s="47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71">
        <f>((0.2+0.25)*2*3) + ((0.25+0.25)*2*1)</f>
        <v>3.7</v>
      </c>
      <c r="H369" s="47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71">
        <f>((0.2+0.2)*2*1)</f>
        <v>0.8</v>
      </c>
      <c r="H370" s="47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71">
        <f>((0.2+0.25)*2*1) + ((0.15+0.25)*2*1)</f>
        <v>1.7000000000000002</v>
      </c>
      <c r="H371" s="47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71">
        <f>((0.2+0.25)*2*1) + ((0.15+0.25)*2*2)</f>
        <v>2.5</v>
      </c>
      <c r="H372" s="47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71">
        <f xml:space="preserve"> ((0.2+0.3)*2*1) + ((0.15+0.25)*2*5) +  ((0.25+0.25)*2*1)</f>
        <v>6</v>
      </c>
      <c r="H373" s="47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71">
        <f>((0.15+0.3)*2*1)</f>
        <v>0.89999999999999991</v>
      </c>
      <c r="H374" s="47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71">
        <f>((0.15+0.5)*2*1)</f>
        <v>1.3</v>
      </c>
      <c r="H375" s="47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71">
        <f>((0.15+0.5)*2*1)</f>
        <v>1.3</v>
      </c>
      <c r="H376" s="47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71">
        <f>((0.15+0.25)*2*1)</f>
        <v>0.8</v>
      </c>
      <c r="H377" s="47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71">
        <f t="shared" ref="G378" si="18">((0.15+0.3)*2*1)</f>
        <v>0.89999999999999991</v>
      </c>
      <c r="H378" s="47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71">
        <f>((0.15+0.25)*2*1)</f>
        <v>0.8</v>
      </c>
      <c r="H379" s="47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71">
        <f>((0.15+0.3)*2*1)</f>
        <v>0.89999999999999991</v>
      </c>
      <c r="H380" s="47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08'!K381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40.15" customHeight="1" x14ac:dyDescent="0.25">
      <c r="B384" s="247" t="s">
        <v>95</v>
      </c>
      <c r="C384" s="248">
        <v>92480</v>
      </c>
      <c r="D384" s="402" t="s">
        <v>97</v>
      </c>
      <c r="E384" s="242" t="s">
        <v>17</v>
      </c>
      <c r="F384" s="243"/>
      <c r="G384" s="244"/>
      <c r="H384" s="403"/>
      <c r="I384" s="246"/>
      <c r="J384" s="249">
        <f>'BOLETIM DE MEDIÇÃO 11'!S41-'MEMORIAL DE CALCULO 08'!K384</f>
        <v>407.0752</v>
      </c>
      <c r="K384" s="250">
        <f>K385</f>
        <v>32.743000000000002</v>
      </c>
      <c r="L384" s="251">
        <f t="shared" si="0"/>
        <v>439.81819999999999</v>
      </c>
      <c r="M384" s="251">
        <f>'BOLETIM DE MEDIÇÃO 05'!G41</f>
        <v>435.33</v>
      </c>
      <c r="N384" s="252">
        <f t="shared" si="1"/>
        <v>-4.4882000000000062</v>
      </c>
    </row>
    <row r="385" spans="2:15" ht="18" customHeight="1" x14ac:dyDescent="0.25">
      <c r="B385" s="247"/>
      <c r="C385" s="404"/>
      <c r="D385" s="405" t="s">
        <v>1003</v>
      </c>
      <c r="E385" s="242"/>
      <c r="F385" s="243">
        <v>1</v>
      </c>
      <c r="G385" s="494">
        <f>0.1*327.43</f>
        <v>32.743000000000002</v>
      </c>
      <c r="H385" s="543"/>
      <c r="I385" s="538"/>
      <c r="J385" s="249"/>
      <c r="K385" s="251">
        <f>G385</f>
        <v>32.743000000000002</v>
      </c>
      <c r="L385" s="251"/>
      <c r="M385" s="251"/>
      <c r="N385" s="252"/>
    </row>
    <row r="386" spans="2:15" ht="24.6" customHeight="1" x14ac:dyDescent="0.25">
      <c r="B386" s="247" t="s">
        <v>98</v>
      </c>
      <c r="C386" s="248">
        <v>92267</v>
      </c>
      <c r="D386" s="402" t="s">
        <v>100</v>
      </c>
      <c r="E386" s="242"/>
      <c r="F386" s="243"/>
      <c r="G386" s="394"/>
      <c r="H386" s="242"/>
      <c r="I386" s="406"/>
      <c r="J386" s="249">
        <f>'BOLETIM DE MEDIÇÃO 11'!S42-'MEMORIAL DE CALCULO 08'!K386</f>
        <v>77.640950000000004</v>
      </c>
      <c r="K386" s="250">
        <f>K387</f>
        <v>53.183999999999997</v>
      </c>
      <c r="L386" s="251">
        <f>J386+K386</f>
        <v>130.82495</v>
      </c>
      <c r="M386" s="251">
        <f>'BOLETIM DE MEDIÇÃO 11'!G42</f>
        <v>130.82</v>
      </c>
      <c r="N386" s="252">
        <f>M386-L386</f>
        <v>-4.9500000000080036E-3</v>
      </c>
    </row>
    <row r="387" spans="2:15" ht="18" customHeight="1" x14ac:dyDescent="0.25">
      <c r="B387" s="247"/>
      <c r="C387" s="404"/>
      <c r="D387" s="405" t="s">
        <v>1005</v>
      </c>
      <c r="E387" s="242"/>
      <c r="F387" s="243">
        <v>1</v>
      </c>
      <c r="G387" s="494">
        <f>0.6*88.64</f>
        <v>53.183999999999997</v>
      </c>
      <c r="H387" s="544"/>
      <c r="I387" s="538"/>
      <c r="J387" s="249"/>
      <c r="K387" s="251">
        <f>G387</f>
        <v>53.183999999999997</v>
      </c>
      <c r="L387" s="251"/>
      <c r="M387" s="251"/>
      <c r="N387" s="252"/>
    </row>
    <row r="388" spans="2:15" ht="30.6" hidden="1" customHeight="1" x14ac:dyDescent="0.25">
      <c r="B388" s="363" t="s">
        <v>101</v>
      </c>
      <c r="C388" s="364">
        <v>92759</v>
      </c>
      <c r="D388" s="401" t="s">
        <v>103</v>
      </c>
      <c r="E388" s="366" t="s">
        <v>62</v>
      </c>
      <c r="F388" s="367"/>
      <c r="G388" s="397"/>
      <c r="H388" s="366"/>
      <c r="I388" s="372"/>
      <c r="J388" s="368">
        <f>'BOLETIM DE MEDIÇÃO 05'!O43-'MEMORIAL DE CALCULO 08'!K388</f>
        <v>468.20000000000005</v>
      </c>
      <c r="K388" s="369">
        <f>K389</f>
        <v>214.5</v>
      </c>
      <c r="L388" s="369">
        <f t="shared" si="0"/>
        <v>682.7</v>
      </c>
      <c r="M388" s="369">
        <f>'BOLETIM DE MEDIÇÃO 05'!G43</f>
        <v>1027.8</v>
      </c>
      <c r="N388" s="370">
        <f t="shared" si="1"/>
        <v>345.09999999999991</v>
      </c>
      <c r="O388" s="371"/>
    </row>
    <row r="389" spans="2:15" ht="19.899999999999999" hidden="1" customHeight="1" x14ac:dyDescent="0.25">
      <c r="B389" s="363"/>
      <c r="C389" s="364"/>
      <c r="D389" s="365" t="s">
        <v>968</v>
      </c>
      <c r="E389" s="366"/>
      <c r="F389" s="367">
        <v>1</v>
      </c>
      <c r="G389" s="524">
        <f>0.6*357.5</f>
        <v>214.5</v>
      </c>
      <c r="H389" s="525"/>
      <c r="I389" s="526"/>
      <c r="J389" s="368"/>
      <c r="K389" s="369">
        <f>F389*G389</f>
        <v>214.5</v>
      </c>
      <c r="L389" s="369"/>
      <c r="M389" s="369"/>
      <c r="N389" s="370"/>
      <c r="O389" s="371"/>
    </row>
    <row r="390" spans="2:15" ht="33.6" hidden="1" customHeight="1" x14ac:dyDescent="0.25">
      <c r="B390" s="363" t="s">
        <v>104</v>
      </c>
      <c r="C390" s="364">
        <v>92760</v>
      </c>
      <c r="D390" s="401" t="s">
        <v>106</v>
      </c>
      <c r="E390" s="366" t="s">
        <v>62</v>
      </c>
      <c r="F390" s="367"/>
      <c r="G390" s="397"/>
      <c r="H390" s="366"/>
      <c r="I390" s="372"/>
      <c r="J390" s="368">
        <f>'BOLETIM DE MEDIÇÃO 05'!O44-'MEMORIAL DE CALCULO 08'!K390</f>
        <v>7.82</v>
      </c>
      <c r="K390" s="369">
        <f>K391</f>
        <v>15.64</v>
      </c>
      <c r="L390" s="369">
        <f t="shared" ref="L390" si="19">J390+K390</f>
        <v>23.46</v>
      </c>
      <c r="M390" s="369">
        <f>'BOLETIM DE MEDIÇÃO 05'!G44</f>
        <v>39.1</v>
      </c>
      <c r="N390" s="370">
        <f t="shared" ref="N390" si="20">M390-L390</f>
        <v>15.64</v>
      </c>
      <c r="O390" s="371"/>
    </row>
    <row r="391" spans="2:15" ht="22.9" hidden="1" customHeight="1" x14ac:dyDescent="0.25">
      <c r="B391" s="363"/>
      <c r="C391" s="364"/>
      <c r="D391" s="365" t="s">
        <v>964</v>
      </c>
      <c r="E391" s="366"/>
      <c r="F391" s="367">
        <v>1</v>
      </c>
      <c r="G391" s="548">
        <f>0.4*39.1</f>
        <v>15.64</v>
      </c>
      <c r="H391" s="549"/>
      <c r="I391" s="550"/>
      <c r="J391" s="368"/>
      <c r="K391" s="369">
        <f>F391*G391</f>
        <v>15.64</v>
      </c>
      <c r="L391" s="369"/>
      <c r="M391" s="369"/>
      <c r="N391" s="370"/>
      <c r="O391" s="371"/>
    </row>
    <row r="392" spans="2:15" ht="30.6" hidden="1" customHeight="1" x14ac:dyDescent="0.25">
      <c r="B392" s="363" t="s">
        <v>107</v>
      </c>
      <c r="C392" s="364">
        <v>92761</v>
      </c>
      <c r="D392" s="401" t="s">
        <v>109</v>
      </c>
      <c r="E392" s="366" t="s">
        <v>62</v>
      </c>
      <c r="F392" s="367"/>
      <c r="G392" s="397"/>
      <c r="H392" s="366"/>
      <c r="I392" s="372"/>
      <c r="J392" s="368">
        <f>'BOLETIM DE MEDIÇÃO 05'!O45-'MEMORIAL DE CALCULO 08'!K392</f>
        <v>0</v>
      </c>
      <c r="K392" s="369">
        <f>K393</f>
        <v>415.67999999999995</v>
      </c>
      <c r="L392" s="369">
        <f t="shared" si="0"/>
        <v>415.67999999999995</v>
      </c>
      <c r="M392" s="369">
        <f>'BOLETIM DE MEDIÇÃO 05'!G45</f>
        <v>1000</v>
      </c>
      <c r="N392" s="370">
        <f t="shared" si="1"/>
        <v>584.32000000000005</v>
      </c>
      <c r="O392" s="371"/>
    </row>
    <row r="393" spans="2:15" s="371" customFormat="1" ht="22.9" hidden="1" customHeight="1" x14ac:dyDescent="0.25">
      <c r="B393" s="363"/>
      <c r="C393" s="364"/>
      <c r="D393" s="365" t="s">
        <v>953</v>
      </c>
      <c r="E393" s="366"/>
      <c r="F393" s="367">
        <v>1</v>
      </c>
      <c r="G393" s="524">
        <f>0.6* 692.8</f>
        <v>415.67999999999995</v>
      </c>
      <c r="H393" s="525"/>
      <c r="I393" s="526"/>
      <c r="J393" s="368"/>
      <c r="K393" s="369">
        <f>F393*G393</f>
        <v>415.67999999999995</v>
      </c>
      <c r="L393" s="369"/>
      <c r="M393" s="369"/>
      <c r="N393" s="370"/>
    </row>
    <row r="394" spans="2:15" ht="30.6" hidden="1" customHeight="1" x14ac:dyDescent="0.25">
      <c r="B394" s="363" t="s">
        <v>110</v>
      </c>
      <c r="C394" s="364">
        <v>92762</v>
      </c>
      <c r="D394" s="401" t="s">
        <v>112</v>
      </c>
      <c r="E394" s="366" t="s">
        <v>62</v>
      </c>
      <c r="F394" s="367"/>
      <c r="G394" s="397"/>
      <c r="H394" s="366"/>
      <c r="I394" s="372"/>
      <c r="J394" s="368">
        <f>'BOLETIM DE MEDIÇÃO 05'!O46-'MEMORIAL DE CALCULO 08'!K394</f>
        <v>1180.4000000000001</v>
      </c>
      <c r="K394" s="369">
        <f>K395</f>
        <v>57</v>
      </c>
      <c r="L394" s="369">
        <f t="shared" si="0"/>
        <v>1237.4000000000001</v>
      </c>
      <c r="M394" s="369">
        <f>'BOLETIM DE MEDIÇÃO 05'!G46</f>
        <v>1306.0999999999999</v>
      </c>
      <c r="N394" s="370">
        <f t="shared" si="1"/>
        <v>68.699999999999818</v>
      </c>
      <c r="O394" s="371"/>
    </row>
    <row r="395" spans="2:15" s="371" customFormat="1" ht="19.899999999999999" hidden="1" customHeight="1" x14ac:dyDescent="0.25">
      <c r="B395" s="363"/>
      <c r="C395" s="364"/>
      <c r="D395" s="365" t="s">
        <v>953</v>
      </c>
      <c r="E395" s="366"/>
      <c r="F395" s="372">
        <v>1</v>
      </c>
      <c r="G395" s="524">
        <f>0.6* 95</f>
        <v>57</v>
      </c>
      <c r="H395" s="525"/>
      <c r="I395" s="526"/>
      <c r="J395" s="368"/>
      <c r="K395" s="369">
        <f>F395*G395</f>
        <v>57</v>
      </c>
      <c r="L395" s="369"/>
      <c r="M395" s="369"/>
      <c r="N395" s="370"/>
    </row>
    <row r="396" spans="2:15" ht="33.75" hidden="1" x14ac:dyDescent="0.25">
      <c r="B396" s="363" t="s">
        <v>116</v>
      </c>
      <c r="C396" s="364">
        <v>92768</v>
      </c>
      <c r="D396" s="401" t="s">
        <v>118</v>
      </c>
      <c r="E396" s="366" t="s">
        <v>62</v>
      </c>
      <c r="F396" s="372"/>
      <c r="G396" s="368"/>
      <c r="H396" s="366"/>
      <c r="I396" s="372"/>
      <c r="J396" s="368">
        <f>'BOLETIM DE MEDIÇÃO 11'!S48-'MEMORIAL DE CALCULO 08'!K396</f>
        <v>177.17999999999998</v>
      </c>
      <c r="K396" s="399">
        <f>K397</f>
        <v>28.2</v>
      </c>
      <c r="L396" s="369">
        <f t="shared" si="0"/>
        <v>205.37999999999997</v>
      </c>
      <c r="M396" s="369">
        <f>'BOLETIM DE MEDIÇÃO 05'!G48</f>
        <v>158.69999999999999</v>
      </c>
      <c r="N396" s="370">
        <f t="shared" si="1"/>
        <v>-46.679999999999978</v>
      </c>
      <c r="O396" s="371"/>
    </row>
    <row r="397" spans="2:15" hidden="1" x14ac:dyDescent="0.25">
      <c r="B397" s="363"/>
      <c r="C397" s="364"/>
      <c r="D397" s="400" t="s">
        <v>969</v>
      </c>
      <c r="E397" s="366"/>
      <c r="F397" s="372">
        <v>1</v>
      </c>
      <c r="G397" s="524">
        <v>28.2</v>
      </c>
      <c r="H397" s="525"/>
      <c r="I397" s="526"/>
      <c r="J397" s="368"/>
      <c r="K397" s="369">
        <f>F397*G397</f>
        <v>28.2</v>
      </c>
      <c r="L397" s="369"/>
      <c r="M397" s="369"/>
      <c r="N397" s="370"/>
      <c r="O397" s="371"/>
    </row>
    <row r="398" spans="2:15" ht="33.75" hidden="1" x14ac:dyDescent="0.25">
      <c r="B398" s="363" t="s">
        <v>119</v>
      </c>
      <c r="C398" s="364">
        <v>92769</v>
      </c>
      <c r="D398" s="401" t="s">
        <v>121</v>
      </c>
      <c r="E398" s="366" t="s">
        <v>62</v>
      </c>
      <c r="F398" s="372"/>
      <c r="G398" s="368"/>
      <c r="H398" s="366"/>
      <c r="I398" s="372"/>
      <c r="J398" s="368">
        <f>'BOLETIM DE MEDIÇÃO 11'!S49-'MEMORIAL DE CALCULO 08'!K398</f>
        <v>165.8322</v>
      </c>
      <c r="K398" s="399">
        <f>K399</f>
        <v>12.9</v>
      </c>
      <c r="L398" s="369">
        <f t="shared" si="0"/>
        <v>178.73220000000001</v>
      </c>
      <c r="M398" s="369">
        <f>'BOLETIM DE MEDIÇÃO 05'!G49</f>
        <v>170.5</v>
      </c>
      <c r="N398" s="370">
        <f t="shared" si="1"/>
        <v>-8.232200000000006</v>
      </c>
      <c r="O398" s="371"/>
    </row>
    <row r="399" spans="2:15" hidden="1" x14ac:dyDescent="0.25">
      <c r="B399" s="363"/>
      <c r="C399" s="364"/>
      <c r="D399" s="400" t="s">
        <v>969</v>
      </c>
      <c r="E399" s="366"/>
      <c r="F399" s="372">
        <v>1</v>
      </c>
      <c r="G399" s="524">
        <v>12.9</v>
      </c>
      <c r="H399" s="525"/>
      <c r="I399" s="526"/>
      <c r="J399" s="368"/>
      <c r="K399" s="369">
        <f>F399*G399</f>
        <v>12.9</v>
      </c>
      <c r="L399" s="369"/>
      <c r="M399" s="369"/>
      <c r="N399" s="370"/>
      <c r="O399" s="371"/>
    </row>
    <row r="400" spans="2:15" ht="33.75" hidden="1" x14ac:dyDescent="0.25">
      <c r="B400" s="363" t="s">
        <v>122</v>
      </c>
      <c r="C400" s="364">
        <v>92770</v>
      </c>
      <c r="D400" s="401" t="s">
        <v>124</v>
      </c>
      <c r="E400" s="366" t="s">
        <v>62</v>
      </c>
      <c r="F400" s="372"/>
      <c r="G400" s="368"/>
      <c r="H400" s="366"/>
      <c r="I400" s="372"/>
      <c r="J400" s="368">
        <f>'BOLETIM DE MEDIÇÃO 11'!S50-'MEMORIAL DE CALCULO 08'!K400</f>
        <v>259.0009</v>
      </c>
      <c r="K400" s="399">
        <f>K401</f>
        <v>20.100000000000001</v>
      </c>
      <c r="L400" s="369">
        <f t="shared" si="0"/>
        <v>279.10090000000002</v>
      </c>
      <c r="M400" s="369">
        <f>'BOLETIM DE MEDIÇÃO 05'!G50</f>
        <v>279.10000000000002</v>
      </c>
      <c r="N400" s="370">
        <f t="shared" si="1"/>
        <v>-9.0000000000145519E-4</v>
      </c>
      <c r="O400" s="371"/>
    </row>
    <row r="401" spans="2:15" ht="18" hidden="1" customHeight="1" x14ac:dyDescent="0.25">
      <c r="B401" s="363"/>
      <c r="C401" s="364"/>
      <c r="D401" s="400" t="s">
        <v>969</v>
      </c>
      <c r="E401" s="366"/>
      <c r="F401" s="372">
        <v>1</v>
      </c>
      <c r="G401" s="524">
        <v>20.100000000000001</v>
      </c>
      <c r="H401" s="525"/>
      <c r="I401" s="526"/>
      <c r="J401" s="368"/>
      <c r="K401" s="369">
        <f>F401*G401</f>
        <v>20.100000000000001</v>
      </c>
      <c r="L401" s="369"/>
      <c r="M401" s="369"/>
      <c r="N401" s="370"/>
      <c r="O401" s="371"/>
    </row>
    <row r="402" spans="2:15" ht="33.75" x14ac:dyDescent="0.25">
      <c r="B402" s="247" t="s">
        <v>125</v>
      </c>
      <c r="C402" s="248">
        <v>94966</v>
      </c>
      <c r="D402" s="407" t="s">
        <v>65</v>
      </c>
      <c r="E402" s="242" t="s">
        <v>41</v>
      </c>
      <c r="F402" s="246"/>
      <c r="G402" s="249"/>
      <c r="H402" s="242"/>
      <c r="I402" s="246"/>
      <c r="J402" s="249">
        <f>'BOLETIM DE MEDIÇÃO 11'!S51-'MEMORIAL DE CALCULO 08'!K402</f>
        <v>73.77845499999998</v>
      </c>
      <c r="K402" s="250">
        <f>SUM(K403:K404)</f>
        <v>7.87</v>
      </c>
      <c r="L402" s="251">
        <f t="shared" si="0"/>
        <v>81.648454999999984</v>
      </c>
      <c r="M402" s="251">
        <f>'BOLETIM DE MEDIÇÃO 05'!G51</f>
        <v>61.56</v>
      </c>
      <c r="N402" s="252">
        <f t="shared" si="1"/>
        <v>-20.088454999999982</v>
      </c>
    </row>
    <row r="403" spans="2:15" ht="19.149999999999999" customHeight="1" x14ac:dyDescent="0.25">
      <c r="B403" s="247"/>
      <c r="C403" s="248"/>
      <c r="D403" s="405" t="s">
        <v>968</v>
      </c>
      <c r="E403" s="242"/>
      <c r="F403" s="246">
        <v>1</v>
      </c>
      <c r="G403" s="514">
        <f>0.1*21.7</f>
        <v>2.17</v>
      </c>
      <c r="H403" s="514"/>
      <c r="I403" s="515"/>
      <c r="J403" s="249"/>
      <c r="K403" s="251">
        <f>G403</f>
        <v>2.17</v>
      </c>
      <c r="L403" s="251"/>
      <c r="M403" s="251"/>
      <c r="N403" s="252"/>
    </row>
    <row r="404" spans="2:15" ht="19.149999999999999" customHeight="1" x14ac:dyDescent="0.25">
      <c r="B404" s="247"/>
      <c r="C404" s="248"/>
      <c r="D404" s="405" t="s">
        <v>1005</v>
      </c>
      <c r="E404" s="242"/>
      <c r="F404" s="246">
        <v>1</v>
      </c>
      <c r="G404" s="514">
        <f>0.6*9.5</f>
        <v>5.7</v>
      </c>
      <c r="H404" s="514"/>
      <c r="I404" s="515"/>
      <c r="J404" s="249"/>
      <c r="K404" s="251">
        <f t="shared" ref="K404:K405" si="21">F404*G404</f>
        <v>5.7</v>
      </c>
      <c r="L404" s="251"/>
      <c r="M404" s="251"/>
      <c r="N404" s="252"/>
    </row>
    <row r="405" spans="2:15" ht="19.149999999999999" hidden="1" customHeight="1" x14ac:dyDescent="0.25">
      <c r="B405" s="363"/>
      <c r="C405" s="364"/>
      <c r="D405" s="400" t="s">
        <v>971</v>
      </c>
      <c r="E405" s="366"/>
      <c r="F405" s="372">
        <v>1</v>
      </c>
      <c r="G405" s="545">
        <v>2.48</v>
      </c>
      <c r="H405" s="546"/>
      <c r="I405" s="547"/>
      <c r="J405" s="368"/>
      <c r="K405" s="369">
        <f t="shared" si="21"/>
        <v>2.48</v>
      </c>
      <c r="L405" s="369"/>
      <c r="M405" s="369"/>
      <c r="N405" s="370"/>
      <c r="O405" s="371"/>
    </row>
    <row r="406" spans="2:15" ht="22.5" x14ac:dyDescent="0.25">
      <c r="B406" s="247" t="s">
        <v>126</v>
      </c>
      <c r="C406" s="248">
        <v>103670</v>
      </c>
      <c r="D406" s="402" t="s">
        <v>71</v>
      </c>
      <c r="E406" s="242" t="s">
        <v>41</v>
      </c>
      <c r="F406" s="246"/>
      <c r="G406" s="249"/>
      <c r="H406" s="403"/>
      <c r="I406" s="246"/>
      <c r="J406" s="249">
        <f>'BOLETIM DE MEDIÇÃO 05'!O52-'MEMORIAL DE CALCULO 08'!K406</f>
        <v>11.559999999999999</v>
      </c>
      <c r="K406" s="250">
        <f>G407</f>
        <v>7.87</v>
      </c>
      <c r="L406" s="251">
        <f t="shared" si="0"/>
        <v>19.43</v>
      </c>
      <c r="M406" s="251">
        <f>'BOLETIM DE MEDIÇÃO 05'!G52</f>
        <v>61.56</v>
      </c>
      <c r="N406" s="252">
        <f t="shared" si="1"/>
        <v>42.13</v>
      </c>
    </row>
    <row r="407" spans="2:15" x14ac:dyDescent="0.25">
      <c r="B407" s="247"/>
      <c r="C407" s="404"/>
      <c r="D407" s="408" t="s">
        <v>932</v>
      </c>
      <c r="E407" s="242"/>
      <c r="F407" s="243">
        <v>1</v>
      </c>
      <c r="G407" s="494">
        <f>K402</f>
        <v>7.87</v>
      </c>
      <c r="H407" s="537"/>
      <c r="I407" s="538"/>
      <c r="J407" s="249"/>
      <c r="K407" s="251">
        <f>F407*G407</f>
        <v>7.87</v>
      </c>
      <c r="L407" s="251"/>
      <c r="M407" s="251"/>
      <c r="N407" s="252"/>
    </row>
    <row r="408" spans="2:15" ht="33.75" hidden="1" x14ac:dyDescent="0.25">
      <c r="B408" s="363" t="s">
        <v>127</v>
      </c>
      <c r="C408" s="364">
        <v>92771</v>
      </c>
      <c r="D408" s="396" t="s">
        <v>129</v>
      </c>
      <c r="E408" s="366" t="s">
        <v>62</v>
      </c>
      <c r="F408" s="367"/>
      <c r="G408" s="397"/>
      <c r="H408" s="398"/>
      <c r="I408" s="372"/>
      <c r="J408" s="368">
        <f>'BOLETIM DE MEDIÇÃO 11'!S53-'MEMORIAL DE CALCULO 08'!K408</f>
        <v>406.89999999999992</v>
      </c>
      <c r="K408" s="399"/>
      <c r="L408" s="369">
        <f t="shared" si="0"/>
        <v>406.89999999999992</v>
      </c>
      <c r="M408" s="369">
        <f>'BOLETIM DE MEDIÇÃO 05'!G53</f>
        <v>312.3</v>
      </c>
      <c r="N408" s="370">
        <f t="shared" si="1"/>
        <v>-94.599999999999909</v>
      </c>
      <c r="O408" s="371"/>
    </row>
    <row r="409" spans="2:15" ht="18" hidden="1" customHeight="1" x14ac:dyDescent="0.25">
      <c r="B409" s="363"/>
      <c r="C409" s="364"/>
      <c r="D409" s="400" t="s">
        <v>969</v>
      </c>
      <c r="E409" s="366"/>
      <c r="F409" s="372">
        <v>1</v>
      </c>
      <c r="G409" s="524">
        <v>94.6</v>
      </c>
      <c r="H409" s="525"/>
      <c r="I409" s="526"/>
      <c r="J409" s="368"/>
      <c r="K409" s="369"/>
      <c r="L409" s="369"/>
      <c r="M409" s="369"/>
      <c r="N409" s="370"/>
      <c r="O409" s="371"/>
    </row>
    <row r="410" spans="2:15" ht="33.75" hidden="1" x14ac:dyDescent="0.25">
      <c r="B410" s="363" t="s">
        <v>130</v>
      </c>
      <c r="C410" s="364">
        <v>92772</v>
      </c>
      <c r="D410" s="401" t="s">
        <v>132</v>
      </c>
      <c r="E410" s="366" t="s">
        <v>62</v>
      </c>
      <c r="F410" s="367"/>
      <c r="G410" s="397"/>
      <c r="H410" s="366"/>
      <c r="I410" s="372"/>
      <c r="J410" s="368">
        <f>'BOLETIM DE MEDIÇÃO 11'!S54-'MEMORIAL DE CALCULO 08'!K410</f>
        <v>154.80000000000001</v>
      </c>
      <c r="K410" s="369"/>
      <c r="L410" s="369">
        <f t="shared" si="0"/>
        <v>154.80000000000001</v>
      </c>
      <c r="M410" s="369">
        <f>'BOLETIM DE MEDIÇÃO 05'!G54</f>
        <v>154.80000000000001</v>
      </c>
      <c r="N410" s="370">
        <f t="shared" si="1"/>
        <v>0</v>
      </c>
      <c r="O410" s="371"/>
    </row>
    <row r="411" spans="2:15" ht="18" hidden="1" customHeight="1" x14ac:dyDescent="0.25">
      <c r="B411" s="363"/>
      <c r="C411" s="364"/>
      <c r="D411" s="365" t="s">
        <v>958</v>
      </c>
      <c r="E411" s="366"/>
      <c r="F411" s="372">
        <v>1</v>
      </c>
      <c r="G411" s="524">
        <v>154.80000000000001</v>
      </c>
      <c r="H411" s="525"/>
      <c r="I411" s="526"/>
      <c r="J411" s="368"/>
      <c r="K411" s="369"/>
      <c r="L411" s="369"/>
      <c r="M411" s="369"/>
      <c r="N411" s="370"/>
      <c r="O411" s="371"/>
    </row>
    <row r="412" spans="2:15" ht="18" hidden="1" customHeight="1" x14ac:dyDescent="0.25">
      <c r="B412" s="363"/>
      <c r="C412" s="364"/>
      <c r="D412" s="365"/>
      <c r="E412" s="366"/>
      <c r="F412" s="372"/>
      <c r="G412" s="388"/>
      <c r="H412" s="388"/>
      <c r="I412" s="389"/>
      <c r="J412" s="368"/>
      <c r="K412" s="369"/>
      <c r="L412" s="369"/>
      <c r="M412" s="369"/>
      <c r="N412" s="370"/>
      <c r="O412" s="371"/>
    </row>
    <row r="413" spans="2:15" ht="18" customHeight="1" x14ac:dyDescent="0.25">
      <c r="B413" s="212">
        <v>1.5</v>
      </c>
      <c r="C413" s="213" t="s">
        <v>134</v>
      </c>
      <c r="D413" s="205"/>
      <c r="E413" s="206"/>
      <c r="F413" s="123"/>
      <c r="G413" s="374"/>
      <c r="H413" s="374"/>
      <c r="I413" s="318"/>
      <c r="J413" s="99"/>
      <c r="K413" s="82"/>
      <c r="L413" s="82"/>
      <c r="M413" s="82"/>
      <c r="N413" s="86"/>
    </row>
    <row r="414" spans="2:15" ht="46.15" customHeight="1" x14ac:dyDescent="0.25">
      <c r="B414" s="384" t="s">
        <v>135</v>
      </c>
      <c r="C414" s="385">
        <v>103356</v>
      </c>
      <c r="D414" s="386" t="s">
        <v>137</v>
      </c>
      <c r="E414" s="387" t="s">
        <v>17</v>
      </c>
      <c r="F414" s="395"/>
      <c r="G414" s="374"/>
      <c r="H414" s="374"/>
      <c r="I414" s="318"/>
      <c r="J414" s="99">
        <f>'BOLETIM DE MEDIÇÃO 11'!S56-'MEMORIAL DE CALCULO 08'!K414</f>
        <v>1003.7804999999997</v>
      </c>
      <c r="K414" s="81">
        <f>K415</f>
        <v>238.84</v>
      </c>
      <c r="L414" s="82"/>
      <c r="M414" s="82"/>
      <c r="N414" s="86"/>
    </row>
    <row r="415" spans="2:15" ht="22.9" customHeight="1" x14ac:dyDescent="0.25">
      <c r="B415" s="49"/>
      <c r="C415" s="57"/>
      <c r="D415" s="143" t="s">
        <v>1002</v>
      </c>
      <c r="E415" s="64"/>
      <c r="F415" s="105">
        <v>1</v>
      </c>
      <c r="G415" s="471">
        <v>238.84</v>
      </c>
      <c r="H415" s="473"/>
      <c r="I415" s="474"/>
      <c r="J415" s="99"/>
      <c r="K415" s="82">
        <f>G415</f>
        <v>238.84</v>
      </c>
      <c r="L415" s="82"/>
      <c r="M415" s="82"/>
      <c r="N415" s="86"/>
    </row>
    <row r="416" spans="2:15" ht="14.45" hidden="1" customHeight="1" x14ac:dyDescent="0.25">
      <c r="B416" s="56">
        <v>1.6</v>
      </c>
      <c r="C416" s="60" t="s">
        <v>148</v>
      </c>
      <c r="D416" s="52"/>
      <c r="E416" s="64"/>
      <c r="F416" s="105"/>
      <c r="G416" s="99"/>
      <c r="H416" s="64"/>
      <c r="I416" s="105"/>
      <c r="J416" s="99">
        <f>'BOLETIM DE MEDIÇÃO 11'!S74-'MEMORIAL DE CALCULO 08'!K416</f>
        <v>0</v>
      </c>
      <c r="K416" s="82"/>
      <c r="L416" s="82"/>
      <c r="M416" s="82"/>
      <c r="N416" s="86"/>
    </row>
    <row r="417" spans="2:14" ht="56.25" hidden="1" x14ac:dyDescent="0.25">
      <c r="B417" s="49" t="s">
        <v>152</v>
      </c>
      <c r="C417" s="57">
        <v>87548</v>
      </c>
      <c r="D417" s="52" t="s">
        <v>154</v>
      </c>
      <c r="E417" s="64" t="s">
        <v>17</v>
      </c>
      <c r="F417" s="105"/>
      <c r="G417" s="99"/>
      <c r="H417" s="64"/>
      <c r="I417" s="105"/>
      <c r="J417" s="99">
        <f>'BOLETIM DE MEDIÇÃO 11'!S75-'MEMORIAL DE CALCULO 08'!K417</f>
        <v>-697.98</v>
      </c>
      <c r="K417" s="81">
        <f>K418</f>
        <v>697.98</v>
      </c>
      <c r="L417" s="82">
        <f t="shared" si="0"/>
        <v>0</v>
      </c>
      <c r="M417" s="82">
        <f>'BOLETIM DE MEDIÇÃO 05'!G62</f>
        <v>997.11</v>
      </c>
      <c r="N417" s="86">
        <f t="shared" si="1"/>
        <v>997.11</v>
      </c>
    </row>
    <row r="418" spans="2:14" hidden="1" x14ac:dyDescent="0.25">
      <c r="B418" s="49"/>
      <c r="C418" s="57"/>
      <c r="D418" s="344" t="s">
        <v>972</v>
      </c>
      <c r="E418" s="64"/>
      <c r="F418" s="105">
        <v>1</v>
      </c>
      <c r="G418" s="471">
        <v>697.98</v>
      </c>
      <c r="H418" s="473"/>
      <c r="I418" s="474"/>
      <c r="J418" s="99">
        <f>'BOLETIM DE MEDIÇÃO 11'!S76-'MEMORIAL DE CALCULO 08'!K418</f>
        <v>-697.98</v>
      </c>
      <c r="K418" s="82">
        <f>F418*G418</f>
        <v>697.98</v>
      </c>
      <c r="L418" s="82"/>
      <c r="M418" s="82"/>
      <c r="N418" s="86"/>
    </row>
    <row r="419" spans="2:14" hidden="1" x14ac:dyDescent="0.25">
      <c r="B419" s="49"/>
      <c r="C419" s="57"/>
      <c r="D419" s="344"/>
      <c r="E419" s="64"/>
      <c r="F419" s="105"/>
      <c r="G419" s="374"/>
      <c r="H419" s="374"/>
      <c r="I419" s="318"/>
      <c r="J419" s="99">
        <f>'BOLETIM DE MEDIÇÃO 11'!S77-'MEMORIAL DE CALCULO 08'!K419</f>
        <v>0</v>
      </c>
      <c r="K419" s="82"/>
      <c r="L419" s="82"/>
      <c r="M419" s="82"/>
      <c r="N419" s="86"/>
    </row>
    <row r="420" spans="2:14" ht="56.25" hidden="1" x14ac:dyDescent="0.25">
      <c r="B420" s="49" t="s">
        <v>155</v>
      </c>
      <c r="C420" s="57">
        <v>87536</v>
      </c>
      <c r="D420" s="52" t="s">
        <v>157</v>
      </c>
      <c r="E420" s="64" t="s">
        <v>17</v>
      </c>
      <c r="F420" s="105"/>
      <c r="G420" s="374"/>
      <c r="H420" s="374"/>
      <c r="I420" s="318"/>
      <c r="J420" s="99">
        <f>'BOLETIM DE MEDIÇÃO 11'!S78-'MEMORIAL DE CALCULO 08'!K420</f>
        <v>-351.87</v>
      </c>
      <c r="K420" s="81">
        <f>K421</f>
        <v>351.87</v>
      </c>
      <c r="L420" s="82">
        <f>J420+K420</f>
        <v>0</v>
      </c>
      <c r="M420" s="82">
        <f>'BOLETIM DE MEDIÇÃO 11'!G63</f>
        <v>351.87</v>
      </c>
      <c r="N420" s="86">
        <f>M420-L420</f>
        <v>351.87</v>
      </c>
    </row>
    <row r="421" spans="2:14" hidden="1" x14ac:dyDescent="0.25">
      <c r="B421" s="49"/>
      <c r="C421" s="57"/>
      <c r="D421" s="344" t="s">
        <v>972</v>
      </c>
      <c r="E421" s="64"/>
      <c r="F421" s="105">
        <v>1</v>
      </c>
      <c r="G421" s="471">
        <v>351.87</v>
      </c>
      <c r="H421" s="473"/>
      <c r="I421" s="474"/>
      <c r="J421" s="99">
        <f>'BOLETIM DE MEDIÇÃO 11'!S79-'MEMORIAL DE CALCULO 08'!K421</f>
        <v>-351.87</v>
      </c>
      <c r="K421" s="82">
        <f>F421*G421</f>
        <v>351.87</v>
      </c>
      <c r="L421" s="82"/>
      <c r="M421" s="82"/>
      <c r="N421" s="86"/>
    </row>
    <row r="422" spans="2:14" hidden="1" x14ac:dyDescent="0.25">
      <c r="B422" s="49"/>
      <c r="C422" s="57"/>
      <c r="D422" s="344"/>
      <c r="E422" s="64"/>
      <c r="F422" s="105"/>
      <c r="G422" s="374"/>
      <c r="H422" s="374"/>
      <c r="I422" s="318"/>
      <c r="J422" s="99">
        <f>'BOLETIM DE MEDIÇÃO 11'!S80-'MEMORIAL DE CALCULO 08'!K422</f>
        <v>0</v>
      </c>
      <c r="K422" s="82"/>
      <c r="L422" s="82"/>
      <c r="M422" s="82"/>
      <c r="N422" s="86"/>
    </row>
    <row r="423" spans="2:14" x14ac:dyDescent="0.25">
      <c r="B423" s="347" t="s">
        <v>208</v>
      </c>
      <c r="C423" s="348" t="s">
        <v>209</v>
      </c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45" x14ac:dyDescent="0.25">
      <c r="B424" s="203" t="s">
        <v>210</v>
      </c>
      <c r="C424" s="211">
        <v>87894</v>
      </c>
      <c r="D424" s="205" t="s">
        <v>212</v>
      </c>
      <c r="E424" s="64"/>
      <c r="F424" s="105"/>
      <c r="G424" s="374"/>
      <c r="H424" s="374"/>
      <c r="I424" s="318"/>
      <c r="J424" s="99">
        <f>'BOLETIM DE MEDIÇÃO 11'!S82-'MEMORIAL DE CALCULO 08'!K424</f>
        <v>366.37099999999998</v>
      </c>
      <c r="K424" s="81">
        <f>K425</f>
        <v>100</v>
      </c>
      <c r="L424" s="82">
        <f>J424+K424</f>
        <v>466.37099999999998</v>
      </c>
      <c r="M424" s="82">
        <f>'BOLETIM DE MEDIÇÃO 11'!G83</f>
        <v>466.37</v>
      </c>
      <c r="N424" s="86">
        <f>M424-L424</f>
        <v>-9.9999999997635314E-4</v>
      </c>
    </row>
    <row r="425" spans="2:14" x14ac:dyDescent="0.25">
      <c r="B425" s="49"/>
      <c r="C425" s="57"/>
      <c r="D425" s="118" t="s">
        <v>995</v>
      </c>
      <c r="E425" s="64"/>
      <c r="F425" s="105">
        <v>1</v>
      </c>
      <c r="G425" s="471">
        <v>100</v>
      </c>
      <c r="H425" s="473"/>
      <c r="I425" s="474"/>
      <c r="J425" s="99"/>
      <c r="K425" s="82">
        <f>F425*G425</f>
        <v>100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/>
      <c r="K426" s="82"/>
      <c r="L426" s="82"/>
      <c r="M426" s="82"/>
      <c r="N426" s="86"/>
    </row>
    <row r="427" spans="2:14" ht="56.25" x14ac:dyDescent="0.25">
      <c r="B427" s="247" t="s">
        <v>213</v>
      </c>
      <c r="C427" s="385">
        <v>104233</v>
      </c>
      <c r="D427" s="386" t="s">
        <v>215</v>
      </c>
      <c r="E427" s="277" t="s">
        <v>17</v>
      </c>
      <c r="F427" s="105"/>
      <c r="G427" s="374"/>
      <c r="H427" s="374"/>
      <c r="I427" s="318"/>
      <c r="J427" s="99">
        <f>'BOLETIM DE MEDIÇÃO 11'!S83-'MEMORIAL DE CALCULO 08'!K427</f>
        <v>187.97050000000002</v>
      </c>
      <c r="K427" s="81">
        <f>SUM(K428:K432)</f>
        <v>278.39999999999998</v>
      </c>
      <c r="L427" s="82"/>
      <c r="M427" s="82"/>
      <c r="N427" s="86"/>
    </row>
    <row r="428" spans="2:14" x14ac:dyDescent="0.25">
      <c r="B428" s="49"/>
      <c r="C428" s="57"/>
      <c r="D428" s="319" t="s">
        <v>1000</v>
      </c>
      <c r="E428" s="64"/>
      <c r="F428" s="105">
        <v>1</v>
      </c>
      <c r="G428" s="373">
        <f>0.6*116</f>
        <v>69.599999999999994</v>
      </c>
      <c r="H428" s="390"/>
      <c r="I428" s="105">
        <v>4</v>
      </c>
      <c r="J428" s="99"/>
      <c r="K428" s="82">
        <f>F428*G428*I428</f>
        <v>278.39999999999998</v>
      </c>
      <c r="L428" s="82"/>
      <c r="M428" s="82"/>
      <c r="N428" s="86"/>
    </row>
    <row r="429" spans="2:14" hidden="1" x14ac:dyDescent="0.25">
      <c r="B429" s="49"/>
      <c r="C429" s="57"/>
      <c r="D429" s="319" t="s">
        <v>996</v>
      </c>
      <c r="E429" s="64"/>
      <c r="F429" s="105"/>
      <c r="G429" s="374">
        <v>2.6</v>
      </c>
      <c r="H429" s="374"/>
      <c r="I429" s="105">
        <v>2.1</v>
      </c>
      <c r="J429" s="99"/>
      <c r="K429" s="82">
        <f t="shared" ref="K429:K432" si="22">F429*G429*I429</f>
        <v>0</v>
      </c>
      <c r="L429" s="82"/>
      <c r="M429" s="82"/>
      <c r="N429" s="86"/>
    </row>
    <row r="430" spans="2:14" hidden="1" x14ac:dyDescent="0.25">
      <c r="B430" s="49"/>
      <c r="C430" s="57"/>
      <c r="D430" s="319" t="s">
        <v>997</v>
      </c>
      <c r="E430" s="64"/>
      <c r="F430" s="105"/>
      <c r="G430" s="374">
        <v>0.8</v>
      </c>
      <c r="H430" s="374"/>
      <c r="I430" s="105">
        <v>2.1</v>
      </c>
      <c r="J430" s="99"/>
      <c r="K430" s="82">
        <f t="shared" si="22"/>
        <v>0</v>
      </c>
      <c r="L430" s="82"/>
      <c r="M430" s="82"/>
      <c r="N430" s="86"/>
    </row>
    <row r="431" spans="2:14" hidden="1" x14ac:dyDescent="0.25">
      <c r="B431" s="49"/>
      <c r="C431" s="57"/>
      <c r="D431" s="319" t="s">
        <v>998</v>
      </c>
      <c r="E431" s="64"/>
      <c r="F431" s="105"/>
      <c r="G431" s="374">
        <v>1.5</v>
      </c>
      <c r="H431" s="374"/>
      <c r="I431" s="105">
        <v>1</v>
      </c>
      <c r="J431" s="99"/>
      <c r="K431" s="82">
        <f t="shared" si="22"/>
        <v>0</v>
      </c>
      <c r="L431" s="82"/>
      <c r="M431" s="82"/>
      <c r="N431" s="86"/>
    </row>
    <row r="432" spans="2:14" hidden="1" x14ac:dyDescent="0.25">
      <c r="B432" s="49"/>
      <c r="C432" s="57"/>
      <c r="D432" s="319" t="s">
        <v>999</v>
      </c>
      <c r="E432" s="64"/>
      <c r="F432" s="105"/>
      <c r="G432" s="374">
        <v>1</v>
      </c>
      <c r="H432" s="374"/>
      <c r="I432" s="105">
        <v>0.5</v>
      </c>
      <c r="J432" s="99"/>
      <c r="K432" s="82">
        <f t="shared" si="22"/>
        <v>0</v>
      </c>
      <c r="L432" s="82"/>
      <c r="M432" s="82"/>
      <c r="N432" s="86"/>
    </row>
    <row r="433" spans="2:14" ht="14.45" customHeight="1" x14ac:dyDescent="0.25">
      <c r="B433" s="65">
        <v>1.1000000000000001</v>
      </c>
      <c r="C433" s="65" t="s">
        <v>229</v>
      </c>
      <c r="D433" s="344"/>
      <c r="E433" s="44"/>
      <c r="F433" s="130"/>
      <c r="G433" s="121"/>
      <c r="H433" s="70"/>
      <c r="I433" s="105"/>
      <c r="J433" s="99"/>
      <c r="K433" s="82">
        <f t="shared" ref="K433" si="23">(F433*G433*I433)</f>
        <v>0</v>
      </c>
      <c r="L433" s="82"/>
      <c r="M433" s="82"/>
      <c r="N433" s="86"/>
    </row>
    <row r="434" spans="2:14" ht="33.75" x14ac:dyDescent="0.25">
      <c r="B434" s="384" t="s">
        <v>284</v>
      </c>
      <c r="C434" s="385">
        <v>91834</v>
      </c>
      <c r="D434" s="391" t="s">
        <v>286</v>
      </c>
      <c r="E434" s="245" t="s">
        <v>37</v>
      </c>
      <c r="F434" s="312">
        <v>1</v>
      </c>
      <c r="G434" s="462">
        <v>200</v>
      </c>
      <c r="H434" s="463"/>
      <c r="I434" s="464"/>
      <c r="J434" s="99">
        <f>'BOLETIM DE MEDIÇÃO 11'!S108-'MEMORIAL DE CALCULO 08'!K434</f>
        <v>150</v>
      </c>
      <c r="K434" s="81">
        <f>G434</f>
        <v>200</v>
      </c>
      <c r="L434" s="82">
        <f>J434+K434</f>
        <v>350</v>
      </c>
      <c r="M434" s="82">
        <f>'BOLETIM DE MEDIÇÃO 11'!G108</f>
        <v>830.48</v>
      </c>
      <c r="N434" s="86">
        <f>M434-L434</f>
        <v>480.48</v>
      </c>
    </row>
    <row r="435" spans="2:14" x14ac:dyDescent="0.25">
      <c r="B435" s="384"/>
      <c r="C435" s="385"/>
      <c r="D435" s="393" t="s">
        <v>1001</v>
      </c>
      <c r="E435" s="245"/>
      <c r="F435" s="312"/>
      <c r="G435" s="383"/>
      <c r="H435" s="392"/>
      <c r="I435" s="318"/>
      <c r="J435" s="99"/>
      <c r="K435" s="81"/>
      <c r="L435" s="82"/>
      <c r="M435" s="82"/>
      <c r="N435" s="86"/>
    </row>
    <row r="436" spans="2:14" ht="33.75" x14ac:dyDescent="0.25">
      <c r="B436" s="384" t="s">
        <v>287</v>
      </c>
      <c r="C436" s="385">
        <v>91868</v>
      </c>
      <c r="D436" s="386" t="s">
        <v>289</v>
      </c>
      <c r="E436" s="245" t="s">
        <v>37</v>
      </c>
      <c r="F436" s="312">
        <v>1</v>
      </c>
      <c r="G436" s="462">
        <v>55.97</v>
      </c>
      <c r="H436" s="463"/>
      <c r="I436" s="464"/>
      <c r="J436" s="99">
        <f>'BOLETIM DE MEDIÇÃO 11'!S109-'MEMORIAL DE CALCULO 08'!K436</f>
        <v>0</v>
      </c>
      <c r="K436" s="81">
        <f>F436*G436</f>
        <v>55.97</v>
      </c>
      <c r="L436" s="82">
        <f t="shared" ref="L436" si="24">J436+K436</f>
        <v>55.97</v>
      </c>
      <c r="M436" s="82">
        <f>'BOLETIM DE MEDIÇÃO 11'!G109</f>
        <v>55.97</v>
      </c>
      <c r="N436" s="86">
        <f t="shared" ref="N436:N438" si="25">M436-L436</f>
        <v>0</v>
      </c>
    </row>
    <row r="437" spans="2:14" x14ac:dyDescent="0.25">
      <c r="B437" s="384"/>
      <c r="C437" s="385"/>
      <c r="D437" s="393" t="s">
        <v>1001</v>
      </c>
      <c r="E437" s="245"/>
      <c r="F437" s="312"/>
      <c r="G437" s="383"/>
      <c r="H437" s="383"/>
      <c r="I437" s="316"/>
      <c r="J437" s="99"/>
      <c r="K437" s="81"/>
      <c r="L437" s="82"/>
      <c r="M437" s="82"/>
      <c r="N437" s="86"/>
    </row>
    <row r="438" spans="2:14" ht="33.75" x14ac:dyDescent="0.25">
      <c r="B438" s="384" t="s">
        <v>290</v>
      </c>
      <c r="C438" s="385">
        <v>91867</v>
      </c>
      <c r="D438" s="386" t="s">
        <v>292</v>
      </c>
      <c r="E438" s="245" t="s">
        <v>37</v>
      </c>
      <c r="F438" s="312">
        <v>1</v>
      </c>
      <c r="G438" s="462">
        <v>36.19</v>
      </c>
      <c r="H438" s="463"/>
      <c r="I438" s="464"/>
      <c r="J438" s="99">
        <f>'BOLETIM DE MEDIÇÃO 11'!S110-'MEMORIAL DE CALCULO 08'!K438</f>
        <v>0</v>
      </c>
      <c r="K438" s="81">
        <f>G438</f>
        <v>36.19</v>
      </c>
      <c r="L438" s="82">
        <f>J438+K438</f>
        <v>36.19</v>
      </c>
      <c r="M438" s="82">
        <f>'BOLETIM DE MEDIÇÃO 11'!G110</f>
        <v>36.19</v>
      </c>
      <c r="N438" s="86">
        <f t="shared" si="25"/>
        <v>0</v>
      </c>
    </row>
    <row r="439" spans="2:14" x14ac:dyDescent="0.25">
      <c r="B439" s="384"/>
      <c r="C439" s="385"/>
      <c r="D439" s="393" t="s">
        <v>1001</v>
      </c>
      <c r="E439" s="245"/>
      <c r="F439" s="312"/>
      <c r="G439" s="121"/>
      <c r="H439" s="70"/>
      <c r="I439" s="105"/>
      <c r="J439" s="99"/>
      <c r="K439" s="82"/>
      <c r="L439" s="82"/>
      <c r="M439" s="82"/>
      <c r="N439" s="86"/>
    </row>
    <row r="440" spans="2:14" x14ac:dyDescent="0.25">
      <c r="B440" s="347" t="s">
        <v>312</v>
      </c>
      <c r="C440" s="349" t="s">
        <v>313</v>
      </c>
      <c r="D440" s="53"/>
      <c r="E440" s="69"/>
      <c r="F440" s="312"/>
      <c r="G440" s="121"/>
      <c r="H440" s="70"/>
      <c r="I440" s="105"/>
      <c r="J440" s="99"/>
      <c r="K440" s="82"/>
      <c r="L440" s="82"/>
      <c r="M440" s="82"/>
      <c r="N440" s="86"/>
    </row>
    <row r="441" spans="2:14" ht="22.5" x14ac:dyDescent="0.25">
      <c r="B441" s="50" t="s">
        <v>314</v>
      </c>
      <c r="C441" s="66">
        <v>96620</v>
      </c>
      <c r="D441" s="53" t="s">
        <v>316</v>
      </c>
      <c r="E441" s="217" t="s">
        <v>41</v>
      </c>
      <c r="F441" s="312"/>
      <c r="G441" s="121"/>
      <c r="H441" s="70"/>
      <c r="I441" s="105"/>
      <c r="J441" s="99">
        <f>'BOLETIM DE MEDIÇÃO 11'!S119-'MEMORIAL DE CALCULO 08'!K441</f>
        <v>10.199999999999999</v>
      </c>
      <c r="K441" s="81">
        <f>K442</f>
        <v>21.53</v>
      </c>
      <c r="L441" s="82">
        <f>J441+K441</f>
        <v>31.73</v>
      </c>
      <c r="M441" s="82">
        <f>'BOLETIM DE MEDIÇÃO 11'!G119</f>
        <v>35.340000000000003</v>
      </c>
      <c r="N441" s="86">
        <f>M441-L441</f>
        <v>3.610000000000003</v>
      </c>
    </row>
    <row r="442" spans="2:14" x14ac:dyDescent="0.25">
      <c r="B442" s="50"/>
      <c r="C442" s="66"/>
      <c r="D442" s="187" t="s">
        <v>994</v>
      </c>
      <c r="E442" s="69"/>
      <c r="F442" s="312"/>
      <c r="G442" s="462">
        <v>21.53</v>
      </c>
      <c r="H442" s="463"/>
      <c r="I442" s="464"/>
      <c r="J442" s="99"/>
      <c r="K442" s="82">
        <f>G442</f>
        <v>21.53</v>
      </c>
      <c r="L442" s="82"/>
      <c r="M442" s="82"/>
      <c r="N442" s="86"/>
    </row>
    <row r="443" spans="2:14" ht="67.5" x14ac:dyDescent="0.25">
      <c r="B443" s="384" t="s">
        <v>317</v>
      </c>
      <c r="C443" s="385">
        <v>94439</v>
      </c>
      <c r="D443" s="386" t="s">
        <v>319</v>
      </c>
      <c r="E443" s="277" t="s">
        <v>17</v>
      </c>
      <c r="F443" s="312"/>
      <c r="G443" s="121"/>
      <c r="H443" s="70"/>
      <c r="I443" s="105"/>
      <c r="J443" s="99">
        <f>'BOLETIM DE MEDIÇÃO 11'!S120</f>
        <v>116.27</v>
      </c>
      <c r="K443" s="81">
        <f>SUM(K444:K448)</f>
        <v>116.27</v>
      </c>
      <c r="L443" s="82">
        <f t="shared" ref="L443" si="26">J443+K443</f>
        <v>232.54</v>
      </c>
      <c r="M443" s="82">
        <f>'BOLETIM DE MEDIÇÃO 11'!G121</f>
        <v>634.5</v>
      </c>
      <c r="N443" s="86">
        <f>M443-L443</f>
        <v>401.96000000000004</v>
      </c>
    </row>
    <row r="444" spans="2:14" x14ac:dyDescent="0.25">
      <c r="B444" s="50"/>
      <c r="C444" s="66"/>
      <c r="D444" s="319" t="s">
        <v>846</v>
      </c>
      <c r="E444" s="69"/>
      <c r="F444" s="312">
        <v>1</v>
      </c>
      <c r="G444" s="462">
        <v>27</v>
      </c>
      <c r="H444" s="463"/>
      <c r="I444" s="464"/>
      <c r="J444" s="99"/>
      <c r="K444" s="82">
        <f>F444*G444</f>
        <v>27</v>
      </c>
      <c r="L444" s="82"/>
      <c r="M444" s="82"/>
      <c r="N444" s="86"/>
    </row>
    <row r="445" spans="2:14" x14ac:dyDescent="0.25">
      <c r="B445" s="50"/>
      <c r="C445" s="66"/>
      <c r="D445" s="319" t="s">
        <v>842</v>
      </c>
      <c r="E445" s="69"/>
      <c r="F445" s="312">
        <v>1</v>
      </c>
      <c r="G445" s="462">
        <v>26</v>
      </c>
      <c r="H445" s="463"/>
      <c r="I445" s="464"/>
      <c r="J445" s="99"/>
      <c r="K445" s="82">
        <f t="shared" ref="K445:K448" si="27">F445*G445</f>
        <v>26</v>
      </c>
      <c r="L445" s="82"/>
      <c r="M445" s="82"/>
      <c r="N445" s="86"/>
    </row>
    <row r="446" spans="2:14" x14ac:dyDescent="0.25">
      <c r="B446" s="50"/>
      <c r="C446" s="66"/>
      <c r="D446" s="319" t="s">
        <v>856</v>
      </c>
      <c r="E446" s="69"/>
      <c r="F446" s="312">
        <v>1</v>
      </c>
      <c r="G446" s="462">
        <v>30</v>
      </c>
      <c r="H446" s="463"/>
      <c r="I446" s="464"/>
      <c r="J446" s="99"/>
      <c r="K446" s="82">
        <f t="shared" si="27"/>
        <v>30</v>
      </c>
      <c r="L446" s="82"/>
      <c r="M446" s="82"/>
      <c r="N446" s="86"/>
    </row>
    <row r="447" spans="2:14" x14ac:dyDescent="0.25">
      <c r="B447" s="50"/>
      <c r="C447" s="66"/>
      <c r="D447" s="319" t="s">
        <v>981</v>
      </c>
      <c r="E447" s="69"/>
      <c r="F447" s="312">
        <v>1</v>
      </c>
      <c r="G447" s="462">
        <v>30</v>
      </c>
      <c r="H447" s="463"/>
      <c r="I447" s="464"/>
      <c r="J447" s="99"/>
      <c r="K447" s="82">
        <f t="shared" si="27"/>
        <v>30</v>
      </c>
      <c r="L447" s="82"/>
      <c r="M447" s="82"/>
      <c r="N447" s="86"/>
    </row>
    <row r="448" spans="2:14" x14ac:dyDescent="0.25">
      <c r="B448" s="50"/>
      <c r="C448" s="66"/>
      <c r="D448" s="319" t="s">
        <v>861</v>
      </c>
      <c r="E448" s="69"/>
      <c r="F448" s="312">
        <v>1</v>
      </c>
      <c r="G448" s="462">
        <v>3.27</v>
      </c>
      <c r="H448" s="463"/>
      <c r="I448" s="464"/>
      <c r="J448" s="99"/>
      <c r="K448" s="82">
        <f t="shared" si="27"/>
        <v>3.27</v>
      </c>
      <c r="L448" s="82"/>
      <c r="M448" s="82"/>
      <c r="N448" s="86"/>
    </row>
    <row r="449" spans="2:14" x14ac:dyDescent="0.25">
      <c r="B449" s="212">
        <v>1.1299999999999999</v>
      </c>
      <c r="C449" s="539" t="s">
        <v>368</v>
      </c>
      <c r="D449" s="540"/>
      <c r="E449" s="69"/>
      <c r="F449" s="312"/>
      <c r="G449" s="121"/>
      <c r="H449" s="70"/>
      <c r="I449" s="105"/>
      <c r="J449" s="99"/>
      <c r="K449" s="82"/>
      <c r="L449" s="82"/>
      <c r="M449" s="82"/>
      <c r="N449" s="86"/>
    </row>
    <row r="450" spans="2:14" ht="56.25" x14ac:dyDescent="0.25">
      <c r="B450" s="203" t="s">
        <v>369</v>
      </c>
      <c r="C450" s="211">
        <v>91785</v>
      </c>
      <c r="D450" s="205" t="s">
        <v>371</v>
      </c>
      <c r="E450" s="217" t="s">
        <v>37</v>
      </c>
      <c r="F450" s="312"/>
      <c r="G450" s="121"/>
      <c r="H450" s="70"/>
      <c r="I450" s="105"/>
      <c r="J450" s="99">
        <f>'BOLETIM DE MEDIÇÃO 11'!S138-'MEMORIAL DE CALCULO 08'!K450</f>
        <v>0</v>
      </c>
      <c r="K450" s="81">
        <f>K451</f>
        <v>98.77</v>
      </c>
      <c r="L450" s="82">
        <f>J450+K450</f>
        <v>98.77</v>
      </c>
      <c r="M450" s="206">
        <v>98.77</v>
      </c>
      <c r="N450" s="86">
        <f t="shared" ref="N450:N507" si="28">M450-L450</f>
        <v>0</v>
      </c>
    </row>
    <row r="451" spans="2:14" x14ac:dyDescent="0.25">
      <c r="B451" s="203"/>
      <c r="C451" s="211"/>
      <c r="D451" s="377" t="s">
        <v>1004</v>
      </c>
      <c r="E451" s="217"/>
      <c r="F451" s="312">
        <v>1</v>
      </c>
      <c r="G451" s="462">
        <f>98.77</f>
        <v>98.77</v>
      </c>
      <c r="H451" s="463"/>
      <c r="I451" s="464"/>
      <c r="J451" s="99"/>
      <c r="K451" s="82">
        <f>G451</f>
        <v>98.77</v>
      </c>
      <c r="L451" s="82"/>
      <c r="M451" s="206"/>
      <c r="N451" s="86">
        <f t="shared" si="28"/>
        <v>0</v>
      </c>
    </row>
    <row r="452" spans="2:14" x14ac:dyDescent="0.25">
      <c r="B452" s="203"/>
      <c r="C452" s="211"/>
      <c r="D452" s="205"/>
      <c r="E452" s="217"/>
      <c r="F452" s="312"/>
      <c r="G452" s="121"/>
      <c r="H452" s="70"/>
      <c r="I452" s="105"/>
      <c r="J452" s="99"/>
      <c r="K452" s="82"/>
      <c r="L452" s="82"/>
      <c r="M452" s="206"/>
      <c r="N452" s="86">
        <f t="shared" si="28"/>
        <v>0</v>
      </c>
    </row>
    <row r="453" spans="2:14" ht="56.25" x14ac:dyDescent="0.25">
      <c r="B453" s="203" t="s">
        <v>372</v>
      </c>
      <c r="C453" s="211">
        <v>91784</v>
      </c>
      <c r="D453" s="205" t="s">
        <v>374</v>
      </c>
      <c r="E453" s="217" t="s">
        <v>37</v>
      </c>
      <c r="F453" s="312"/>
      <c r="G453" s="121"/>
      <c r="H453" s="70"/>
      <c r="I453" s="105"/>
      <c r="J453" s="99">
        <f>'BOLETIM DE MEDIÇÃO 11'!S139-'MEMORIAL DE CALCULO 08'!K453</f>
        <v>0</v>
      </c>
      <c r="K453" s="81">
        <f>K454</f>
        <v>62.17</v>
      </c>
      <c r="L453" s="82">
        <f t="shared" ref="L453:L513" si="29">J453+K453</f>
        <v>62.17</v>
      </c>
      <c r="M453" s="206">
        <v>62.17</v>
      </c>
      <c r="N453" s="86">
        <f t="shared" si="28"/>
        <v>0</v>
      </c>
    </row>
    <row r="454" spans="2:14" x14ac:dyDescent="0.25">
      <c r="B454" s="203"/>
      <c r="C454" s="211"/>
      <c r="D454" s="377" t="s">
        <v>1004</v>
      </c>
      <c r="E454" s="217"/>
      <c r="F454" s="312">
        <v>1</v>
      </c>
      <c r="G454" s="462">
        <f>62.17</f>
        <v>62.17</v>
      </c>
      <c r="H454" s="463"/>
      <c r="I454" s="464"/>
      <c r="J454" s="99"/>
      <c r="K454" s="82">
        <f>G454</f>
        <v>62.17</v>
      </c>
      <c r="L454" s="82"/>
      <c r="M454" s="206"/>
      <c r="N454" s="86">
        <f t="shared" si="28"/>
        <v>0</v>
      </c>
    </row>
    <row r="455" spans="2:14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28"/>
        <v>0</v>
      </c>
    </row>
    <row r="456" spans="2:14" ht="56.25" hidden="1" x14ac:dyDescent="0.25">
      <c r="B456" s="203" t="s">
        <v>375</v>
      </c>
      <c r="C456" s="211">
        <v>91786</v>
      </c>
      <c r="D456" s="205" t="s">
        <v>377</v>
      </c>
      <c r="E456" s="217" t="s">
        <v>37</v>
      </c>
      <c r="F456" s="312"/>
      <c r="G456" s="121"/>
      <c r="H456" s="70"/>
      <c r="I456" s="105"/>
      <c r="J456" s="99">
        <f>'BOLETIM DE MEDIÇÃO 11'!S140-'MEMORIAL DE CALCULO 08'!K456</f>
        <v>17.324999999999999</v>
      </c>
      <c r="K456" s="81">
        <f>K457</f>
        <v>7.4249999999999998</v>
      </c>
      <c r="L456" s="82">
        <f t="shared" si="29"/>
        <v>24.75</v>
      </c>
      <c r="M456" s="206">
        <v>24.75</v>
      </c>
      <c r="N456" s="86">
        <f t="shared" si="28"/>
        <v>0</v>
      </c>
    </row>
    <row r="457" spans="2:14" hidden="1" x14ac:dyDescent="0.25">
      <c r="B457" s="203"/>
      <c r="C457" s="211"/>
      <c r="D457" s="377" t="s">
        <v>984</v>
      </c>
      <c r="E457" s="217"/>
      <c r="F457" s="312">
        <v>1</v>
      </c>
      <c r="G457" s="462">
        <f>0.3*24.75</f>
        <v>7.4249999999999998</v>
      </c>
      <c r="H457" s="463"/>
      <c r="I457" s="464"/>
      <c r="J457" s="99"/>
      <c r="K457" s="82">
        <f>G457</f>
        <v>7.4249999999999998</v>
      </c>
      <c r="L457" s="82"/>
      <c r="M457" s="206"/>
      <c r="N457" s="86">
        <f t="shared" si="28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28"/>
        <v>0</v>
      </c>
    </row>
    <row r="459" spans="2:14" ht="56.25" hidden="1" x14ac:dyDescent="0.25">
      <c r="B459" s="203" t="s">
        <v>378</v>
      </c>
      <c r="C459" s="211">
        <v>91787</v>
      </c>
      <c r="D459" s="205" t="s">
        <v>380</v>
      </c>
      <c r="E459" s="217" t="s">
        <v>37</v>
      </c>
      <c r="F459" s="312"/>
      <c r="G459" s="121"/>
      <c r="H459" s="70"/>
      <c r="I459" s="105"/>
      <c r="J459" s="99">
        <f>'BOLETIM DE MEDIÇÃO 11'!S141-'MEMORIAL DE CALCULO 08'!K459</f>
        <v>18.144000000000002</v>
      </c>
      <c r="K459" s="81">
        <f>K460</f>
        <v>7.7759999999999998</v>
      </c>
      <c r="L459" s="82">
        <f t="shared" si="29"/>
        <v>25.92</v>
      </c>
      <c r="M459" s="206">
        <v>25.92</v>
      </c>
      <c r="N459" s="86">
        <f t="shared" si="28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462">
        <f>0.3*25.92</f>
        <v>7.7759999999999998</v>
      </c>
      <c r="H460" s="463"/>
      <c r="I460" s="464"/>
      <c r="J460" s="99"/>
      <c r="K460" s="82">
        <f>G460</f>
        <v>7.7759999999999998</v>
      </c>
      <c r="L460" s="82"/>
      <c r="M460" s="206"/>
      <c r="N460" s="86">
        <f t="shared" si="28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28"/>
        <v>0</v>
      </c>
    </row>
    <row r="462" spans="2:14" ht="33.75" hidden="1" x14ac:dyDescent="0.25">
      <c r="B462" s="203" t="s">
        <v>381</v>
      </c>
      <c r="C462" s="211">
        <v>89987</v>
      </c>
      <c r="D462" s="205" t="s">
        <v>383</v>
      </c>
      <c r="E462" s="217" t="s">
        <v>166</v>
      </c>
      <c r="F462" s="312"/>
      <c r="G462" s="121"/>
      <c r="H462" s="70"/>
      <c r="I462" s="105"/>
      <c r="J462" s="99">
        <f>'BOLETIM DE MEDIÇÃO 11'!S142-'MEMORIAL DE CALCULO 08'!K462</f>
        <v>7</v>
      </c>
      <c r="K462" s="81">
        <f>K463</f>
        <v>3</v>
      </c>
      <c r="L462" s="82">
        <f t="shared" si="29"/>
        <v>10</v>
      </c>
      <c r="M462" s="206">
        <v>10</v>
      </c>
      <c r="N462" s="86">
        <f t="shared" si="28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462">
        <f>0.3*10</f>
        <v>3</v>
      </c>
      <c r="H463" s="463"/>
      <c r="I463" s="464"/>
      <c r="J463" s="99"/>
      <c r="K463" s="82">
        <f>G463</f>
        <v>3</v>
      </c>
      <c r="L463" s="82"/>
      <c r="M463" s="206"/>
      <c r="N463" s="86">
        <f t="shared" si="28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28"/>
        <v>0</v>
      </c>
    </row>
    <row r="465" spans="2:14" ht="22.5" hidden="1" x14ac:dyDescent="0.25">
      <c r="B465" s="203" t="s">
        <v>384</v>
      </c>
      <c r="C465" s="211">
        <v>94490</v>
      </c>
      <c r="D465" s="205" t="s">
        <v>386</v>
      </c>
      <c r="E465" s="217" t="s">
        <v>166</v>
      </c>
      <c r="F465" s="312"/>
      <c r="G465" s="121"/>
      <c r="H465" s="70"/>
      <c r="I465" s="105"/>
      <c r="J465" s="99">
        <f>'BOLETIM DE MEDIÇÃO 11'!S143-'MEMORIAL DE CALCULO 08'!K465</f>
        <v>-1</v>
      </c>
      <c r="K465" s="81">
        <f>K466</f>
        <v>1</v>
      </c>
      <c r="L465" s="82">
        <f t="shared" si="29"/>
        <v>0</v>
      </c>
      <c r="M465" s="206">
        <v>2</v>
      </c>
      <c r="N465" s="86">
        <f t="shared" si="28"/>
        <v>2</v>
      </c>
    </row>
    <row r="466" spans="2:14" hidden="1" x14ac:dyDescent="0.25">
      <c r="B466" s="203"/>
      <c r="C466" s="211"/>
      <c r="D466" s="377" t="s">
        <v>983</v>
      </c>
      <c r="E466" s="217"/>
      <c r="F466" s="312">
        <v>1</v>
      </c>
      <c r="G466" s="462">
        <v>1</v>
      </c>
      <c r="H466" s="463"/>
      <c r="I466" s="464"/>
      <c r="J466" s="99"/>
      <c r="K466" s="82">
        <v>1</v>
      </c>
      <c r="L466" s="82"/>
      <c r="M466" s="206"/>
      <c r="N466" s="86">
        <f t="shared" si="28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28"/>
        <v>0</v>
      </c>
    </row>
    <row r="468" spans="2:14" ht="33.75" hidden="1" x14ac:dyDescent="0.25">
      <c r="B468" s="203" t="s">
        <v>387</v>
      </c>
      <c r="C468" s="211">
        <v>89985</v>
      </c>
      <c r="D468" s="205" t="s">
        <v>389</v>
      </c>
      <c r="E468" s="217" t="s">
        <v>166</v>
      </c>
      <c r="F468" s="312"/>
      <c r="G468" s="121"/>
      <c r="H468" s="70"/>
      <c r="I468" s="105"/>
      <c r="J468" s="99">
        <f>'BOLETIM DE MEDIÇÃO 11'!S144-'MEMORIAL DE CALCULO 08'!K468</f>
        <v>3</v>
      </c>
      <c r="K468" s="81">
        <f>K469</f>
        <v>3</v>
      </c>
      <c r="L468" s="82">
        <f t="shared" si="29"/>
        <v>6</v>
      </c>
      <c r="M468" s="206">
        <v>6</v>
      </c>
      <c r="N468" s="86">
        <f t="shared" si="28"/>
        <v>0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462">
        <v>3</v>
      </c>
      <c r="H469" s="463"/>
      <c r="I469" s="464"/>
      <c r="J469" s="99"/>
      <c r="K469" s="82">
        <f>G469</f>
        <v>3</v>
      </c>
      <c r="L469" s="82"/>
      <c r="M469" s="206"/>
      <c r="N469" s="86">
        <f t="shared" si="28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28"/>
        <v>0</v>
      </c>
    </row>
    <row r="471" spans="2:14" ht="33.75" hidden="1" x14ac:dyDescent="0.25">
      <c r="B471" s="203" t="s">
        <v>390</v>
      </c>
      <c r="C471" s="211">
        <v>102613</v>
      </c>
      <c r="D471" s="205" t="s">
        <v>392</v>
      </c>
      <c r="E471" s="217" t="s">
        <v>166</v>
      </c>
      <c r="F471" s="312"/>
      <c r="G471" s="121"/>
      <c r="H471" s="70"/>
      <c r="I471" s="105"/>
      <c r="J471" s="99">
        <f>'BOLETIM DE MEDIÇÃO 11'!S145-'MEMORIAL DE CALCULO 08'!K471</f>
        <v>2</v>
      </c>
      <c r="K471" s="82"/>
      <c r="L471" s="82">
        <f t="shared" si="29"/>
        <v>2</v>
      </c>
      <c r="M471" s="206">
        <v>2</v>
      </c>
      <c r="N471" s="86">
        <f t="shared" si="28"/>
        <v>0</v>
      </c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>
        <f t="shared" si="28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28"/>
        <v>0</v>
      </c>
    </row>
    <row r="474" spans="2:14" ht="22.5" hidden="1" x14ac:dyDescent="0.25">
      <c r="B474" s="203" t="s">
        <v>393</v>
      </c>
      <c r="C474" s="211">
        <v>102609</v>
      </c>
      <c r="D474" s="205" t="s">
        <v>395</v>
      </c>
      <c r="E474" s="217" t="s">
        <v>166</v>
      </c>
      <c r="F474" s="312"/>
      <c r="G474" s="121"/>
      <c r="H474" s="70"/>
      <c r="I474" s="105"/>
      <c r="J474" s="99">
        <f>'BOLETIM DE MEDIÇÃO 11'!S146-'MEMORIAL DE CALCULO 08'!K474</f>
        <v>2</v>
      </c>
      <c r="K474" s="82"/>
      <c r="L474" s="82">
        <f t="shared" si="29"/>
        <v>2</v>
      </c>
      <c r="M474" s="206">
        <v>2</v>
      </c>
      <c r="N474" s="86">
        <f t="shared" si="28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28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28"/>
        <v>0</v>
      </c>
    </row>
    <row r="477" spans="2:14" ht="22.5" hidden="1" x14ac:dyDescent="0.25">
      <c r="B477" s="203" t="s">
        <v>396</v>
      </c>
      <c r="C477" s="211">
        <v>94796</v>
      </c>
      <c r="D477" s="205" t="s">
        <v>398</v>
      </c>
      <c r="E477" s="217" t="s">
        <v>166</v>
      </c>
      <c r="F477" s="312"/>
      <c r="G477" s="121"/>
      <c r="H477" s="70"/>
      <c r="I477" s="105"/>
      <c r="J477" s="99">
        <f>'BOLETIM DE MEDIÇÃO 11'!S147-'MEMORIAL DE CALCULO 08'!K477</f>
        <v>0</v>
      </c>
      <c r="K477" s="82"/>
      <c r="L477" s="82">
        <f t="shared" si="29"/>
        <v>0</v>
      </c>
      <c r="M477" s="206">
        <v>4</v>
      </c>
      <c r="N477" s="86">
        <f t="shared" si="28"/>
        <v>4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28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28"/>
        <v>0</v>
      </c>
    </row>
    <row r="480" spans="2:14" ht="22.5" hidden="1" x14ac:dyDescent="0.25">
      <c r="B480" s="203" t="s">
        <v>399</v>
      </c>
      <c r="C480" s="211">
        <v>94491</v>
      </c>
      <c r="D480" s="205" t="s">
        <v>401</v>
      </c>
      <c r="E480" s="217" t="s">
        <v>166</v>
      </c>
      <c r="F480" s="312"/>
      <c r="G480" s="121"/>
      <c r="H480" s="70"/>
      <c r="I480" s="105"/>
      <c r="J480" s="99">
        <f>'BOLETIM DE MEDIÇÃO 11'!S148-'MEMORIAL DE CALCULO 08'!K480</f>
        <v>0</v>
      </c>
      <c r="K480" s="82"/>
      <c r="L480" s="82">
        <f t="shared" si="29"/>
        <v>0</v>
      </c>
      <c r="M480" s="206">
        <v>4</v>
      </c>
      <c r="N480" s="86">
        <f t="shared" si="28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28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28"/>
        <v>0</v>
      </c>
    </row>
    <row r="483" spans="2:14" ht="22.5" hidden="1" x14ac:dyDescent="0.25">
      <c r="B483" s="203" t="s">
        <v>402</v>
      </c>
      <c r="C483" s="211">
        <v>94492</v>
      </c>
      <c r="D483" s="205" t="s">
        <v>404</v>
      </c>
      <c r="E483" s="217" t="s">
        <v>166</v>
      </c>
      <c r="F483" s="312"/>
      <c r="G483" s="121"/>
      <c r="H483" s="70"/>
      <c r="I483" s="105"/>
      <c r="J483" s="99">
        <f>'BOLETIM DE MEDIÇÃO 11'!S149-'MEMORIAL DE CALCULO 08'!K483</f>
        <v>0</v>
      </c>
      <c r="K483" s="82"/>
      <c r="L483" s="82">
        <f t="shared" si="29"/>
        <v>0</v>
      </c>
      <c r="M483" s="206">
        <v>2</v>
      </c>
      <c r="N483" s="86">
        <f t="shared" si="28"/>
        <v>2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28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28"/>
        <v>0</v>
      </c>
    </row>
    <row r="486" spans="2:14" ht="22.5" hidden="1" x14ac:dyDescent="0.25">
      <c r="B486" s="203" t="s">
        <v>405</v>
      </c>
      <c r="C486" s="211">
        <v>95675</v>
      </c>
      <c r="D486" s="205" t="s">
        <v>407</v>
      </c>
      <c r="E486" s="217" t="s">
        <v>166</v>
      </c>
      <c r="F486" s="312"/>
      <c r="G486" s="121"/>
      <c r="H486" s="70"/>
      <c r="I486" s="105"/>
      <c r="J486" s="99">
        <f>'BOLETIM DE MEDIÇÃO 11'!S150-'MEMORIAL DE CALCULO 08'!K486</f>
        <v>0</v>
      </c>
      <c r="K486" s="82"/>
      <c r="L486" s="82">
        <f t="shared" si="29"/>
        <v>0</v>
      </c>
      <c r="M486" s="206">
        <v>1</v>
      </c>
      <c r="N486" s="86">
        <f t="shared" si="28"/>
        <v>1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8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28"/>
        <v>0</v>
      </c>
    </row>
    <row r="489" spans="2:14" ht="45" hidden="1" x14ac:dyDescent="0.25">
      <c r="B489" s="203" t="s">
        <v>408</v>
      </c>
      <c r="C489" s="211">
        <v>97902</v>
      </c>
      <c r="D489" s="205" t="s">
        <v>410</v>
      </c>
      <c r="E489" s="217" t="s">
        <v>166</v>
      </c>
      <c r="F489" s="312"/>
      <c r="G489" s="121"/>
      <c r="H489" s="70"/>
      <c r="I489" s="105"/>
      <c r="J489" s="99">
        <f>'BOLETIM DE MEDIÇÃO 11'!S151-'MEMORIAL DE CALCULO 08'!K489</f>
        <v>7</v>
      </c>
      <c r="K489" s="82"/>
      <c r="L489" s="82">
        <f t="shared" si="29"/>
        <v>7</v>
      </c>
      <c r="M489" s="206">
        <v>7</v>
      </c>
      <c r="N489" s="86">
        <f t="shared" si="28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8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28"/>
        <v>0</v>
      </c>
    </row>
    <row r="492" spans="2:14" ht="45" hidden="1" x14ac:dyDescent="0.25">
      <c r="B492" s="203" t="s">
        <v>411</v>
      </c>
      <c r="C492" s="211">
        <v>99258</v>
      </c>
      <c r="D492" s="205" t="s">
        <v>413</v>
      </c>
      <c r="E492" s="217" t="s">
        <v>166</v>
      </c>
      <c r="F492" s="312"/>
      <c r="G492" s="121"/>
      <c r="H492" s="70"/>
      <c r="I492" s="105"/>
      <c r="J492" s="99">
        <f>'BOLETIM DE MEDIÇÃO 11'!S152-'MEMORIAL DE CALCULO 08'!K492</f>
        <v>1</v>
      </c>
      <c r="K492" s="82"/>
      <c r="L492" s="82">
        <f t="shared" si="29"/>
        <v>1</v>
      </c>
      <c r="M492" s="206">
        <v>1</v>
      </c>
      <c r="N492" s="86">
        <f t="shared" si="28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8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28"/>
        <v>0</v>
      </c>
    </row>
    <row r="495" spans="2:14" ht="33.75" hidden="1" x14ac:dyDescent="0.25">
      <c r="B495" s="203" t="s">
        <v>414</v>
      </c>
      <c r="C495" s="211">
        <v>89482</v>
      </c>
      <c r="D495" s="205" t="s">
        <v>416</v>
      </c>
      <c r="E495" s="217" t="s">
        <v>166</v>
      </c>
      <c r="F495" s="312"/>
      <c r="G495" s="121"/>
      <c r="H495" s="70"/>
      <c r="I495" s="105"/>
      <c r="J495" s="99">
        <f>'BOLETIM DE MEDIÇÃO 11'!S153-'MEMORIAL DE CALCULO 08'!K495</f>
        <v>10</v>
      </c>
      <c r="K495" s="82"/>
      <c r="L495" s="82">
        <f t="shared" si="29"/>
        <v>10</v>
      </c>
      <c r="M495" s="206">
        <v>10</v>
      </c>
      <c r="N495" s="86">
        <f t="shared" si="28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8"/>
        <v>0</v>
      </c>
    </row>
    <row r="497" spans="2:14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28"/>
        <v>0</v>
      </c>
    </row>
    <row r="498" spans="2:14" ht="56.25" x14ac:dyDescent="0.25">
      <c r="B498" s="203" t="s">
        <v>417</v>
      </c>
      <c r="C498" s="211">
        <v>91792</v>
      </c>
      <c r="D498" s="205" t="s">
        <v>419</v>
      </c>
      <c r="E498" s="217" t="s">
        <v>37</v>
      </c>
      <c r="F498" s="312"/>
      <c r="G498" s="121"/>
      <c r="H498" s="70"/>
      <c r="I498" s="105"/>
      <c r="J498" s="99">
        <f>'BOLETIM DE MEDIÇÃO 11'!S154-'MEMORIAL DE CALCULO 08'!K498</f>
        <v>0</v>
      </c>
      <c r="K498" s="81">
        <f>K499</f>
        <v>38.85</v>
      </c>
      <c r="L498" s="82">
        <f t="shared" si="29"/>
        <v>38.85</v>
      </c>
      <c r="M498" s="206">
        <v>38.85</v>
      </c>
      <c r="N498" s="86">
        <f t="shared" si="28"/>
        <v>0</v>
      </c>
    </row>
    <row r="499" spans="2:14" x14ac:dyDescent="0.25">
      <c r="B499" s="203"/>
      <c r="C499" s="211"/>
      <c r="D499" s="377" t="s">
        <v>1004</v>
      </c>
      <c r="E499" s="217"/>
      <c r="F499" s="312">
        <v>1</v>
      </c>
      <c r="G499" s="462">
        <v>38.85</v>
      </c>
      <c r="H499" s="463"/>
      <c r="I499" s="464"/>
      <c r="J499" s="99"/>
      <c r="K499" s="82">
        <f>G499</f>
        <v>38.85</v>
      </c>
      <c r="L499" s="82"/>
      <c r="M499" s="206"/>
      <c r="N499" s="86"/>
    </row>
    <row r="500" spans="2:14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/>
    </row>
    <row r="501" spans="2:14" ht="56.25" x14ac:dyDescent="0.25">
      <c r="B501" s="203" t="s">
        <v>420</v>
      </c>
      <c r="C501" s="211">
        <v>91793</v>
      </c>
      <c r="D501" s="205" t="s">
        <v>422</v>
      </c>
      <c r="E501" s="217" t="s">
        <v>37</v>
      </c>
      <c r="F501" s="312"/>
      <c r="G501" s="121"/>
      <c r="H501" s="70"/>
      <c r="I501" s="105"/>
      <c r="J501" s="99">
        <f>'BOLETIM DE MEDIÇÃO 11'!S155-'MEMORIAL DE CALCULO 08'!K501</f>
        <v>0</v>
      </c>
      <c r="K501" s="81">
        <f>K502</f>
        <v>46.51</v>
      </c>
      <c r="L501" s="82">
        <f t="shared" si="29"/>
        <v>46.51</v>
      </c>
      <c r="M501" s="206">
        <v>46.51</v>
      </c>
      <c r="N501" s="86">
        <f t="shared" si="28"/>
        <v>0</v>
      </c>
    </row>
    <row r="502" spans="2:14" x14ac:dyDescent="0.25">
      <c r="B502" s="203"/>
      <c r="C502" s="211"/>
      <c r="D502" s="377" t="s">
        <v>1004</v>
      </c>
      <c r="E502" s="217"/>
      <c r="F502" s="312">
        <v>1</v>
      </c>
      <c r="G502" s="462">
        <v>46.51</v>
      </c>
      <c r="H502" s="463"/>
      <c r="I502" s="464"/>
      <c r="J502" s="99"/>
      <c r="K502" s="82">
        <f>G502</f>
        <v>46.51</v>
      </c>
      <c r="L502" s="82"/>
      <c r="M502" s="206"/>
      <c r="N502" s="86"/>
    </row>
    <row r="503" spans="2:14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45" hidden="1" x14ac:dyDescent="0.25">
      <c r="B504" s="203" t="s">
        <v>423</v>
      </c>
      <c r="C504" s="211">
        <v>98107</v>
      </c>
      <c r="D504" s="205" t="s">
        <v>425</v>
      </c>
      <c r="E504" s="217" t="s">
        <v>166</v>
      </c>
      <c r="F504" s="312"/>
      <c r="G504" s="121"/>
      <c r="H504" s="70"/>
      <c r="I504" s="105"/>
      <c r="J504" s="99">
        <f>'BOLETIM DE MEDIÇÃO 11'!S156-'MEMORIAL DE CALCULO 08'!K504</f>
        <v>1</v>
      </c>
      <c r="K504" s="82"/>
      <c r="L504" s="82">
        <f t="shared" si="29"/>
        <v>1</v>
      </c>
      <c r="M504" s="206">
        <v>1</v>
      </c>
      <c r="N504" s="86">
        <f t="shared" si="28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8"/>
        <v>0</v>
      </c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>
        <f t="shared" si="28"/>
        <v>0</v>
      </c>
    </row>
    <row r="507" spans="2:14" ht="56.25" x14ac:dyDescent="0.25">
      <c r="B507" s="203" t="s">
        <v>426</v>
      </c>
      <c r="C507" s="211">
        <v>91795</v>
      </c>
      <c r="D507" s="205" t="s">
        <v>428</v>
      </c>
      <c r="E507" s="217" t="s">
        <v>37</v>
      </c>
      <c r="F507" s="312"/>
      <c r="G507" s="121"/>
      <c r="H507" s="70"/>
      <c r="I507" s="105"/>
      <c r="J507" s="99">
        <f>'BOLETIM DE MEDIÇÃO 11'!S157-'MEMORIAL DE CALCULO 08'!K507</f>
        <v>66.38000000000001</v>
      </c>
      <c r="K507" s="81">
        <f>K508</f>
        <v>66.385000000000005</v>
      </c>
      <c r="L507" s="82">
        <f t="shared" si="29"/>
        <v>132.76500000000001</v>
      </c>
      <c r="M507" s="206">
        <v>132.77000000000001</v>
      </c>
      <c r="N507" s="86">
        <f t="shared" si="28"/>
        <v>4.9999999999954525E-3</v>
      </c>
    </row>
    <row r="508" spans="2:14" x14ac:dyDescent="0.25">
      <c r="B508" s="203"/>
      <c r="C508" s="211"/>
      <c r="D508" s="377" t="s">
        <v>983</v>
      </c>
      <c r="E508" s="217"/>
      <c r="F508" s="312">
        <v>1</v>
      </c>
      <c r="G508" s="462">
        <f>0.5*132.77</f>
        <v>66.385000000000005</v>
      </c>
      <c r="H508" s="463"/>
      <c r="I508" s="464"/>
      <c r="J508" s="99"/>
      <c r="K508" s="82">
        <f>G508</f>
        <v>66.385000000000005</v>
      </c>
      <c r="L508" s="82"/>
      <c r="M508" s="206"/>
      <c r="N508" s="86"/>
    </row>
    <row r="509" spans="2:14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/>
    </row>
    <row r="510" spans="2:14" ht="45" hidden="1" x14ac:dyDescent="0.25">
      <c r="B510" s="203" t="s">
        <v>429</v>
      </c>
      <c r="C510" s="211">
        <v>99251</v>
      </c>
      <c r="D510" s="215" t="s">
        <v>431</v>
      </c>
      <c r="E510" s="217" t="s">
        <v>166</v>
      </c>
      <c r="F510" s="312"/>
      <c r="G510" s="121"/>
      <c r="H510" s="70"/>
      <c r="I510" s="105"/>
      <c r="J510" s="99">
        <f>'BOLETIM DE MEDIÇÃO 11'!S158-'MEMORIAL DE CALCULO 08'!K510</f>
        <v>0</v>
      </c>
      <c r="K510" s="82"/>
      <c r="L510" s="82">
        <f t="shared" si="29"/>
        <v>0</v>
      </c>
      <c r="M510" s="206">
        <v>2</v>
      </c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idden="1" x14ac:dyDescent="0.25">
      <c r="B512" s="203"/>
      <c r="C512" s="211"/>
      <c r="D512" s="215"/>
      <c r="E512" s="217"/>
      <c r="F512" s="312"/>
      <c r="G512" s="121"/>
      <c r="H512" s="70"/>
      <c r="I512" s="105"/>
      <c r="J512" s="99"/>
      <c r="K512" s="82"/>
      <c r="L512" s="82"/>
      <c r="M512" s="206"/>
      <c r="N512" s="86"/>
    </row>
    <row r="513" spans="2:14" ht="56.25" hidden="1" x14ac:dyDescent="0.25">
      <c r="B513" s="203" t="s">
        <v>432</v>
      </c>
      <c r="C513" s="211">
        <v>91790</v>
      </c>
      <c r="D513" s="215" t="s">
        <v>434</v>
      </c>
      <c r="E513" s="217" t="s">
        <v>37</v>
      </c>
      <c r="F513" s="312"/>
      <c r="G513" s="121"/>
      <c r="H513" s="70"/>
      <c r="I513" s="105"/>
      <c r="J513" s="99">
        <f>'BOLETIM DE MEDIÇÃO 11'!S159-'MEMORIAL DE CALCULO 08'!K513</f>
        <v>-12.902999999999999</v>
      </c>
      <c r="K513" s="81">
        <f>K514</f>
        <v>12.902999999999999</v>
      </c>
      <c r="L513" s="82">
        <f t="shared" si="29"/>
        <v>0</v>
      </c>
      <c r="M513" s="206">
        <v>43.01</v>
      </c>
      <c r="N513" s="86"/>
    </row>
    <row r="514" spans="2:14" hidden="1" x14ac:dyDescent="0.25">
      <c r="B514" s="50"/>
      <c r="C514" s="66"/>
      <c r="D514" s="377" t="s">
        <v>984</v>
      </c>
      <c r="E514" s="69"/>
      <c r="F514" s="312">
        <v>1</v>
      </c>
      <c r="G514" s="462">
        <f>0.3*43.01</f>
        <v>12.902999999999999</v>
      </c>
      <c r="H514" s="463"/>
      <c r="I514" s="464"/>
      <c r="J514" s="99"/>
      <c r="K514" s="82">
        <f>G514</f>
        <v>12.902999999999999</v>
      </c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t="14.45" hidden="1" customHeight="1" x14ac:dyDescent="0.25">
      <c r="B544" s="51">
        <v>1.1499999999999999</v>
      </c>
      <c r="C544" s="65" t="s">
        <v>474</v>
      </c>
      <c r="D544" s="53"/>
      <c r="E544" s="44"/>
      <c r="F544" s="130"/>
      <c r="G544" s="463"/>
      <c r="H544" s="463"/>
      <c r="I544" s="464"/>
      <c r="J544" s="99"/>
      <c r="K544" s="81"/>
      <c r="L544" s="82"/>
      <c r="M544" s="82"/>
      <c r="N544" s="86"/>
    </row>
    <row r="545" spans="1:14" ht="56.25" hidden="1" x14ac:dyDescent="0.25">
      <c r="A545" s="79"/>
      <c r="B545" s="50" t="s">
        <v>495</v>
      </c>
      <c r="C545" s="66">
        <v>87548</v>
      </c>
      <c r="D545" s="53" t="s">
        <v>154</v>
      </c>
      <c r="E545" s="44" t="s">
        <v>17</v>
      </c>
      <c r="F545" s="259"/>
      <c r="G545" s="121"/>
      <c r="H545" s="70"/>
      <c r="I545" s="105"/>
      <c r="J545" s="99">
        <f>'BOLETIM DE MEDIÇÃO 05'!O190-'MEMORIAL DE CALCULO 08'!K545</f>
        <v>6.2000000000011823E-2</v>
      </c>
      <c r="K545" s="351">
        <f>K546</f>
        <v>405.60400000000004</v>
      </c>
      <c r="L545" s="82">
        <f t="shared" ref="L545" si="30">J545+K545</f>
        <v>405.66600000000005</v>
      </c>
      <c r="M545" s="82">
        <f>'BOLETIM DE MEDIÇÃO 05'!G190</f>
        <v>811.27</v>
      </c>
      <c r="N545" s="86">
        <f t="shared" ref="N545" si="31">M545-L545</f>
        <v>405.60399999999993</v>
      </c>
    </row>
    <row r="546" spans="1:14" hidden="1" x14ac:dyDescent="0.25">
      <c r="A546" s="79"/>
      <c r="B546" s="50"/>
      <c r="C546" s="66"/>
      <c r="D546" s="344" t="s">
        <v>960</v>
      </c>
      <c r="E546" s="44"/>
      <c r="F546" s="130">
        <v>2</v>
      </c>
      <c r="G546" s="462">
        <f>65.42</f>
        <v>65.42</v>
      </c>
      <c r="H546" s="465"/>
      <c r="I546" s="105">
        <v>3.1</v>
      </c>
      <c r="J546" s="99"/>
      <c r="K546" s="351">
        <f>F546*G546*I546</f>
        <v>405.60400000000004</v>
      </c>
      <c r="L546" s="82"/>
      <c r="M546" s="82"/>
      <c r="N546" s="86"/>
    </row>
    <row r="547" spans="1:14" ht="14.45" hidden="1" customHeight="1" x14ac:dyDescent="0.25">
      <c r="A547" s="79"/>
      <c r="B547" s="266"/>
      <c r="C547" s="266"/>
      <c r="D547" s="255"/>
      <c r="E547" s="238"/>
      <c r="F547" s="261"/>
      <c r="G547" s="272"/>
      <c r="H547" s="273"/>
      <c r="I547" s="274"/>
      <c r="J547" s="255"/>
      <c r="K547" s="238"/>
      <c r="L547" s="238"/>
      <c r="M547" s="238"/>
      <c r="N547" s="258"/>
    </row>
    <row r="550" spans="1:14" ht="69.599999999999994" hidden="1" customHeight="1" x14ac:dyDescent="0.25">
      <c r="D550" s="278" t="s">
        <v>832</v>
      </c>
      <c r="E550" s="277" t="s">
        <v>41</v>
      </c>
      <c r="F550" s="279"/>
      <c r="G550" s="521" t="s">
        <v>836</v>
      </c>
      <c r="H550" s="522"/>
      <c r="I550" s="523"/>
      <c r="J550" s="279"/>
      <c r="K550" s="280">
        <f>SUM(K553:K557)</f>
        <v>16.472439999999999</v>
      </c>
      <c r="M550" s="282"/>
    </row>
    <row r="551" spans="1:14" ht="14.45" hidden="1" customHeight="1" x14ac:dyDescent="0.25">
      <c r="D551" s="239"/>
      <c r="E551" s="239"/>
      <c r="F551" s="239"/>
      <c r="G551" s="239"/>
      <c r="H551" s="239"/>
      <c r="I551" s="239"/>
      <c r="J551" s="239"/>
      <c r="K551" s="239"/>
    </row>
    <row r="552" spans="1:14" ht="36.6" hidden="1" customHeight="1" x14ac:dyDescent="0.25">
      <c r="D552" s="281"/>
      <c r="E552" s="239"/>
      <c r="F552" s="275" t="s">
        <v>556</v>
      </c>
      <c r="G552" s="276" t="s">
        <v>833</v>
      </c>
      <c r="H552" s="276" t="s">
        <v>834</v>
      </c>
      <c r="I552" s="276" t="s">
        <v>835</v>
      </c>
      <c r="J552" s="239"/>
      <c r="K552" s="239"/>
    </row>
    <row r="553" spans="1:14" ht="14.45" hidden="1" customHeight="1" x14ac:dyDescent="0.25">
      <c r="D553" s="288" t="s">
        <v>879</v>
      </c>
      <c r="E553" s="239"/>
      <c r="F553" s="245">
        <v>1</v>
      </c>
      <c r="G553" s="245">
        <v>12.5</v>
      </c>
      <c r="H553" s="245">
        <v>0.1</v>
      </c>
      <c r="I553" s="245">
        <v>0.36</v>
      </c>
      <c r="J553" s="277"/>
      <c r="K553" s="245">
        <f>((I553+H553/2)*G553)*0.2</f>
        <v>1.0250000000000001</v>
      </c>
    </row>
    <row r="554" spans="1:14" ht="20.45" hidden="1" customHeight="1" x14ac:dyDescent="0.25">
      <c r="D554" s="288" t="s">
        <v>876</v>
      </c>
      <c r="E554" s="239"/>
      <c r="F554" s="245">
        <v>1</v>
      </c>
      <c r="G554" s="245">
        <v>11.67</v>
      </c>
      <c r="H554" s="245">
        <v>0.36</v>
      </c>
      <c r="I554" s="245">
        <v>0.53</v>
      </c>
      <c r="J554" s="277"/>
      <c r="K554" s="245">
        <f t="shared" ref="K554:K557" si="32">((I554+H554/2)*G554)*0.2</f>
        <v>1.6571400000000001</v>
      </c>
    </row>
    <row r="555" spans="1:14" ht="20.45" hidden="1" customHeight="1" x14ac:dyDescent="0.25">
      <c r="D555" s="288" t="s">
        <v>880</v>
      </c>
      <c r="E555" s="239"/>
      <c r="F555" s="245">
        <v>1</v>
      </c>
      <c r="G555" s="245">
        <v>27.1</v>
      </c>
      <c r="H555" s="245">
        <v>0.53</v>
      </c>
      <c r="I555" s="245">
        <v>0.74</v>
      </c>
      <c r="J555" s="277"/>
      <c r="K555" s="245">
        <f t="shared" si="32"/>
        <v>5.4470999999999998</v>
      </c>
    </row>
    <row r="556" spans="1:14" ht="30.6" hidden="1" customHeight="1" x14ac:dyDescent="0.25">
      <c r="D556" s="288" t="s">
        <v>881</v>
      </c>
      <c r="E556" s="239"/>
      <c r="F556" s="245">
        <v>1</v>
      </c>
      <c r="G556" s="245">
        <v>33.9</v>
      </c>
      <c r="H556" s="245">
        <v>0.74</v>
      </c>
      <c r="I556" s="245">
        <v>0.61</v>
      </c>
      <c r="J556" s="277"/>
      <c r="K556" s="245">
        <f t="shared" si="32"/>
        <v>6.644400000000001</v>
      </c>
    </row>
    <row r="557" spans="1:14" ht="20.45" hidden="1" customHeight="1" x14ac:dyDescent="0.25">
      <c r="D557" s="288" t="s">
        <v>882</v>
      </c>
      <c r="E557" s="239"/>
      <c r="F557" s="245">
        <v>1</v>
      </c>
      <c r="G557" s="245">
        <v>12.4</v>
      </c>
      <c r="H557" s="245">
        <v>0.61</v>
      </c>
      <c r="I557" s="245">
        <v>0.38</v>
      </c>
      <c r="J557" s="277"/>
      <c r="K557" s="245">
        <f t="shared" si="32"/>
        <v>1.6988000000000003</v>
      </c>
    </row>
    <row r="560" spans="1:14" x14ac:dyDescent="0.25">
      <c r="G560" s="330"/>
    </row>
  </sheetData>
  <mergeCells count="285">
    <mergeCell ref="B10:B11"/>
    <mergeCell ref="C10:C11"/>
    <mergeCell ref="D10:D11"/>
    <mergeCell ref="E10:E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F10:F11"/>
    <mergeCell ref="G10:I10"/>
    <mergeCell ref="J10:N10"/>
    <mergeCell ref="G20:I20"/>
    <mergeCell ref="G22:I22"/>
    <mergeCell ref="F70:F71"/>
    <mergeCell ref="G70:I71"/>
    <mergeCell ref="G72:I72"/>
    <mergeCell ref="G73:H73"/>
    <mergeCell ref="G92:H92"/>
    <mergeCell ref="G93:H93"/>
    <mergeCell ref="G94:H94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3:I393"/>
    <mergeCell ref="G395:I395"/>
    <mergeCell ref="G397:I397"/>
    <mergeCell ref="G399:I399"/>
    <mergeCell ref="G401:I401"/>
    <mergeCell ref="G403:I403"/>
    <mergeCell ref="G379:H379"/>
    <mergeCell ref="G380:H380"/>
    <mergeCell ref="G385:I385"/>
    <mergeCell ref="G387:I387"/>
    <mergeCell ref="G389:I389"/>
    <mergeCell ref="G391:I391"/>
    <mergeCell ref="G421:I421"/>
    <mergeCell ref="G425:I425"/>
    <mergeCell ref="G436:I436"/>
    <mergeCell ref="G404:I404"/>
    <mergeCell ref="G405:I405"/>
    <mergeCell ref="G407:I407"/>
    <mergeCell ref="G409:I409"/>
    <mergeCell ref="G411:I411"/>
    <mergeCell ref="G418:I418"/>
    <mergeCell ref="G434:I434"/>
    <mergeCell ref="G415:I415"/>
    <mergeCell ref="G438:I438"/>
    <mergeCell ref="C449:D449"/>
    <mergeCell ref="G442:I442"/>
    <mergeCell ref="G546:H546"/>
    <mergeCell ref="G550:I550"/>
    <mergeCell ref="G469:I469"/>
    <mergeCell ref="G499:I499"/>
    <mergeCell ref="G502:I502"/>
    <mergeCell ref="G508:I508"/>
    <mergeCell ref="G514:I514"/>
    <mergeCell ref="G544:I544"/>
    <mergeCell ref="G451:I451"/>
    <mergeCell ref="G454:I454"/>
    <mergeCell ref="G457:I457"/>
    <mergeCell ref="G460:I460"/>
    <mergeCell ref="G463:I463"/>
    <mergeCell ref="G466:I466"/>
    <mergeCell ref="G444:I444"/>
    <mergeCell ref="G445:I445"/>
    <mergeCell ref="G446:I446"/>
    <mergeCell ref="G447:I447"/>
    <mergeCell ref="G448:I448"/>
  </mergeCells>
  <phoneticPr fontId="20" type="noConversion"/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2CF7-A10A-4227-ACAF-CAA048DC9659}">
  <sheetPr>
    <pageSetUpPr fitToPage="1"/>
  </sheetPr>
  <dimension ref="A1:U559"/>
  <sheetViews>
    <sheetView topLeftCell="A383" zoomScale="108" zoomScaleNormal="100" workbookViewId="0">
      <selection activeCell="G415" sqref="G415:I41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33" t="s">
        <v>986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f>'BOLETIM DE MEDIÇÃO 11'!B8:C8</f>
        <v>45926</v>
      </c>
      <c r="C8" s="448"/>
      <c r="D8" s="23" t="str">
        <f>'BOLETIM DE MEDIÇÃO 11'!D8</f>
        <v>14/03/2025 a 26/09/2025</v>
      </c>
      <c r="E8" s="449">
        <f>'BOLETIM DE MEDIÇÃO 11'!E8</f>
        <v>125103.41000000003</v>
      </c>
      <c r="F8" s="450"/>
      <c r="G8" s="451"/>
      <c r="H8" s="452">
        <f>'BOLETIM DE MEDIÇÃO 05'!H8</f>
        <v>274592.67562904983</v>
      </c>
      <c r="I8" s="453"/>
      <c r="J8" s="454" t="s">
        <v>965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07'!K14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07'!K15</f>
        <v>2.25</v>
      </c>
      <c r="K15" s="81">
        <f>F15*G15*H15</f>
        <v>2.75</v>
      </c>
      <c r="L15" s="82">
        <f t="shared" ref="L15:L414" si="0">J15+K15</f>
        <v>5</v>
      </c>
      <c r="M15" s="82">
        <f>'BOLETIM DE MEDIÇÃO 05'!G15</f>
        <v>5</v>
      </c>
      <c r="N15" s="86">
        <f t="shared" ref="N15:N4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07'!K16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07'!K17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07'!K19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07'!K21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07'!K24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07'!K25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2">
        <v>1</v>
      </c>
      <c r="G70" s="499">
        <f>43.05</f>
        <v>43.05</v>
      </c>
      <c r="H70" s="500"/>
      <c r="I70" s="501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3"/>
      <c r="G71" s="502"/>
      <c r="H71" s="503"/>
      <c r="I71" s="504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6" t="s">
        <v>883</v>
      </c>
      <c r="H72" s="497"/>
      <c r="I72" s="498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4" t="s">
        <v>838</v>
      </c>
      <c r="H73" s="495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4">
        <v>9</v>
      </c>
      <c r="H74" s="495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4">
        <v>5</v>
      </c>
      <c r="H75" s="495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4">
        <f xml:space="preserve"> (13.03 * 2.7)</f>
        <v>35.180999999999997</v>
      </c>
      <c r="H76" s="495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4">
        <v>3</v>
      </c>
      <c r="H77" s="495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4">
        <v>7</v>
      </c>
      <c r="H78" s="495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4">
        <v>21</v>
      </c>
      <c r="H79" s="495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4">
        <v>27</v>
      </c>
      <c r="H80" s="495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4">
        <v>26</v>
      </c>
      <c r="H81" s="495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4">
        <v>1.6</v>
      </c>
      <c r="H82" s="495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4">
        <v>1.6</v>
      </c>
      <c r="H83" s="495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4">
        <v>45</v>
      </c>
      <c r="H84" s="495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4">
        <v>19</v>
      </c>
      <c r="H85" s="495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4">
        <v>19</v>
      </c>
      <c r="H86" s="495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4">
        <v>5</v>
      </c>
      <c r="H87" s="495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4">
        <v>14</v>
      </c>
      <c r="H88" s="495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5">
        <v>36</v>
      </c>
      <c r="H89" s="506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5">
        <v>46</v>
      </c>
      <c r="H90" s="506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4">
        <v>41</v>
      </c>
      <c r="H91" s="495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4">
        <v>27</v>
      </c>
      <c r="H92" s="495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4">
        <v>53</v>
      </c>
      <c r="H93" s="495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4">
        <f xml:space="preserve"> (2.65*1.8)</f>
        <v>4.7699999999999996</v>
      </c>
      <c r="H94" s="495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4">
        <v>30</v>
      </c>
      <c r="H95" s="495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4">
        <v>30</v>
      </c>
      <c r="H96" s="495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4">
        <v>14</v>
      </c>
      <c r="H97" s="495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4">
        <v>14</v>
      </c>
      <c r="H98" s="495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4">
        <v>20</v>
      </c>
      <c r="H99" s="495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4">
        <v>3</v>
      </c>
      <c r="H100" s="495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4">
        <v>4</v>
      </c>
      <c r="H101" s="495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4">
        <v>12</v>
      </c>
      <c r="H102" s="495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4">
        <v>20</v>
      </c>
      <c r="H103" s="495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4">
        <v>4</v>
      </c>
      <c r="H104" s="495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4">
        <v>5</v>
      </c>
      <c r="H105" s="495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4">
        <f>1184.23-SUM(G74:H105)</f>
        <v>582.07900000000006</v>
      </c>
      <c r="H106" s="495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4"/>
      <c r="H107" s="495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75" t="s">
        <v>652</v>
      </c>
      <c r="H108" s="477"/>
      <c r="I108" s="478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07'!K154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07'!K163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71" t="s">
        <v>831</v>
      </c>
      <c r="H172" s="473"/>
      <c r="I172" s="474"/>
      <c r="J172" s="99">
        <f>'BOLETIM DE MEDIÇÃO 05'!O29-'MEMORIAL DE CALCULO 07'!K172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75">
        <v>492.78</v>
      </c>
      <c r="H173" s="477"/>
      <c r="I173" s="478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75">
        <f>(2*12)+(2*3.79)+(2*8.94)+(2*6.27)+ 1.39+0.99 +(2*1.85)+(2*1.7)+ (2*1.35)</f>
        <v>74.180000000000007</v>
      </c>
      <c r="H174" s="476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75">
        <f>(2*10.92)+(2*10.92)+ 1.3 + 1.1</f>
        <v>46.08</v>
      </c>
      <c r="H175" s="476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75">
        <f>(2*1.87)+(2*1.87)</f>
        <v>7.48</v>
      </c>
      <c r="H176" s="476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75">
        <f>(2*6.55)+(2*6.3)+1.75+1.35+1.19</f>
        <v>29.990000000000002</v>
      </c>
      <c r="H177" s="476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75">
        <f>(2*8.39)+(2*1.7)+ 1.1+ 3.13 + (2*5.24)+ (2*3.11)</f>
        <v>41.11</v>
      </c>
      <c r="H178" s="476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75"/>
      <c r="H179" s="476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75"/>
      <c r="H180" s="476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75"/>
      <c r="H181" s="476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75"/>
      <c r="H182" s="476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75"/>
      <c r="H183" s="476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75"/>
      <c r="H184" s="476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75"/>
      <c r="H185" s="476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75"/>
      <c r="H186" s="476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75"/>
      <c r="H187" s="476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75"/>
      <c r="H188" s="476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75"/>
      <c r="H189" s="476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75"/>
      <c r="H190" s="476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75"/>
      <c r="H191" s="476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75"/>
      <c r="H192" s="476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75"/>
      <c r="H193" s="476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75"/>
      <c r="H194" s="476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75"/>
      <c r="H195" s="476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75"/>
      <c r="H196" s="476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75"/>
      <c r="H197" s="476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75"/>
      <c r="H198" s="476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75"/>
      <c r="H199" s="476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71">
        <f xml:space="preserve"> (2*1.31) + (2*1.51) + (2*4.98)</f>
        <v>15.600000000000001</v>
      </c>
      <c r="H201" s="47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71">
        <f xml:space="preserve"> (3*3.37) + (1.37) + (2*3.47)</f>
        <v>18.420000000000002</v>
      </c>
      <c r="H202" s="47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71">
        <f xml:space="preserve"> (1.87) + (2*3.62)</f>
        <v>9.11</v>
      </c>
      <c r="H203" s="47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71">
        <f xml:space="preserve"> (4*0.88) + (2*3.36) + (2*5.03)</f>
        <v>20.3</v>
      </c>
      <c r="H204" s="47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71">
        <f xml:space="preserve"> (2*3.18) + (2*3.18)</f>
        <v>12.72</v>
      </c>
      <c r="H205" s="47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71">
        <f xml:space="preserve"> (4*2.15)</f>
        <v>8.6</v>
      </c>
      <c r="H206" s="47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71">
        <f xml:space="preserve"> (4*6.99)</f>
        <v>27.96</v>
      </c>
      <c r="H207" s="47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71" t="s">
        <v>831</v>
      </c>
      <c r="H208" s="473"/>
      <c r="I208" s="474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71"/>
      <c r="H209" s="473"/>
      <c r="I209" s="474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75" t="s">
        <v>679</v>
      </c>
      <c r="H217" s="476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71" t="s">
        <v>680</v>
      </c>
      <c r="H218" s="47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71" t="s">
        <v>681</v>
      </c>
      <c r="H219" s="47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71" t="s">
        <v>682</v>
      </c>
      <c r="H220" s="47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71" t="s">
        <v>684</v>
      </c>
      <c r="H221" s="47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71" t="s">
        <v>683</v>
      </c>
      <c r="H222" s="47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71" t="s">
        <v>685</v>
      </c>
      <c r="H223" s="47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75" t="s">
        <v>686</v>
      </c>
      <c r="H224" s="476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71" t="s">
        <v>687</v>
      </c>
      <c r="H225" s="47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71" t="s">
        <v>688</v>
      </c>
      <c r="H226" s="47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75" t="s">
        <v>689</v>
      </c>
      <c r="H227" s="476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71" t="s">
        <v>690</v>
      </c>
      <c r="H228" s="47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75" t="s">
        <v>691</v>
      </c>
      <c r="H229" s="476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71" t="s">
        <v>692</v>
      </c>
      <c r="H230" s="47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71" t="s">
        <v>693</v>
      </c>
      <c r="H231" s="47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75" t="s">
        <v>694</v>
      </c>
      <c r="H232" s="476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71" t="s">
        <v>695</v>
      </c>
      <c r="H233" s="47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71" t="s">
        <v>696</v>
      </c>
      <c r="H234" s="47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71" t="s">
        <v>697</v>
      </c>
      <c r="H235" s="47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71" t="s">
        <v>698</v>
      </c>
      <c r="H236" s="47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71" t="s">
        <v>699</v>
      </c>
      <c r="H237" s="47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71" t="s">
        <v>700</v>
      </c>
      <c r="H238" s="47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71" t="s">
        <v>701</v>
      </c>
      <c r="H239" s="47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75" t="s">
        <v>702</v>
      </c>
      <c r="H240" s="476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71" t="s">
        <v>704</v>
      </c>
      <c r="H241" s="47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71" t="s">
        <v>703</v>
      </c>
      <c r="H242" s="47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71" t="s">
        <v>703</v>
      </c>
      <c r="H243" s="47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71" t="s">
        <v>705</v>
      </c>
      <c r="H244" s="47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71" t="s">
        <v>704</v>
      </c>
      <c r="H245" s="47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71" t="s">
        <v>705</v>
      </c>
      <c r="H246" s="47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71" t="s">
        <v>704</v>
      </c>
      <c r="H247" s="47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71">
        <v>9.6</v>
      </c>
      <c r="H248" s="473"/>
      <c r="I248" s="474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71">
        <v>12.75</v>
      </c>
      <c r="H249" s="473"/>
      <c r="I249" s="474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8" t="s">
        <v>874</v>
      </c>
      <c r="H257" s="489"/>
      <c r="I257" s="490"/>
      <c r="J257" s="99">
        <f>'BOLETIM DE MEDIÇÃO 05'!O31-'MEMORIAL DE CALCULO 07'!K257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71"/>
      <c r="H258" s="473"/>
      <c r="I258" s="474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71">
        <v>9.6</v>
      </c>
      <c r="H259" s="473"/>
      <c r="I259" s="474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71" t="s">
        <v>831</v>
      </c>
      <c r="H260" s="473"/>
      <c r="I260" s="474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71">
        <f>G249</f>
        <v>12.75</v>
      </c>
      <c r="H261" s="473"/>
      <c r="I261" s="474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71" t="s">
        <v>831</v>
      </c>
      <c r="H262" s="473"/>
      <c r="I262" s="474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75" t="s">
        <v>647</v>
      </c>
      <c r="H263" s="476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71">
        <f xml:space="preserve"> ((0.59*(1.85/0.1)) * 2)</f>
        <v>21.83</v>
      </c>
      <c r="H264" s="47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71">
        <f>(0.69*(1.87/0.1)) + (0.79*(1.87/0.1))</f>
        <v>27.675999999999998</v>
      </c>
      <c r="H265" s="47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71">
        <f>((0.69*(1.9/0.1))*3) + ((0.59*(1.87/0.1))*2)</f>
        <v>61.395999999999987</v>
      </c>
      <c r="H266" s="47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71">
        <f>((0.69*(1.92/0.1))*1) + ((0.59*(1.92/0.1))*2)</f>
        <v>35.903999999999996</v>
      </c>
      <c r="H267" s="47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71">
        <f>((0.79*(1.94/0.1))*3)</f>
        <v>45.977999999999994</v>
      </c>
      <c r="H268" s="47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71">
        <f>((0.69*(1.96/0.1))*3) + ((0.59*(1.96/0.1))*2)</f>
        <v>63.699999999999989</v>
      </c>
      <c r="H269" s="47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71">
        <f>((0.59*(1.95/0.1))*2) + ((0.69*(1.95/0.1))*3) +((0.79*(1.95/0.1))*1)</f>
        <v>78.78</v>
      </c>
      <c r="H270" s="47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71">
        <f>((0.59*(1.97/0.1))*1)  +((0.79*(1.97/0.1))*2)</f>
        <v>42.749000000000002</v>
      </c>
      <c r="H271" s="47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71">
        <f>((0.59*(1.9/0.1))*3)</f>
        <v>33.629999999999995</v>
      </c>
      <c r="H272" s="47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71">
        <f>((0.69*(1.86/0.1))*1) + ((0.69*(1.86/0.1))*1) + ((0.89*(1.86/0.1))*1)</f>
        <v>42.222000000000001</v>
      </c>
      <c r="H273" s="47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71">
        <f>((0.69*(1.87/0.1))*3)</f>
        <v>38.708999999999996</v>
      </c>
      <c r="H274" s="47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71">
        <f>((0.69*(1.9/0.1))*1) + ((0.79*(1.9/0.1))*2) + ((0.59*(1.9/0.1))*1)</f>
        <v>54.339999999999989</v>
      </c>
      <c r="H275" s="47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71">
        <f>((0.79*(1.91/0.1))*1) +((0.59*(1.91/0.1))*1)</f>
        <v>26.357999999999997</v>
      </c>
      <c r="H276" s="47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71">
        <f>((0.79*(1.94/0.1))*1) +((0.59*(1.94/0.1))*5)</f>
        <v>72.555999999999983</v>
      </c>
      <c r="H277" s="47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71">
        <f>((0.69*(1.92/0.1))*2) + ((0.69*(1.92/0.1))*1)</f>
        <v>39.744</v>
      </c>
      <c r="H278" s="47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71">
        <f>((0.59*(1.93/0.1))*2) + ((0.79*(1.93/0.1))*1)</f>
        <v>38.020999999999994</v>
      </c>
      <c r="H279" s="47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71">
        <f>((0.59*(1.87/0.1))*2) + ((0.69*(1.87/0.1))*2)</f>
        <v>47.872</v>
      </c>
      <c r="H280" s="47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71">
        <f>((0.59*(1.88/0.1))*3) + ((0.69*(1.88/0.1))*1)</f>
        <v>46.24799999999999</v>
      </c>
      <c r="H281" s="47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71">
        <f>((0.79*(1.9/0.1))*1) + ((0.69*(1.9/0.1))*3)</f>
        <v>54.339999999999982</v>
      </c>
      <c r="H282" s="47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71">
        <f>((0.59*(1.9/0.1))*1)</f>
        <v>11.209999999999997</v>
      </c>
      <c r="H283" s="47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71">
        <f>((0.69*(1.87/0.1))*1) + ((0.59*(1.87/0.1))*1)</f>
        <v>23.936</v>
      </c>
      <c r="H284" s="47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71">
        <f>((0.69*(2/0.1))*1) + ((0.59*(2/0.1))*2)</f>
        <v>37.4</v>
      </c>
      <c r="H285" s="47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71">
        <f>((0.69*(2.01/0.1))*1) + ((0.59*(2.01/0.1))*5) + ((0.79*(2.01/0.1))*1)</f>
        <v>89.042999999999992</v>
      </c>
      <c r="H286" s="47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71">
        <f>(((1.39+0.47+0.47))*(1.86/0.15))</f>
        <v>28.892000000000003</v>
      </c>
      <c r="H287" s="47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71">
        <f>(((1.09+0.022))*(1.87/0.15))</f>
        <v>13.862933333333336</v>
      </c>
      <c r="H288" s="47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71">
        <f>(((1.09+0.022))*(1.89/0.15))</f>
        <v>14.011200000000001</v>
      </c>
      <c r="H289" s="47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71">
        <f>(((0.59))*(1.9/0.15))</f>
        <v>7.4733333333333327</v>
      </c>
      <c r="H290" s="47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71">
        <f>(((0.59))*(1.92/0.15))</f>
        <v>7.5519999999999996</v>
      </c>
      <c r="H291" s="47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71">
        <f>(((0.59))*(1.9/0.15))</f>
        <v>7.4733333333333327</v>
      </c>
      <c r="H292" s="47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71">
        <f>(((0.69))*(1.98/0.15))</f>
        <v>9.1080000000000005</v>
      </c>
      <c r="H293" s="47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75">
        <v>210.13</v>
      </c>
      <c r="H294" s="477"/>
      <c r="I294" s="478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71">
        <f xml:space="preserve"> (2*2.51) + (40*0.59)</f>
        <v>28.619999999999997</v>
      </c>
      <c r="H295" s="47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71">
        <f xml:space="preserve"> (19*0.79)</f>
        <v>15.010000000000002</v>
      </c>
      <c r="H296" s="47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71">
        <f xml:space="preserve"> (21*0.79)</f>
        <v>16.59</v>
      </c>
      <c r="H297" s="47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71">
        <f xml:space="preserve"> (2*3.86) + (29*0.79)</f>
        <v>30.63</v>
      </c>
      <c r="H298" s="47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71">
        <f xml:space="preserve"> (22*0.59)</f>
        <v>12.979999999999999</v>
      </c>
      <c r="H299" s="47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71">
        <f xml:space="preserve"> (14*0.059)</f>
        <v>0.82599999999999996</v>
      </c>
      <c r="H300" s="47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71">
        <f xml:space="preserve"> (59*0.59)</f>
        <v>34.809999999999995</v>
      </c>
      <c r="H301" s="47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07'!K302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71">
        <v>295</v>
      </c>
      <c r="H303" s="473"/>
      <c r="I303" s="474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75" t="s">
        <v>628</v>
      </c>
      <c r="H306" s="476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71">
        <f xml:space="preserve"> (4*(0.2+0.25+1.85+0.33)) * 2</f>
        <v>21.040000000000003</v>
      </c>
      <c r="H307" s="47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71">
        <f xml:space="preserve"> ((4*(0.2+0.25+1.87+0.33)) * 2)</f>
        <v>21.200000000000003</v>
      </c>
      <c r="H308" s="47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71">
        <f xml:space="preserve"> (4*(0.2+0.25+1.9+0.33)) * 5</f>
        <v>53.6</v>
      </c>
      <c r="H309" s="47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71">
        <f xml:space="preserve"> (4*(0.2+0.25+1.92+0.33)) *3</f>
        <v>32.400000000000006</v>
      </c>
      <c r="H310" s="47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71">
        <f xml:space="preserve"> (4*(0.2+0.25+1.94+0.33)) * 3</f>
        <v>32.64</v>
      </c>
      <c r="H311" s="47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71">
        <f xml:space="preserve"> (4*(0.2+0.25+1.96+0.33)) * 5</f>
        <v>54.800000000000004</v>
      </c>
      <c r="H312" s="47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71">
        <f xml:space="preserve"> (4*(0.2+0.25+1.95+0.33)) * 6</f>
        <v>65.52</v>
      </c>
      <c r="H313" s="47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71">
        <f xml:space="preserve"> (4*(0.2+0.25+1.97+0.33)) * 3</f>
        <v>33</v>
      </c>
      <c r="H314" s="47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71">
        <f xml:space="preserve"> (4*(0.2+0.25+1.9+0.33)) * 3</f>
        <v>32.160000000000004</v>
      </c>
      <c r="H315" s="47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71">
        <f xml:space="preserve"> ((4*(0.2+0.25+1.86+0.33)) * 3)</f>
        <v>31.68</v>
      </c>
      <c r="H316" s="47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71">
        <f xml:space="preserve"> ((4*(0.2+0.25+1.87+0.33)) * 3)</f>
        <v>31.800000000000004</v>
      </c>
      <c r="H317" s="47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71">
        <f xml:space="preserve"> ((4*(0.2+0.25+1.9+0.33)) * 4)</f>
        <v>42.88</v>
      </c>
      <c r="H318" s="47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71">
        <f xml:space="preserve"> ((4*(0.2+0.25+1.91+0.33)) * 2)</f>
        <v>21.52</v>
      </c>
      <c r="H319" s="47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71">
        <f xml:space="preserve"> ((4*(0.2+0.25+1.94+0.33)) * 6)</f>
        <v>65.28</v>
      </c>
      <c r="H320" s="47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71">
        <f xml:space="preserve"> ((4*(0.2+0.25+1.92+0.33)) *3)</f>
        <v>32.400000000000006</v>
      </c>
      <c r="H321" s="47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71">
        <f xml:space="preserve"> ((4*(0.2+0.25+1.93+0.33)) *3)</f>
        <v>32.519999999999996</v>
      </c>
      <c r="H322" s="47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71">
        <f xml:space="preserve"> ((4*(0.2+0.25+1.87+0.33)) *4)</f>
        <v>42.400000000000006</v>
      </c>
      <c r="H323" s="47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71">
        <f xml:space="preserve"> ((4*(0.2+0.25+1.88+0.33)) *4)</f>
        <v>42.56</v>
      </c>
      <c r="H324" s="47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71">
        <f xml:space="preserve"> ((4*(0.2+0.25+1.9+0.33)) *4)</f>
        <v>42.88</v>
      </c>
      <c r="H325" s="47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71">
        <f>((4*(0.2+0.25+1.9+0.33))) + ((8*(0.2+0.25+1.9)))</f>
        <v>29.520000000000003</v>
      </c>
      <c r="H326" s="47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71">
        <f xml:space="preserve"> ((4*(0.2+0.25+1.97+0.33)) *2)</f>
        <v>22</v>
      </c>
      <c r="H327" s="47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71">
        <f xml:space="preserve"> ((4*(0.2+0.25+2+0.33)) *3)</f>
        <v>33.36</v>
      </c>
      <c r="H328" s="47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71">
        <f xml:space="preserve"> ((4*(0.2+0.25+2.01+0.33)) *7)</f>
        <v>78.12</v>
      </c>
      <c r="H329" s="47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71" t="s">
        <v>831</v>
      </c>
      <c r="H330" s="473"/>
      <c r="I330" s="474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75" t="s">
        <v>628</v>
      </c>
      <c r="H331" s="476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71">
        <f>((8*(0.2+0.25+1.86+0.42)))</f>
        <v>21.84</v>
      </c>
      <c r="H332" s="47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71">
        <f>((6*(0.2+0.25+1.87+0.42)))</f>
        <v>16.440000000000001</v>
      </c>
      <c r="H333" s="47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71">
        <f>((6*(0.2+0.25+1.89+0.42)))</f>
        <v>16.559999999999999</v>
      </c>
      <c r="H334" s="47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71">
        <f>((4*(0.2+0.25+1.9+0.42)))</f>
        <v>11.08</v>
      </c>
      <c r="H335" s="47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71">
        <f>((4*(0.2+0.25+1.92+0.42)))</f>
        <v>11.16</v>
      </c>
      <c r="H336" s="47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71">
        <f>((4*(0.2+0.25+1.9+0.42)))</f>
        <v>11.08</v>
      </c>
      <c r="H337" s="47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71">
        <f>((4*(0.2+0.25+1.98+0.42)))+(2*(0.2+0.25+1.98))</f>
        <v>16.260000000000002</v>
      </c>
      <c r="H338" s="47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75">
        <v>52.34</v>
      </c>
      <c r="H339" s="477"/>
      <c r="I339" s="478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71"/>
      <c r="H340" s="473"/>
      <c r="I340" s="474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71">
        <v>223.49</v>
      </c>
      <c r="H341" s="473"/>
      <c r="I341" s="474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75" t="s">
        <v>706</v>
      </c>
      <c r="H350" s="476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71">
        <f xml:space="preserve"> ((0.15+0.25)*2) *2</f>
        <v>1.6</v>
      </c>
      <c r="H351" s="47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71">
        <f xml:space="preserve"> ((0.2+0.25)*2) + ((0.2+0.3)*2)</f>
        <v>1.9</v>
      </c>
      <c r="H352" s="472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71">
        <f xml:space="preserve"> ((0.2+0.25)*2*3) + ((0.2+0.2)*2*1) + ((0.15+0.2)*2*1)</f>
        <v>4.2</v>
      </c>
      <c r="H353" s="47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71">
        <f xml:space="preserve"> ((0.2+0.25)*2*1) + ((0.15+0.25)*2*2)</f>
        <v>2.5</v>
      </c>
      <c r="H354" s="47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71">
        <f xml:space="preserve"> ((0.15+0.3)*2*3)</f>
        <v>2.6999999999999997</v>
      </c>
      <c r="H355" s="47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71">
        <f xml:space="preserve"> ((0.2+0.25)*2*3) + ((0.15+0.25)*2*2)</f>
        <v>4.3000000000000007</v>
      </c>
      <c r="H356" s="47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71">
        <f xml:space="preserve"> ((0.2+0.25)*2*3) + ((0.15+0.25)*2*2) +  ((0.2+0.3)*2*1)</f>
        <v>5.3000000000000007</v>
      </c>
      <c r="H357" s="47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71">
        <f xml:space="preserve"> ((0.2+0.25)*2*2) + ((0.15+0.25)*2*1)</f>
        <v>2.6</v>
      </c>
      <c r="H358" s="47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71">
        <f>((0.15+0.25)*2*3)</f>
        <v>2.4000000000000004</v>
      </c>
      <c r="H359" s="47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71">
        <f xml:space="preserve"> ((0.2+0.25)*2*1) + ((0.15+0.25)*2*1) +  ((0.2+0.35)*2*1)</f>
        <v>2.8000000000000003</v>
      </c>
      <c r="H360" s="47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71">
        <f xml:space="preserve"> ((0.2+0.25)*2*1) + ((0.15+0.3)*2*2)</f>
        <v>2.6999999999999997</v>
      </c>
      <c r="H361" s="47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71">
        <f xml:space="preserve"> ((0.2+0.3)*2*1) + ((0.15+0.3)*2*1) +  ((0.15+0.25)*2*1) + ((0.15+0.35)*2*1)</f>
        <v>3.7</v>
      </c>
      <c r="H362" s="47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71">
        <f xml:space="preserve"> ((0.15+0.25)*2*1) + ((0.2+0.3)*2*1)</f>
        <v>1.8</v>
      </c>
      <c r="H363" s="47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71">
        <f xml:space="preserve"> ((0.15+0.25)*2*5) + ((0.25+0.25)*2*1)</f>
        <v>5</v>
      </c>
      <c r="H364" s="47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71">
        <f xml:space="preserve"> ((0.2+0.25)*2*1) + ((0.15+0.25)*2*1) +  ((0.25+0.25)*2*1)</f>
        <v>2.7</v>
      </c>
      <c r="H365" s="47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71">
        <f xml:space="preserve"> ((0.15+0.25)*2*2) + ((0.25+0.25)*2*1)</f>
        <v>2.6</v>
      </c>
      <c r="H366" s="47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71">
        <f xml:space="preserve"> ((0.15+0.25)*2*2) + ((0.2+0.25)*2*2)</f>
        <v>3.4000000000000004</v>
      </c>
      <c r="H367" s="47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71">
        <f xml:space="preserve"> ((0.15+0.25)*2*3) + ((0.2+0.25)*2*1)</f>
        <v>3.3000000000000003</v>
      </c>
      <c r="H368" s="47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71">
        <f>((0.2+0.25)*2*3) + ((0.25+0.25)*2*1)</f>
        <v>3.7</v>
      </c>
      <c r="H369" s="47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71">
        <f>((0.2+0.2)*2*1)</f>
        <v>0.8</v>
      </c>
      <c r="H370" s="47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71">
        <f>((0.2+0.25)*2*1) + ((0.15+0.25)*2*1)</f>
        <v>1.7000000000000002</v>
      </c>
      <c r="H371" s="47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71">
        <f>((0.2+0.25)*2*1) + ((0.15+0.25)*2*2)</f>
        <v>2.5</v>
      </c>
      <c r="H372" s="47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71">
        <f xml:space="preserve"> ((0.2+0.3)*2*1) + ((0.15+0.25)*2*5) +  ((0.25+0.25)*2*1)</f>
        <v>6</v>
      </c>
      <c r="H373" s="47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71">
        <f>((0.15+0.3)*2*1)</f>
        <v>0.89999999999999991</v>
      </c>
      <c r="H374" s="47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71">
        <f>((0.15+0.5)*2*1)</f>
        <v>1.3</v>
      </c>
      <c r="H375" s="47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71">
        <f>((0.15+0.5)*2*1)</f>
        <v>1.3</v>
      </c>
      <c r="H376" s="47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71">
        <f>((0.15+0.25)*2*1)</f>
        <v>0.8</v>
      </c>
      <c r="H377" s="47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71">
        <f t="shared" ref="G378" si="18">((0.15+0.3)*2*1)</f>
        <v>0.89999999999999991</v>
      </c>
      <c r="H378" s="47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71">
        <f>((0.15+0.25)*2*1)</f>
        <v>0.8</v>
      </c>
      <c r="H379" s="47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71">
        <f>((0.15+0.3)*2*1)</f>
        <v>0.89999999999999991</v>
      </c>
      <c r="H380" s="47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07'!K381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11'!S41-'MEMORIAL DE CALCULO 07'!K384</f>
        <v>407.07119999999998</v>
      </c>
      <c r="K384" s="81">
        <f>G385</f>
        <v>32.747</v>
      </c>
      <c r="L384" s="82">
        <f t="shared" si="0"/>
        <v>439.81819999999999</v>
      </c>
      <c r="M384" s="82">
        <f>'BOLETIM DE MEDIÇÃO 05'!G41</f>
        <v>435.33</v>
      </c>
      <c r="N384" s="86">
        <f t="shared" si="1"/>
        <v>-4.4882000000000062</v>
      </c>
    </row>
    <row r="385" spans="2:14" ht="18" customHeight="1" x14ac:dyDescent="0.25">
      <c r="B385" s="49"/>
      <c r="C385" s="63"/>
      <c r="D385" s="143" t="s">
        <v>973</v>
      </c>
      <c r="E385" s="64"/>
      <c r="F385" s="94">
        <v>1</v>
      </c>
      <c r="G385" s="471">
        <v>32.747</v>
      </c>
      <c r="H385" s="473"/>
      <c r="I385" s="474"/>
      <c r="J385" s="99"/>
      <c r="K385" s="82">
        <f>F385*G385</f>
        <v>32.747</v>
      </c>
      <c r="L385" s="82"/>
      <c r="M385" s="82"/>
      <c r="N385" s="86"/>
    </row>
    <row r="386" spans="2:14" ht="18" hidden="1" customHeight="1" x14ac:dyDescent="0.25">
      <c r="B386" s="49" t="s">
        <v>98</v>
      </c>
      <c r="C386" s="57">
        <v>92267</v>
      </c>
      <c r="D386" s="61" t="s">
        <v>100</v>
      </c>
      <c r="E386" s="64"/>
      <c r="F386" s="94"/>
      <c r="G386" s="373"/>
      <c r="H386" s="374"/>
      <c r="I386" s="318"/>
      <c r="J386" s="99">
        <f>'BOLETIM DE MEDIÇÃO 11'!S42-'MEMORIAL DE CALCULO 07'!K386</f>
        <v>42.184950000000001</v>
      </c>
      <c r="K386" s="81">
        <f>K387</f>
        <v>88.64</v>
      </c>
      <c r="L386" s="82">
        <f>J386+K386</f>
        <v>130.82495</v>
      </c>
      <c r="M386" s="82">
        <f>'BOLETIM DE MEDIÇÃO 11'!G42</f>
        <v>130.82</v>
      </c>
      <c r="N386" s="86">
        <f>M386-L386</f>
        <v>-4.9500000000080036E-3</v>
      </c>
    </row>
    <row r="387" spans="2:14" ht="18" hidden="1" customHeight="1" x14ac:dyDescent="0.25">
      <c r="B387" s="49"/>
      <c r="C387" s="63"/>
      <c r="D387" s="143" t="s">
        <v>967</v>
      </c>
      <c r="E387" s="64"/>
      <c r="F387" s="94">
        <v>1</v>
      </c>
      <c r="G387" s="471">
        <v>88.64</v>
      </c>
      <c r="H387" s="473"/>
      <c r="I387" s="474"/>
      <c r="J387" s="99"/>
      <c r="K387" s="82">
        <f>G387</f>
        <v>88.64</v>
      </c>
      <c r="L387" s="82"/>
      <c r="M387" s="82"/>
      <c r="N387" s="86"/>
    </row>
    <row r="388" spans="2:14" ht="18" hidden="1" customHeight="1" x14ac:dyDescent="0.25">
      <c r="B388" s="49"/>
      <c r="C388" s="63"/>
      <c r="D388" s="294"/>
      <c r="E388" s="64"/>
      <c r="F388" s="94"/>
      <c r="G388" s="373"/>
      <c r="H388" s="374"/>
      <c r="I388" s="318"/>
      <c r="J388" s="99"/>
      <c r="K388" s="82"/>
      <c r="L388" s="82"/>
      <c r="M388" s="82"/>
      <c r="N388" s="86"/>
    </row>
    <row r="389" spans="2:14" ht="30.6" hidden="1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07'!K389</f>
        <v>468.20000000000005</v>
      </c>
      <c r="K389" s="82">
        <f>K390</f>
        <v>214.5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hidden="1" customHeight="1" x14ac:dyDescent="0.25">
      <c r="B390" s="49"/>
      <c r="C390" s="57"/>
      <c r="D390" s="294" t="s">
        <v>968</v>
      </c>
      <c r="E390" s="64"/>
      <c r="F390" s="94">
        <v>1</v>
      </c>
      <c r="G390" s="471">
        <f>0.6*357.5</f>
        <v>214.5</v>
      </c>
      <c r="H390" s="473"/>
      <c r="I390" s="474"/>
      <c r="J390" s="99"/>
      <c r="K390" s="82">
        <f>F390*G390</f>
        <v>214.5</v>
      </c>
      <c r="L390" s="82"/>
      <c r="M390" s="82"/>
      <c r="N390" s="86"/>
    </row>
    <row r="391" spans="2:14" ht="33.6" hidden="1" customHeight="1" x14ac:dyDescent="0.25">
      <c r="B391" s="49" t="s">
        <v>104</v>
      </c>
      <c r="C391" s="57">
        <v>92760</v>
      </c>
      <c r="D391" s="52" t="s">
        <v>106</v>
      </c>
      <c r="E391" s="64" t="s">
        <v>62</v>
      </c>
      <c r="F391" s="94"/>
      <c r="G391" s="104"/>
      <c r="H391" s="64"/>
      <c r="I391" s="105"/>
      <c r="J391" s="99">
        <f>'BOLETIM DE MEDIÇÃO 05'!O44-'MEMORIAL DE CALCULO 07'!K391</f>
        <v>7.82</v>
      </c>
      <c r="K391" s="82">
        <f>K392</f>
        <v>15.64</v>
      </c>
      <c r="L391" s="82">
        <f t="shared" ref="L391" si="19">J391+K391</f>
        <v>23.46</v>
      </c>
      <c r="M391" s="82">
        <f>'BOLETIM DE MEDIÇÃO 05'!G44</f>
        <v>39.1</v>
      </c>
      <c r="N391" s="86">
        <f t="shared" ref="N391" si="20">M391-L391</f>
        <v>15.64</v>
      </c>
    </row>
    <row r="392" spans="2:14" ht="22.9" hidden="1" customHeight="1" x14ac:dyDescent="0.25">
      <c r="B392" s="49"/>
      <c r="C392" s="57"/>
      <c r="D392" s="294" t="s">
        <v>964</v>
      </c>
      <c r="E392" s="64"/>
      <c r="F392" s="94">
        <v>1</v>
      </c>
      <c r="G392" s="462">
        <f>0.4*39.1</f>
        <v>15.64</v>
      </c>
      <c r="H392" s="463"/>
      <c r="I392" s="464"/>
      <c r="J392" s="99"/>
      <c r="K392" s="82">
        <f>F392*G392</f>
        <v>15.64</v>
      </c>
      <c r="L392" s="82"/>
      <c r="M392" s="82"/>
      <c r="N392" s="86"/>
    </row>
    <row r="393" spans="2:14" ht="30.6" hidden="1" customHeight="1" x14ac:dyDescent="0.25">
      <c r="B393" s="49" t="s">
        <v>107</v>
      </c>
      <c r="C393" s="57">
        <v>92761</v>
      </c>
      <c r="D393" s="52" t="s">
        <v>109</v>
      </c>
      <c r="E393" s="64" t="s">
        <v>62</v>
      </c>
      <c r="F393" s="94"/>
      <c r="G393" s="104"/>
      <c r="H393" s="64"/>
      <c r="I393" s="105"/>
      <c r="J393" s="99">
        <f>'BOLETIM DE MEDIÇÃO 05'!O45-'MEMORIAL DE CALCULO 07'!K393</f>
        <v>0</v>
      </c>
      <c r="K393" s="82">
        <f>K394</f>
        <v>415.67999999999995</v>
      </c>
      <c r="L393" s="82">
        <f t="shared" si="0"/>
        <v>415.67999999999995</v>
      </c>
      <c r="M393" s="82">
        <f>'BOLETIM DE MEDIÇÃO 05'!G45</f>
        <v>1000</v>
      </c>
      <c r="N393" s="86">
        <f t="shared" si="1"/>
        <v>584.32000000000005</v>
      </c>
    </row>
    <row r="394" spans="2:14" s="371" customFormat="1" ht="22.9" hidden="1" customHeight="1" x14ac:dyDescent="0.25">
      <c r="B394" s="363"/>
      <c r="C394" s="364"/>
      <c r="D394" s="365" t="s">
        <v>953</v>
      </c>
      <c r="E394" s="366"/>
      <c r="F394" s="367">
        <v>1</v>
      </c>
      <c r="G394" s="524">
        <f>0.6* 692.8</f>
        <v>415.67999999999995</v>
      </c>
      <c r="H394" s="525"/>
      <c r="I394" s="526"/>
      <c r="J394" s="368"/>
      <c r="K394" s="369">
        <f>F394*G394</f>
        <v>415.67999999999995</v>
      </c>
      <c r="L394" s="369"/>
      <c r="M394" s="369"/>
      <c r="N394" s="370"/>
    </row>
    <row r="395" spans="2:14" ht="30.6" hidden="1" customHeight="1" x14ac:dyDescent="0.25">
      <c r="B395" s="49" t="s">
        <v>110</v>
      </c>
      <c r="C395" s="57">
        <v>92762</v>
      </c>
      <c r="D395" s="52" t="s">
        <v>112</v>
      </c>
      <c r="E395" s="64" t="s">
        <v>62</v>
      </c>
      <c r="F395" s="94"/>
      <c r="G395" s="104"/>
      <c r="H395" s="64"/>
      <c r="I395" s="105"/>
      <c r="J395" s="99">
        <f>'BOLETIM DE MEDIÇÃO 05'!O46-'MEMORIAL DE CALCULO 07'!K395</f>
        <v>1180.4000000000001</v>
      </c>
      <c r="K395" s="82">
        <f>K396</f>
        <v>57</v>
      </c>
      <c r="L395" s="82">
        <f t="shared" si="0"/>
        <v>1237.4000000000001</v>
      </c>
      <c r="M395" s="82">
        <f>'BOLETIM DE MEDIÇÃO 05'!G46</f>
        <v>1306.0999999999999</v>
      </c>
      <c r="N395" s="86">
        <f t="shared" si="1"/>
        <v>68.699999999999818</v>
      </c>
    </row>
    <row r="396" spans="2:14" s="371" customFormat="1" ht="19.899999999999999" hidden="1" customHeight="1" x14ac:dyDescent="0.25">
      <c r="B396" s="363"/>
      <c r="C396" s="364"/>
      <c r="D396" s="365" t="s">
        <v>953</v>
      </c>
      <c r="E396" s="366"/>
      <c r="F396" s="372">
        <v>1</v>
      </c>
      <c r="G396" s="524">
        <f>0.6* 95</f>
        <v>57</v>
      </c>
      <c r="H396" s="525"/>
      <c r="I396" s="526"/>
      <c r="J396" s="368"/>
      <c r="K396" s="369">
        <f>F396*G396</f>
        <v>57</v>
      </c>
      <c r="L396" s="369"/>
      <c r="M396" s="369"/>
      <c r="N396" s="370"/>
    </row>
    <row r="397" spans="2:14" ht="33.75" hidden="1" x14ac:dyDescent="0.25">
      <c r="B397" s="49" t="s">
        <v>116</v>
      </c>
      <c r="C397" s="57">
        <v>92768</v>
      </c>
      <c r="D397" s="52" t="s">
        <v>118</v>
      </c>
      <c r="E397" s="64" t="s">
        <v>62</v>
      </c>
      <c r="F397" s="105"/>
      <c r="G397" s="99"/>
      <c r="H397" s="64"/>
      <c r="I397" s="105"/>
      <c r="J397" s="99">
        <f>'BOLETIM DE MEDIÇÃO 11'!S48-'MEMORIAL DE CALCULO 07'!K397</f>
        <v>177.17999999999998</v>
      </c>
      <c r="K397" s="81">
        <f>K398</f>
        <v>28.2</v>
      </c>
      <c r="L397" s="82">
        <f t="shared" si="0"/>
        <v>205.37999999999997</v>
      </c>
      <c r="M397" s="82">
        <f>'BOLETIM DE MEDIÇÃO 05'!G48</f>
        <v>158.69999999999999</v>
      </c>
      <c r="N397" s="86">
        <f t="shared" si="1"/>
        <v>-46.679999999999978</v>
      </c>
    </row>
    <row r="398" spans="2:14" hidden="1" x14ac:dyDescent="0.25">
      <c r="B398" s="49"/>
      <c r="C398" s="57"/>
      <c r="D398" s="143" t="s">
        <v>969</v>
      </c>
      <c r="E398" s="64"/>
      <c r="F398" s="105">
        <v>1</v>
      </c>
      <c r="G398" s="471">
        <v>28.2</v>
      </c>
      <c r="H398" s="473"/>
      <c r="I398" s="474"/>
      <c r="J398" s="99"/>
      <c r="K398" s="82">
        <f>F398*G398</f>
        <v>28.2</v>
      </c>
      <c r="L398" s="82"/>
      <c r="M398" s="82"/>
      <c r="N398" s="86"/>
    </row>
    <row r="399" spans="2:14" ht="33.75" hidden="1" x14ac:dyDescent="0.25">
      <c r="B399" s="49" t="s">
        <v>119</v>
      </c>
      <c r="C399" s="57">
        <v>92769</v>
      </c>
      <c r="D399" s="52" t="s">
        <v>121</v>
      </c>
      <c r="E399" s="64" t="s">
        <v>62</v>
      </c>
      <c r="F399" s="105"/>
      <c r="G399" s="99"/>
      <c r="H399" s="64"/>
      <c r="I399" s="105"/>
      <c r="J399" s="99">
        <f>'BOLETIM DE MEDIÇÃO 11'!S49-'MEMORIAL DE CALCULO 07'!K399</f>
        <v>165.8322</v>
      </c>
      <c r="K399" s="81">
        <f>K400</f>
        <v>12.9</v>
      </c>
      <c r="L399" s="82">
        <f t="shared" si="0"/>
        <v>178.73220000000001</v>
      </c>
      <c r="M399" s="82">
        <f>'BOLETIM DE MEDIÇÃO 05'!G49</f>
        <v>170.5</v>
      </c>
      <c r="N399" s="86">
        <f t="shared" si="1"/>
        <v>-8.232200000000006</v>
      </c>
    </row>
    <row r="400" spans="2:14" hidden="1" x14ac:dyDescent="0.25">
      <c r="B400" s="49"/>
      <c r="C400" s="57"/>
      <c r="D400" s="143" t="s">
        <v>969</v>
      </c>
      <c r="E400" s="64"/>
      <c r="F400" s="105">
        <v>1</v>
      </c>
      <c r="G400" s="471">
        <v>12.9</v>
      </c>
      <c r="H400" s="473"/>
      <c r="I400" s="474"/>
      <c r="J400" s="99"/>
      <c r="K400" s="82">
        <f>F400*G400</f>
        <v>12.9</v>
      </c>
      <c r="L400" s="82"/>
      <c r="M400" s="82"/>
      <c r="N400" s="86"/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11'!S50-'MEMORIAL DE CALCULO 07'!K401</f>
        <v>259.0009</v>
      </c>
      <c r="K401" s="81">
        <f>K402</f>
        <v>20.100000000000001</v>
      </c>
      <c r="L401" s="82">
        <f t="shared" si="0"/>
        <v>279.10090000000002</v>
      </c>
      <c r="M401" s="82">
        <f>'BOLETIM DE MEDIÇÃO 05'!G50</f>
        <v>279.10000000000002</v>
      </c>
      <c r="N401" s="86">
        <f t="shared" si="1"/>
        <v>-9.0000000000145519E-4</v>
      </c>
    </row>
    <row r="402" spans="2:14" ht="18" hidden="1" customHeight="1" x14ac:dyDescent="0.25">
      <c r="B402" s="49"/>
      <c r="C402" s="57"/>
      <c r="D402" s="143" t="s">
        <v>969</v>
      </c>
      <c r="E402" s="64"/>
      <c r="F402" s="105">
        <v>1</v>
      </c>
      <c r="G402" s="471">
        <v>20.100000000000001</v>
      </c>
      <c r="H402" s="473"/>
      <c r="I402" s="474"/>
      <c r="J402" s="99"/>
      <c r="K402" s="82">
        <f>F402*G402</f>
        <v>20.100000000000001</v>
      </c>
      <c r="L402" s="82"/>
      <c r="M402" s="82"/>
      <c r="N402" s="86"/>
    </row>
    <row r="403" spans="2:14" ht="33.75" x14ac:dyDescent="0.25">
      <c r="B403" s="49" t="s">
        <v>125</v>
      </c>
      <c r="C403" s="57">
        <v>94966</v>
      </c>
      <c r="D403" s="52" t="s">
        <v>65</v>
      </c>
      <c r="E403" s="64" t="s">
        <v>41</v>
      </c>
      <c r="F403" s="105"/>
      <c r="G403" s="99"/>
      <c r="H403" s="64"/>
      <c r="I403" s="105"/>
      <c r="J403" s="99">
        <f>'BOLETIM DE MEDIÇÃO 11'!S51-'MEMORIAL DE CALCULO 07'!K403</f>
        <v>76.808454999999981</v>
      </c>
      <c r="K403" s="81">
        <f>SUM(K404)</f>
        <v>4.84</v>
      </c>
      <c r="L403" s="82">
        <f t="shared" si="0"/>
        <v>81.648454999999984</v>
      </c>
      <c r="M403" s="82">
        <f>'BOLETIM DE MEDIÇÃO 05'!G51</f>
        <v>61.56</v>
      </c>
      <c r="N403" s="86">
        <f t="shared" si="1"/>
        <v>-20.088454999999982</v>
      </c>
    </row>
    <row r="404" spans="2:14" ht="19.149999999999999" customHeight="1" x14ac:dyDescent="0.25">
      <c r="B404" s="49"/>
      <c r="C404" s="57"/>
      <c r="D404" s="143" t="s">
        <v>974</v>
      </c>
      <c r="E404" s="64"/>
      <c r="F404" s="105">
        <v>1</v>
      </c>
      <c r="G404" s="514">
        <v>4.84</v>
      </c>
      <c r="H404" s="514"/>
      <c r="I404" s="515"/>
      <c r="J404" s="99"/>
      <c r="K404" s="82">
        <f>F404*G404</f>
        <v>4.84</v>
      </c>
      <c r="L404" s="82"/>
      <c r="M404" s="82"/>
      <c r="N404" s="86"/>
    </row>
    <row r="405" spans="2:14" ht="19.149999999999999" hidden="1" customHeight="1" x14ac:dyDescent="0.25">
      <c r="B405" s="49"/>
      <c r="C405" s="57"/>
      <c r="D405" s="143" t="s">
        <v>970</v>
      </c>
      <c r="E405" s="64"/>
      <c r="F405" s="105">
        <v>1</v>
      </c>
      <c r="G405" s="514">
        <v>9.5</v>
      </c>
      <c r="H405" s="514"/>
      <c r="I405" s="515"/>
      <c r="J405" s="99"/>
      <c r="K405" s="82">
        <f t="shared" ref="K405:K406" si="21">F405*G405</f>
        <v>9.5</v>
      </c>
      <c r="L405" s="82"/>
      <c r="M405" s="82"/>
      <c r="N405" s="86"/>
    </row>
    <row r="406" spans="2:14" ht="19.149999999999999" hidden="1" customHeight="1" x14ac:dyDescent="0.25">
      <c r="B406" s="49"/>
      <c r="C406" s="57"/>
      <c r="D406" s="143" t="s">
        <v>971</v>
      </c>
      <c r="E406" s="64"/>
      <c r="F406" s="105">
        <v>1</v>
      </c>
      <c r="G406" s="513">
        <v>2.48</v>
      </c>
      <c r="H406" s="514"/>
      <c r="I406" s="515"/>
      <c r="J406" s="99"/>
      <c r="K406" s="82">
        <f t="shared" si="21"/>
        <v>2.48</v>
      </c>
      <c r="L406" s="82"/>
      <c r="M406" s="82"/>
      <c r="N406" s="86"/>
    </row>
    <row r="407" spans="2:14" ht="22.5" x14ac:dyDescent="0.25">
      <c r="B407" s="49" t="s">
        <v>126</v>
      </c>
      <c r="C407" s="57">
        <v>103670</v>
      </c>
      <c r="D407" s="61" t="s">
        <v>71</v>
      </c>
      <c r="E407" s="64" t="s">
        <v>41</v>
      </c>
      <c r="F407" s="105"/>
      <c r="G407" s="99"/>
      <c r="H407" s="43"/>
      <c r="I407" s="105"/>
      <c r="J407" s="99">
        <f>'BOLETIM DE MEDIÇÃO 05'!O52-'MEMORIAL DE CALCULO 07'!K407</f>
        <v>14.59</v>
      </c>
      <c r="K407" s="81">
        <f>G408</f>
        <v>4.84</v>
      </c>
      <c r="L407" s="82">
        <f t="shared" si="0"/>
        <v>19.43</v>
      </c>
      <c r="M407" s="82">
        <f>'BOLETIM DE MEDIÇÃO 05'!G52</f>
        <v>61.56</v>
      </c>
      <c r="N407" s="86">
        <f t="shared" si="1"/>
        <v>42.13</v>
      </c>
    </row>
    <row r="408" spans="2:14" x14ac:dyDescent="0.25">
      <c r="B408" s="49"/>
      <c r="C408" s="63"/>
      <c r="D408" s="344" t="s">
        <v>932</v>
      </c>
      <c r="E408" s="64"/>
      <c r="F408" s="94">
        <v>1</v>
      </c>
      <c r="G408" s="471">
        <f>K403</f>
        <v>4.84</v>
      </c>
      <c r="H408" s="473"/>
      <c r="I408" s="474"/>
      <c r="J408" s="99"/>
      <c r="K408" s="82">
        <f>F408*G408</f>
        <v>4.84</v>
      </c>
      <c r="L408" s="82"/>
      <c r="M408" s="82"/>
      <c r="N408" s="86"/>
    </row>
    <row r="409" spans="2:14" ht="33.75" hidden="1" x14ac:dyDescent="0.25">
      <c r="B409" s="49" t="s">
        <v>127</v>
      </c>
      <c r="C409" s="57">
        <v>92771</v>
      </c>
      <c r="D409" s="61" t="s">
        <v>129</v>
      </c>
      <c r="E409" s="64" t="s">
        <v>62</v>
      </c>
      <c r="F409" s="94"/>
      <c r="G409" s="104"/>
      <c r="H409" s="43"/>
      <c r="I409" s="105"/>
      <c r="J409" s="99">
        <f>'BOLETIM DE MEDIÇÃO 11'!S53-'MEMORIAL DE CALCULO 07'!K409</f>
        <v>312.29999999999995</v>
      </c>
      <c r="K409" s="81">
        <f>K410</f>
        <v>94.6</v>
      </c>
      <c r="L409" s="82">
        <f t="shared" si="0"/>
        <v>406.9</v>
      </c>
      <c r="M409" s="82">
        <f>'BOLETIM DE MEDIÇÃO 05'!G53</f>
        <v>312.3</v>
      </c>
      <c r="N409" s="86">
        <f t="shared" si="1"/>
        <v>-94.599999999999966</v>
      </c>
    </row>
    <row r="410" spans="2:14" ht="18" hidden="1" customHeight="1" x14ac:dyDescent="0.25">
      <c r="B410" s="49"/>
      <c r="C410" s="57"/>
      <c r="D410" s="143" t="s">
        <v>969</v>
      </c>
      <c r="E410" s="64"/>
      <c r="F410" s="105">
        <v>1</v>
      </c>
      <c r="G410" s="471">
        <v>94.6</v>
      </c>
      <c r="H410" s="473"/>
      <c r="I410" s="474"/>
      <c r="J410" s="99"/>
      <c r="K410" s="82">
        <f>F410*G410</f>
        <v>94.6</v>
      </c>
      <c r="L410" s="82"/>
      <c r="M410" s="82"/>
      <c r="N410" s="86"/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v>0</v>
      </c>
      <c r="K411" s="82">
        <f>K412</f>
        <v>154.80000000000001</v>
      </c>
      <c r="L411" s="82">
        <f t="shared" si="0"/>
        <v>154.80000000000001</v>
      </c>
      <c r="M411" s="82">
        <f>'BOLETIM DE MEDIÇÃO 05'!G54</f>
        <v>154.80000000000001</v>
      </c>
      <c r="N411" s="86">
        <f t="shared" si="1"/>
        <v>0</v>
      </c>
    </row>
    <row r="412" spans="2:14" ht="18" hidden="1" customHeight="1" x14ac:dyDescent="0.25">
      <c r="B412" s="49"/>
      <c r="C412" s="57"/>
      <c r="D412" s="294" t="s">
        <v>958</v>
      </c>
      <c r="E412" s="64"/>
      <c r="F412" s="105">
        <v>1</v>
      </c>
      <c r="G412" s="471">
        <v>154.80000000000001</v>
      </c>
      <c r="H412" s="473"/>
      <c r="I412" s="474"/>
      <c r="J412" s="99"/>
      <c r="K412" s="82">
        <f>F412*G412</f>
        <v>154.80000000000001</v>
      </c>
      <c r="L412" s="82"/>
      <c r="M412" s="82"/>
      <c r="N412" s="86"/>
    </row>
    <row r="413" spans="2:14" ht="14.45" customHeight="1" x14ac:dyDescent="0.25">
      <c r="B413" s="56">
        <v>1.6</v>
      </c>
      <c r="C413" s="60" t="s">
        <v>148</v>
      </c>
      <c r="D413" s="52"/>
      <c r="E413" s="64"/>
      <c r="F413" s="105"/>
      <c r="G413" s="99"/>
      <c r="H413" s="64"/>
      <c r="I413" s="105"/>
      <c r="J413" s="99"/>
      <c r="K413" s="82"/>
      <c r="L413" s="82"/>
      <c r="M413" s="82"/>
      <c r="N413" s="86"/>
    </row>
    <row r="414" spans="2:14" ht="56.25" x14ac:dyDescent="0.25">
      <c r="B414" s="49" t="s">
        <v>152</v>
      </c>
      <c r="C414" s="57">
        <v>87548</v>
      </c>
      <c r="D414" s="52" t="s">
        <v>154</v>
      </c>
      <c r="E414" s="64" t="s">
        <v>17</v>
      </c>
      <c r="F414" s="105"/>
      <c r="G414" s="99"/>
      <c r="H414" s="64"/>
      <c r="I414" s="105"/>
      <c r="J414" s="99">
        <v>0</v>
      </c>
      <c r="K414" s="81">
        <f>K415</f>
        <v>697.98</v>
      </c>
      <c r="L414" s="82">
        <f t="shared" si="0"/>
        <v>697.98</v>
      </c>
      <c r="M414" s="82">
        <f>'BOLETIM DE MEDIÇÃO 05'!G62</f>
        <v>997.11</v>
      </c>
      <c r="N414" s="86">
        <f t="shared" si="1"/>
        <v>299.13</v>
      </c>
    </row>
    <row r="415" spans="2:14" x14ac:dyDescent="0.25">
      <c r="B415" s="49"/>
      <c r="C415" s="57"/>
      <c r="D415" s="344" t="s">
        <v>972</v>
      </c>
      <c r="E415" s="64"/>
      <c r="F415" s="105">
        <v>1</v>
      </c>
      <c r="G415" s="471">
        <v>697.98</v>
      </c>
      <c r="H415" s="473"/>
      <c r="I415" s="474"/>
      <c r="J415" s="99"/>
      <c r="K415" s="82">
        <f>F415*G415</f>
        <v>697.98</v>
      </c>
      <c r="L415" s="82"/>
      <c r="M415" s="82"/>
      <c r="N415" s="86"/>
    </row>
    <row r="416" spans="2:14" x14ac:dyDescent="0.25">
      <c r="B416" s="49"/>
      <c r="C416" s="57"/>
      <c r="D416" s="344"/>
      <c r="E416" s="64"/>
      <c r="F416" s="105"/>
      <c r="G416" s="374"/>
      <c r="H416" s="374"/>
      <c r="I416" s="318"/>
      <c r="J416" s="99"/>
      <c r="K416" s="82"/>
      <c r="L416" s="82"/>
      <c r="M416" s="82"/>
      <c r="N416" s="86"/>
    </row>
    <row r="417" spans="2:14" ht="56.25" x14ac:dyDescent="0.25">
      <c r="B417" s="49" t="s">
        <v>155</v>
      </c>
      <c r="C417" s="57">
        <v>87536</v>
      </c>
      <c r="D417" s="52" t="s">
        <v>157</v>
      </c>
      <c r="E417" s="64" t="s">
        <v>17</v>
      </c>
      <c r="F417" s="105"/>
      <c r="G417" s="374"/>
      <c r="H417" s="374"/>
      <c r="I417" s="318"/>
      <c r="J417" s="99">
        <f>'BOLETIM DE MEDIÇÃO 11'!S63-'MEMORIAL DE CALCULO 07'!K417</f>
        <v>0</v>
      </c>
      <c r="K417" s="81">
        <f>K418</f>
        <v>351.87</v>
      </c>
      <c r="L417" s="82">
        <f>J417+K417</f>
        <v>351.87</v>
      </c>
      <c r="M417" s="82">
        <f>'BOLETIM DE MEDIÇÃO 11'!G63</f>
        <v>351.87</v>
      </c>
      <c r="N417" s="86">
        <f>M417-L417</f>
        <v>0</v>
      </c>
    </row>
    <row r="418" spans="2:14" x14ac:dyDescent="0.25">
      <c r="B418" s="49"/>
      <c r="C418" s="57"/>
      <c r="D418" s="344" t="s">
        <v>972</v>
      </c>
      <c r="E418" s="64"/>
      <c r="F418" s="105">
        <v>1</v>
      </c>
      <c r="G418" s="471">
        <v>351.87</v>
      </c>
      <c r="H418" s="473"/>
      <c r="I418" s="474"/>
      <c r="J418" s="99"/>
      <c r="K418" s="82">
        <f>F418*G418</f>
        <v>351.87</v>
      </c>
      <c r="L418" s="82"/>
      <c r="M418" s="82"/>
      <c r="N418" s="86"/>
    </row>
    <row r="419" spans="2:14" x14ac:dyDescent="0.25">
      <c r="B419" s="49"/>
      <c r="C419" s="57"/>
      <c r="D419" s="344"/>
      <c r="E419" s="64"/>
      <c r="F419" s="105"/>
      <c r="G419" s="374"/>
      <c r="H419" s="374"/>
      <c r="I419" s="318"/>
      <c r="J419" s="99"/>
      <c r="K419" s="82"/>
      <c r="L419" s="82"/>
      <c r="M419" s="82"/>
      <c r="N419" s="86"/>
    </row>
    <row r="420" spans="2:14" x14ac:dyDescent="0.25">
      <c r="B420" s="347" t="s">
        <v>208</v>
      </c>
      <c r="C420" s="348" t="s">
        <v>209</v>
      </c>
      <c r="D420" s="344"/>
      <c r="E420" s="64"/>
      <c r="F420" s="105"/>
      <c r="G420" s="374"/>
      <c r="H420" s="374"/>
      <c r="I420" s="318"/>
      <c r="J420" s="99"/>
      <c r="K420" s="82"/>
      <c r="L420" s="82"/>
      <c r="M420" s="82"/>
      <c r="N420" s="86"/>
    </row>
    <row r="421" spans="2:14" ht="45" x14ac:dyDescent="0.25">
      <c r="B421" s="203" t="s">
        <v>210</v>
      </c>
      <c r="C421" s="211">
        <v>87894</v>
      </c>
      <c r="D421" s="205" t="s">
        <v>212</v>
      </c>
      <c r="E421" s="64"/>
      <c r="F421" s="105"/>
      <c r="G421" s="374"/>
      <c r="H421" s="374"/>
      <c r="I421" s="318"/>
      <c r="J421" s="99">
        <f>'BOLETIM DE MEDIÇÃO 11'!S82-'MEMORIAL DE CALCULO 07'!K421</f>
        <v>145.93099999999998</v>
      </c>
      <c r="K421" s="81">
        <f>K422</f>
        <v>320.44</v>
      </c>
      <c r="L421" s="82">
        <f>J421+K421</f>
        <v>466.37099999999998</v>
      </c>
      <c r="M421" s="82">
        <f>'BOLETIM DE MEDIÇÃO 11'!G83</f>
        <v>466.37</v>
      </c>
      <c r="N421" s="86">
        <f>M421-L421</f>
        <v>-9.9999999997635314E-4</v>
      </c>
    </row>
    <row r="422" spans="2:14" x14ac:dyDescent="0.25">
      <c r="B422" s="49"/>
      <c r="C422" s="57"/>
      <c r="D422" s="344" t="s">
        <v>975</v>
      </c>
      <c r="E422" s="64"/>
      <c r="F422" s="105">
        <v>1</v>
      </c>
      <c r="G422" s="471">
        <v>320.44</v>
      </c>
      <c r="H422" s="473"/>
      <c r="I422" s="474"/>
      <c r="J422" s="99"/>
      <c r="K422" s="82">
        <f>F422*G422</f>
        <v>320.44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14.45" hidden="1" customHeight="1" x14ac:dyDescent="0.25">
      <c r="B424" s="65">
        <v>1.1000000000000001</v>
      </c>
      <c r="C424" s="65" t="s">
        <v>229</v>
      </c>
      <c r="D424" s="53"/>
      <c r="E424" s="44"/>
      <c r="F424" s="130"/>
      <c r="G424" s="121"/>
      <c r="H424" s="70"/>
      <c r="I424" s="105"/>
      <c r="J424" s="99"/>
      <c r="K424" s="82">
        <f t="shared" ref="K424:K429" si="22">(F424*G424*I424)</f>
        <v>0</v>
      </c>
      <c r="L424" s="82"/>
      <c r="M424" s="82"/>
      <c r="N424" s="86"/>
    </row>
    <row r="425" spans="2:14" ht="33.75" hidden="1" x14ac:dyDescent="0.25">
      <c r="B425" s="50" t="s">
        <v>284</v>
      </c>
      <c r="C425" s="68">
        <v>91834</v>
      </c>
      <c r="D425" s="67" t="s">
        <v>286</v>
      </c>
      <c r="E425" s="69" t="s">
        <v>37</v>
      </c>
      <c r="F425" s="312"/>
      <c r="G425" s="121"/>
      <c r="H425" s="44"/>
      <c r="I425" s="105"/>
      <c r="J425" s="99">
        <v>0</v>
      </c>
      <c r="K425" s="82">
        <f>K426</f>
        <v>150</v>
      </c>
      <c r="L425" s="82">
        <f t="shared" ref="L425:L429" si="23">J425+K425</f>
        <v>150</v>
      </c>
      <c r="M425" s="82">
        <f>'BOLETIM DE MEDIÇÃO 05'!G108</f>
        <v>830.48</v>
      </c>
      <c r="N425" s="86">
        <f t="shared" ref="N425:N429" si="24">M425-L425</f>
        <v>680.48</v>
      </c>
    </row>
    <row r="426" spans="2:14" hidden="1" x14ac:dyDescent="0.25">
      <c r="B426" s="50"/>
      <c r="C426" s="68"/>
      <c r="D426" s="344" t="s">
        <v>959</v>
      </c>
      <c r="E426" s="69"/>
      <c r="F426" s="312">
        <v>1</v>
      </c>
      <c r="G426" s="462">
        <v>150</v>
      </c>
      <c r="H426" s="463"/>
      <c r="I426" s="464"/>
      <c r="J426" s="99"/>
      <c r="K426" s="82">
        <f>F426*G426</f>
        <v>150</v>
      </c>
      <c r="L426" s="82"/>
      <c r="M426" s="82"/>
      <c r="N426" s="86"/>
    </row>
    <row r="427" spans="2:14" ht="33.75" hidden="1" x14ac:dyDescent="0.25">
      <c r="B427" s="50" t="s">
        <v>287</v>
      </c>
      <c r="C427" s="66">
        <v>91868</v>
      </c>
      <c r="D427" s="53" t="s">
        <v>289</v>
      </c>
      <c r="E427" s="69" t="s">
        <v>37</v>
      </c>
      <c r="F427" s="312"/>
      <c r="G427" s="121"/>
      <c r="H427" s="70"/>
      <c r="I427" s="105"/>
      <c r="J427" s="99">
        <f>'BOLETIM DE MEDIÇÃO 05'!O109-'MEMORIAL DE CALCULO 07'!K427</f>
        <v>0</v>
      </c>
      <c r="K427" s="82">
        <f t="shared" si="22"/>
        <v>0</v>
      </c>
      <c r="L427" s="82">
        <f t="shared" si="23"/>
        <v>0</v>
      </c>
      <c r="M427" s="82">
        <f>'BOLETIM DE MEDIÇÃO 05'!G109</f>
        <v>55.97</v>
      </c>
      <c r="N427" s="86">
        <f t="shared" si="24"/>
        <v>55.97</v>
      </c>
    </row>
    <row r="428" spans="2:14" hidden="1" x14ac:dyDescent="0.25">
      <c r="B428" s="50"/>
      <c r="C428" s="66"/>
      <c r="D428" s="53"/>
      <c r="E428" s="69"/>
      <c r="F428" s="312"/>
      <c r="G428" s="121"/>
      <c r="H428" s="70"/>
      <c r="I428" s="105"/>
      <c r="J428" s="99"/>
      <c r="K428" s="82"/>
      <c r="L428" s="82"/>
      <c r="M428" s="82"/>
      <c r="N428" s="86"/>
    </row>
    <row r="429" spans="2:14" ht="33.75" hidden="1" x14ac:dyDescent="0.25">
      <c r="B429" s="50" t="s">
        <v>290</v>
      </c>
      <c r="C429" s="66">
        <v>91867</v>
      </c>
      <c r="D429" s="53" t="s">
        <v>292</v>
      </c>
      <c r="E429" s="69" t="s">
        <v>37</v>
      </c>
      <c r="F429" s="312"/>
      <c r="G429" s="121"/>
      <c r="H429" s="70"/>
      <c r="I429" s="105"/>
      <c r="J429" s="99">
        <f>'BOLETIM DE MEDIÇÃO 05'!O110-'MEMORIAL DE CALCULO 07'!K429</f>
        <v>0</v>
      </c>
      <c r="K429" s="82">
        <f t="shared" si="22"/>
        <v>0</v>
      </c>
      <c r="L429" s="82">
        <f t="shared" si="23"/>
        <v>0</v>
      </c>
      <c r="M429" s="82">
        <f>'BOLETIM DE MEDIÇÃO 05'!G110</f>
        <v>36.19</v>
      </c>
      <c r="N429" s="86">
        <f t="shared" si="24"/>
        <v>36.19</v>
      </c>
    </row>
    <row r="430" spans="2:14" x14ac:dyDescent="0.25">
      <c r="B430" s="50"/>
      <c r="C430" s="66"/>
      <c r="D430" s="53"/>
      <c r="E430" s="69"/>
      <c r="F430" s="312"/>
      <c r="G430" s="121"/>
      <c r="H430" s="70"/>
      <c r="I430" s="105"/>
      <c r="J430" s="99"/>
      <c r="K430" s="82"/>
      <c r="L430" s="82"/>
      <c r="M430" s="82"/>
      <c r="N430" s="86"/>
    </row>
    <row r="431" spans="2:14" x14ac:dyDescent="0.25">
      <c r="B431" s="347" t="s">
        <v>312</v>
      </c>
      <c r="C431" s="349" t="s">
        <v>313</v>
      </c>
      <c r="D431" s="53"/>
      <c r="E431" s="69"/>
      <c r="F431" s="312"/>
      <c r="G431" s="121"/>
      <c r="H431" s="70"/>
      <c r="I431" s="105"/>
      <c r="J431" s="99"/>
      <c r="K431" s="82"/>
      <c r="L431" s="82"/>
      <c r="M431" s="82"/>
      <c r="N431" s="86"/>
    </row>
    <row r="432" spans="2:14" ht="22.5" x14ac:dyDescent="0.25">
      <c r="B432" s="50" t="s">
        <v>314</v>
      </c>
      <c r="C432" s="66">
        <v>96620</v>
      </c>
      <c r="D432" s="53" t="s">
        <v>316</v>
      </c>
      <c r="E432" s="217" t="s">
        <v>41</v>
      </c>
      <c r="F432" s="312"/>
      <c r="G432" s="121"/>
      <c r="H432" s="70"/>
      <c r="I432" s="105"/>
      <c r="J432" s="99">
        <f>'BOLETIM DE MEDIÇÃO 11'!S119-'MEMORIAL DE CALCULO 07'!K432</f>
        <v>18.479999999999997</v>
      </c>
      <c r="K432" s="81">
        <f>SUM(K434:K445)</f>
        <v>13.250000000000002</v>
      </c>
      <c r="L432" s="82">
        <f>J432+K432</f>
        <v>31.729999999999997</v>
      </c>
      <c r="M432" s="82">
        <f>'BOLETIM DE MEDIÇÃO 11'!G119</f>
        <v>35.340000000000003</v>
      </c>
      <c r="N432" s="86">
        <f>M432-L432</f>
        <v>3.6100000000000065</v>
      </c>
    </row>
    <row r="433" spans="2:14" x14ac:dyDescent="0.25">
      <c r="B433" s="50"/>
      <c r="C433" s="66"/>
      <c r="D433" s="187" t="s">
        <v>976</v>
      </c>
      <c r="E433" s="69"/>
      <c r="F433" s="312"/>
      <c r="G433" s="462" t="s">
        <v>838</v>
      </c>
      <c r="H433" s="465"/>
      <c r="I433" s="376" t="s">
        <v>982</v>
      </c>
      <c r="J433" s="99"/>
      <c r="K433" s="82"/>
      <c r="L433" s="82"/>
      <c r="M433" s="82"/>
      <c r="N433" s="86"/>
    </row>
    <row r="434" spans="2:14" x14ac:dyDescent="0.25">
      <c r="B434" s="50"/>
      <c r="C434" s="66"/>
      <c r="D434" s="375" t="s">
        <v>977</v>
      </c>
      <c r="E434" s="69"/>
      <c r="F434" s="312">
        <v>1</v>
      </c>
      <c r="G434" s="462">
        <v>9</v>
      </c>
      <c r="H434" s="463"/>
      <c r="I434" s="130">
        <v>0.05</v>
      </c>
      <c r="J434" s="99"/>
      <c r="K434" s="82">
        <f>F434*G434*I434</f>
        <v>0.45</v>
      </c>
      <c r="L434" s="82"/>
      <c r="M434" s="82"/>
      <c r="N434" s="86"/>
    </row>
    <row r="435" spans="2:14" x14ac:dyDescent="0.25">
      <c r="B435" s="50"/>
      <c r="C435" s="66"/>
      <c r="D435" s="375" t="s">
        <v>840</v>
      </c>
      <c r="E435" s="69"/>
      <c r="F435" s="97">
        <v>1</v>
      </c>
      <c r="G435" s="462">
        <v>7</v>
      </c>
      <c r="H435" s="465"/>
      <c r="I435" s="130">
        <v>0.05</v>
      </c>
      <c r="J435" s="99"/>
      <c r="K435" s="82">
        <f t="shared" ref="K435:K447" si="25">F435*G435*I435</f>
        <v>0.35000000000000003</v>
      </c>
      <c r="L435" s="82"/>
      <c r="M435" s="82"/>
      <c r="N435" s="86"/>
    </row>
    <row r="436" spans="2:14" x14ac:dyDescent="0.25">
      <c r="B436" s="50"/>
      <c r="C436" s="66"/>
      <c r="D436" s="375" t="s">
        <v>978</v>
      </c>
      <c r="E436" s="69"/>
      <c r="F436" s="97">
        <v>1</v>
      </c>
      <c r="G436" s="462">
        <v>3</v>
      </c>
      <c r="H436" s="465"/>
      <c r="I436" s="130">
        <v>0.05</v>
      </c>
      <c r="J436" s="99"/>
      <c r="K436" s="82">
        <f t="shared" si="25"/>
        <v>0.15000000000000002</v>
      </c>
      <c r="L436" s="82"/>
      <c r="M436" s="82"/>
      <c r="N436" s="86"/>
    </row>
    <row r="437" spans="2:14" x14ac:dyDescent="0.25">
      <c r="B437" s="50"/>
      <c r="C437" s="66"/>
      <c r="D437" s="375" t="s">
        <v>841</v>
      </c>
      <c r="E437" s="69"/>
      <c r="F437" s="97">
        <v>1</v>
      </c>
      <c r="G437" s="462">
        <v>21</v>
      </c>
      <c r="H437" s="465"/>
      <c r="I437" s="130">
        <v>0.05</v>
      </c>
      <c r="J437" s="99"/>
      <c r="K437" s="82">
        <f t="shared" si="25"/>
        <v>1.05</v>
      </c>
      <c r="L437" s="82"/>
      <c r="M437" s="82"/>
      <c r="N437" s="86"/>
    </row>
    <row r="438" spans="2:14" x14ac:dyDescent="0.25">
      <c r="B438" s="50"/>
      <c r="C438" s="66"/>
      <c r="D438" s="375" t="s">
        <v>849</v>
      </c>
      <c r="E438" s="69"/>
      <c r="F438" s="312">
        <v>1</v>
      </c>
      <c r="G438" s="463">
        <v>19</v>
      </c>
      <c r="H438" s="465"/>
      <c r="I438" s="130">
        <v>0.05</v>
      </c>
      <c r="J438" s="99"/>
      <c r="K438" s="82">
        <f t="shared" si="25"/>
        <v>0.95000000000000007</v>
      </c>
      <c r="L438" s="82"/>
      <c r="M438" s="82"/>
      <c r="N438" s="86"/>
    </row>
    <row r="439" spans="2:14" x14ac:dyDescent="0.25">
      <c r="B439" s="50"/>
      <c r="C439" s="66"/>
      <c r="D439" s="375" t="s">
        <v>979</v>
      </c>
      <c r="E439" s="69"/>
      <c r="F439" s="97">
        <v>1</v>
      </c>
      <c r="G439" s="462">
        <v>19</v>
      </c>
      <c r="H439" s="465"/>
      <c r="I439" s="130">
        <v>0.05</v>
      </c>
      <c r="J439" s="99"/>
      <c r="K439" s="82">
        <f t="shared" si="25"/>
        <v>0.95000000000000007</v>
      </c>
      <c r="L439" s="82"/>
      <c r="M439" s="82"/>
      <c r="N439" s="86"/>
    </row>
    <row r="440" spans="2:14" x14ac:dyDescent="0.25">
      <c r="B440" s="50"/>
      <c r="C440" s="66"/>
      <c r="D440" s="375" t="s">
        <v>980</v>
      </c>
      <c r="E440" s="69"/>
      <c r="F440" s="312">
        <v>1</v>
      </c>
      <c r="G440" s="463">
        <v>46</v>
      </c>
      <c r="H440" s="465"/>
      <c r="I440" s="130">
        <v>0.05</v>
      </c>
      <c r="J440" s="99"/>
      <c r="K440" s="82">
        <f t="shared" si="25"/>
        <v>2.3000000000000003</v>
      </c>
      <c r="L440" s="82"/>
      <c r="M440" s="82"/>
      <c r="N440" s="86"/>
    </row>
    <row r="441" spans="2:14" x14ac:dyDescent="0.25">
      <c r="B441" s="50"/>
      <c r="C441" s="66"/>
      <c r="D441" s="375" t="s">
        <v>846</v>
      </c>
      <c r="E441" s="69"/>
      <c r="F441" s="312">
        <v>1</v>
      </c>
      <c r="G441" s="462">
        <v>27</v>
      </c>
      <c r="H441" s="463"/>
      <c r="I441" s="130">
        <v>0.05</v>
      </c>
      <c r="J441" s="99"/>
      <c r="K441" s="82">
        <f t="shared" si="25"/>
        <v>1.35</v>
      </c>
      <c r="L441" s="82"/>
      <c r="M441" s="82"/>
      <c r="N441" s="86"/>
    </row>
    <row r="442" spans="2:14" x14ac:dyDescent="0.25">
      <c r="B442" s="50"/>
      <c r="C442" s="66"/>
      <c r="D442" s="375" t="s">
        <v>842</v>
      </c>
      <c r="E442" s="69"/>
      <c r="F442" s="312">
        <v>1</v>
      </c>
      <c r="G442" s="462">
        <v>26</v>
      </c>
      <c r="H442" s="463"/>
      <c r="I442" s="130">
        <v>0.05</v>
      </c>
      <c r="J442" s="99"/>
      <c r="K442" s="82">
        <f t="shared" si="25"/>
        <v>1.3</v>
      </c>
      <c r="L442" s="82"/>
      <c r="M442" s="82"/>
      <c r="N442" s="86"/>
    </row>
    <row r="443" spans="2:14" x14ac:dyDescent="0.25">
      <c r="B443" s="50"/>
      <c r="C443" s="66"/>
      <c r="D443" s="375" t="s">
        <v>847</v>
      </c>
      <c r="E443" s="69"/>
      <c r="F443" s="312">
        <v>1</v>
      </c>
      <c r="G443" s="462">
        <v>27</v>
      </c>
      <c r="H443" s="465"/>
      <c r="I443" s="130">
        <v>0.05</v>
      </c>
      <c r="J443" s="99"/>
      <c r="K443" s="82">
        <f t="shared" si="25"/>
        <v>1.35</v>
      </c>
      <c r="L443" s="82"/>
      <c r="M443" s="82"/>
      <c r="N443" s="86"/>
    </row>
    <row r="444" spans="2:14" x14ac:dyDescent="0.25">
      <c r="B444" s="50"/>
      <c r="C444" s="66"/>
      <c r="D444" s="375" t="s">
        <v>854</v>
      </c>
      <c r="E444" s="69"/>
      <c r="F444" s="312">
        <v>1</v>
      </c>
      <c r="G444" s="462">
        <v>41</v>
      </c>
      <c r="H444" s="465"/>
      <c r="I444" s="130">
        <v>0.05</v>
      </c>
      <c r="J444" s="99"/>
      <c r="K444" s="82">
        <f t="shared" si="25"/>
        <v>2.0500000000000003</v>
      </c>
      <c r="L444" s="82"/>
      <c r="M444" s="82"/>
      <c r="N444" s="86"/>
    </row>
    <row r="445" spans="2:14" x14ac:dyDescent="0.25">
      <c r="B445" s="50"/>
      <c r="C445" s="66"/>
      <c r="D445" s="375" t="s">
        <v>859</v>
      </c>
      <c r="E445" s="69"/>
      <c r="F445" s="312">
        <v>1</v>
      </c>
      <c r="G445" s="462">
        <v>20</v>
      </c>
      <c r="H445" s="463"/>
      <c r="I445" s="130">
        <v>0.05</v>
      </c>
      <c r="J445" s="99"/>
      <c r="K445" s="82">
        <f t="shared" si="25"/>
        <v>1</v>
      </c>
      <c r="L445" s="82"/>
      <c r="M445" s="82"/>
      <c r="N445" s="86"/>
    </row>
    <row r="446" spans="2:14" hidden="1" x14ac:dyDescent="0.25">
      <c r="B446" s="50"/>
      <c r="C446" s="66"/>
      <c r="D446" s="375" t="s">
        <v>856</v>
      </c>
      <c r="E446" s="69"/>
      <c r="F446" s="312"/>
      <c r="G446" s="462">
        <v>30</v>
      </c>
      <c r="H446" s="463"/>
      <c r="I446" s="130">
        <v>0.05</v>
      </c>
      <c r="J446" s="99"/>
      <c r="K446" s="82">
        <f t="shared" si="25"/>
        <v>0</v>
      </c>
      <c r="L446" s="82"/>
      <c r="M446" s="82"/>
      <c r="N446" s="86"/>
    </row>
    <row r="447" spans="2:14" hidden="1" x14ac:dyDescent="0.25">
      <c r="B447" s="50"/>
      <c r="C447" s="66"/>
      <c r="D447" s="375" t="s">
        <v>981</v>
      </c>
      <c r="E447" s="69"/>
      <c r="F447" s="312"/>
      <c r="G447" s="462">
        <v>30</v>
      </c>
      <c r="H447" s="465"/>
      <c r="I447" s="130">
        <v>0.05</v>
      </c>
      <c r="J447" s="99"/>
      <c r="K447" s="82">
        <f t="shared" si="25"/>
        <v>0</v>
      </c>
      <c r="L447" s="82"/>
      <c r="M447" s="82"/>
      <c r="N447" s="86"/>
    </row>
    <row r="448" spans="2:14" x14ac:dyDescent="0.25">
      <c r="B448" s="50"/>
      <c r="C448" s="66"/>
      <c r="D448" s="53"/>
      <c r="E448" s="69"/>
      <c r="F448" s="312"/>
      <c r="G448" s="121"/>
      <c r="H448" s="70"/>
      <c r="I448" s="105"/>
      <c r="J448" s="99"/>
      <c r="K448" s="82"/>
      <c r="L448" s="82"/>
      <c r="M448" s="82"/>
      <c r="N448" s="86"/>
    </row>
    <row r="449" spans="2:14" ht="56.25" x14ac:dyDescent="0.25">
      <c r="B449" s="203" t="s">
        <v>369</v>
      </c>
      <c r="C449" s="211">
        <v>91785</v>
      </c>
      <c r="D449" s="205" t="s">
        <v>371</v>
      </c>
      <c r="E449" s="217" t="s">
        <v>37</v>
      </c>
      <c r="F449" s="312"/>
      <c r="G449" s="121"/>
      <c r="H449" s="70"/>
      <c r="I449" s="105"/>
      <c r="J449" s="99">
        <f>'BOLETIM DE MEDIÇÃO 11'!S138-'MEMORIAL DE CALCULO 07'!K449</f>
        <v>69.138999999999996</v>
      </c>
      <c r="K449" s="81">
        <f>K450</f>
        <v>29.630999999999997</v>
      </c>
      <c r="L449" s="82">
        <f>J449+K449</f>
        <v>98.77</v>
      </c>
      <c r="M449" s="206">
        <v>98.77</v>
      </c>
      <c r="N449" s="86">
        <f>M449-L449</f>
        <v>0</v>
      </c>
    </row>
    <row r="450" spans="2:14" x14ac:dyDescent="0.25">
      <c r="B450" s="203"/>
      <c r="C450" s="211"/>
      <c r="D450" s="377" t="s">
        <v>984</v>
      </c>
      <c r="E450" s="217"/>
      <c r="F450" s="312">
        <v>1</v>
      </c>
      <c r="G450" s="462">
        <f>0.3*98.77</f>
        <v>29.630999999999997</v>
      </c>
      <c r="H450" s="463"/>
      <c r="I450" s="464"/>
      <c r="J450" s="99"/>
      <c r="K450" s="82">
        <f>G450</f>
        <v>29.630999999999997</v>
      </c>
      <c r="L450" s="82"/>
      <c r="M450" s="206"/>
      <c r="N450" s="86"/>
    </row>
    <row r="451" spans="2:14" x14ac:dyDescent="0.25">
      <c r="B451" s="203"/>
      <c r="C451" s="211"/>
      <c r="D451" s="205"/>
      <c r="E451" s="217"/>
      <c r="F451" s="312"/>
      <c r="G451" s="121"/>
      <c r="H451" s="70"/>
      <c r="I451" s="105"/>
      <c r="J451" s="99"/>
      <c r="K451" s="82"/>
      <c r="L451" s="82"/>
      <c r="M451" s="206"/>
      <c r="N451" s="86"/>
    </row>
    <row r="452" spans="2:14" ht="56.25" x14ac:dyDescent="0.25">
      <c r="B452" s="203" t="s">
        <v>372</v>
      </c>
      <c r="C452" s="211">
        <v>91784</v>
      </c>
      <c r="D452" s="205" t="s">
        <v>374</v>
      </c>
      <c r="E452" s="217" t="s">
        <v>37</v>
      </c>
      <c r="F452" s="312"/>
      <c r="G452" s="121"/>
      <c r="H452" s="70"/>
      <c r="I452" s="105"/>
      <c r="J452" s="99">
        <f>'BOLETIM DE MEDIÇÃO 11'!S139-'MEMORIAL DE CALCULO 07'!K452</f>
        <v>43.519000000000005</v>
      </c>
      <c r="K452" s="81">
        <f>K453</f>
        <v>18.651</v>
      </c>
      <c r="L452" s="82">
        <f t="shared" ref="L452:L512" si="26">J452+K452</f>
        <v>62.17</v>
      </c>
      <c r="M452" s="206">
        <v>62.17</v>
      </c>
      <c r="N452" s="86">
        <f>M452-L452</f>
        <v>0</v>
      </c>
    </row>
    <row r="453" spans="2:14" x14ac:dyDescent="0.25">
      <c r="B453" s="203"/>
      <c r="C453" s="211"/>
      <c r="D453" s="377" t="s">
        <v>984</v>
      </c>
      <c r="E453" s="217"/>
      <c r="F453" s="312">
        <v>1</v>
      </c>
      <c r="G453" s="462">
        <f>0.3*62.17</f>
        <v>18.651</v>
      </c>
      <c r="H453" s="463"/>
      <c r="I453" s="464"/>
      <c r="J453" s="99"/>
      <c r="K453" s="82">
        <f>G453</f>
        <v>18.651</v>
      </c>
      <c r="L453" s="82"/>
      <c r="M453" s="206"/>
      <c r="N453" s="86"/>
    </row>
    <row r="454" spans="2:14" x14ac:dyDescent="0.25">
      <c r="B454" s="203"/>
      <c r="C454" s="211"/>
      <c r="D454" s="205"/>
      <c r="E454" s="217"/>
      <c r="F454" s="312"/>
      <c r="G454" s="121"/>
      <c r="H454" s="70"/>
      <c r="I454" s="105"/>
      <c r="J454" s="99"/>
      <c r="K454" s="82"/>
      <c r="L454" s="82"/>
      <c r="M454" s="206"/>
      <c r="N454" s="86"/>
    </row>
    <row r="455" spans="2:14" ht="56.25" x14ac:dyDescent="0.25">
      <c r="B455" s="203" t="s">
        <v>375</v>
      </c>
      <c r="C455" s="211">
        <v>91786</v>
      </c>
      <c r="D455" s="205" t="s">
        <v>377</v>
      </c>
      <c r="E455" s="217" t="s">
        <v>37</v>
      </c>
      <c r="F455" s="312"/>
      <c r="G455" s="121"/>
      <c r="H455" s="70"/>
      <c r="I455" s="105"/>
      <c r="J455" s="99">
        <f>'BOLETIM DE MEDIÇÃO 11'!S140-'MEMORIAL DE CALCULO 07'!K455</f>
        <v>17.324999999999999</v>
      </c>
      <c r="K455" s="81">
        <f>K456</f>
        <v>7.4249999999999998</v>
      </c>
      <c r="L455" s="82">
        <f t="shared" si="26"/>
        <v>24.75</v>
      </c>
      <c r="M455" s="206">
        <v>24.75</v>
      </c>
      <c r="N455" s="86">
        <f>M455-L455</f>
        <v>0</v>
      </c>
    </row>
    <row r="456" spans="2:14" x14ac:dyDescent="0.25">
      <c r="B456" s="203"/>
      <c r="C456" s="211"/>
      <c r="D456" s="377" t="s">
        <v>984</v>
      </c>
      <c r="E456" s="217"/>
      <c r="F456" s="312">
        <v>1</v>
      </c>
      <c r="G456" s="462">
        <f>0.3*24.75</f>
        <v>7.4249999999999998</v>
      </c>
      <c r="H456" s="463"/>
      <c r="I456" s="464"/>
      <c r="J456" s="99"/>
      <c r="K456" s="82">
        <f>G456</f>
        <v>7.4249999999999998</v>
      </c>
      <c r="L456" s="82"/>
      <c r="M456" s="206"/>
      <c r="N456" s="86"/>
    </row>
    <row r="457" spans="2:14" x14ac:dyDescent="0.25">
      <c r="B457" s="203"/>
      <c r="C457" s="211"/>
      <c r="D457" s="205"/>
      <c r="E457" s="217"/>
      <c r="F457" s="312"/>
      <c r="G457" s="121"/>
      <c r="H457" s="70"/>
      <c r="I457" s="105"/>
      <c r="J457" s="99"/>
      <c r="K457" s="82"/>
      <c r="L457" s="82"/>
      <c r="M457" s="206"/>
      <c r="N457" s="86"/>
    </row>
    <row r="458" spans="2:14" ht="56.25" x14ac:dyDescent="0.25">
      <c r="B458" s="203" t="s">
        <v>378</v>
      </c>
      <c r="C458" s="211">
        <v>91787</v>
      </c>
      <c r="D458" s="205" t="s">
        <v>380</v>
      </c>
      <c r="E458" s="217" t="s">
        <v>37</v>
      </c>
      <c r="F458" s="312"/>
      <c r="G458" s="121"/>
      <c r="H458" s="70"/>
      <c r="I458" s="105"/>
      <c r="J458" s="99">
        <f>'BOLETIM DE MEDIÇÃO 11'!S141-'MEMORIAL DE CALCULO 07'!K458</f>
        <v>18.144000000000002</v>
      </c>
      <c r="K458" s="81">
        <f>K459</f>
        <v>7.7759999999999998</v>
      </c>
      <c r="L458" s="82">
        <f t="shared" si="26"/>
        <v>25.92</v>
      </c>
      <c r="M458" s="206">
        <v>25.92</v>
      </c>
      <c r="N458" s="86">
        <f>M458-L458</f>
        <v>0</v>
      </c>
    </row>
    <row r="459" spans="2:14" x14ac:dyDescent="0.25">
      <c r="B459" s="203"/>
      <c r="C459" s="211"/>
      <c r="D459" s="377" t="s">
        <v>984</v>
      </c>
      <c r="E459" s="217"/>
      <c r="F459" s="312">
        <v>1</v>
      </c>
      <c r="G459" s="462">
        <f>0.3*25.92</f>
        <v>7.7759999999999998</v>
      </c>
      <c r="H459" s="463"/>
      <c r="I459" s="464"/>
      <c r="J459" s="99"/>
      <c r="K459" s="82">
        <f>G459</f>
        <v>7.7759999999999998</v>
      </c>
      <c r="L459" s="82"/>
      <c r="M459" s="206"/>
      <c r="N459" s="86"/>
    </row>
    <row r="460" spans="2:14" x14ac:dyDescent="0.25">
      <c r="B460" s="203"/>
      <c r="C460" s="211"/>
      <c r="D460" s="205"/>
      <c r="E460" s="217"/>
      <c r="F460" s="312"/>
      <c r="G460" s="121"/>
      <c r="H460" s="70"/>
      <c r="I460" s="105"/>
      <c r="J460" s="99"/>
      <c r="K460" s="82"/>
      <c r="L460" s="82"/>
      <c r="M460" s="206"/>
      <c r="N460" s="86"/>
    </row>
    <row r="461" spans="2:14" ht="33.75" x14ac:dyDescent="0.25">
      <c r="B461" s="203" t="s">
        <v>381</v>
      </c>
      <c r="C461" s="211">
        <v>89987</v>
      </c>
      <c r="D461" s="205" t="s">
        <v>383</v>
      </c>
      <c r="E461" s="217" t="s">
        <v>166</v>
      </c>
      <c r="F461" s="312"/>
      <c r="G461" s="121"/>
      <c r="H461" s="70"/>
      <c r="I461" s="105"/>
      <c r="J461" s="99">
        <f>'BOLETIM DE MEDIÇÃO 11'!S142-'MEMORIAL DE CALCULO 07'!K461</f>
        <v>7</v>
      </c>
      <c r="K461" s="81">
        <f>K462</f>
        <v>3</v>
      </c>
      <c r="L461" s="82">
        <f t="shared" si="26"/>
        <v>10</v>
      </c>
      <c r="M461" s="206">
        <v>10</v>
      </c>
      <c r="N461" s="86">
        <f>M461-L461</f>
        <v>0</v>
      </c>
    </row>
    <row r="462" spans="2:14" x14ac:dyDescent="0.25">
      <c r="B462" s="203"/>
      <c r="C462" s="211"/>
      <c r="D462" s="377" t="s">
        <v>984</v>
      </c>
      <c r="E462" s="217"/>
      <c r="F462" s="312">
        <v>1</v>
      </c>
      <c r="G462" s="462">
        <f>0.3*10</f>
        <v>3</v>
      </c>
      <c r="H462" s="463"/>
      <c r="I462" s="464"/>
      <c r="J462" s="99"/>
      <c r="K462" s="82">
        <f>G462</f>
        <v>3</v>
      </c>
      <c r="L462" s="82"/>
      <c r="M462" s="206"/>
      <c r="N462" s="86"/>
    </row>
    <row r="463" spans="2:14" x14ac:dyDescent="0.25">
      <c r="B463" s="203"/>
      <c r="C463" s="211"/>
      <c r="D463" s="205"/>
      <c r="E463" s="217"/>
      <c r="F463" s="312"/>
      <c r="G463" s="121"/>
      <c r="H463" s="70"/>
      <c r="I463" s="105"/>
      <c r="J463" s="99"/>
      <c r="K463" s="82"/>
      <c r="L463" s="82"/>
      <c r="M463" s="206"/>
      <c r="N463" s="86"/>
    </row>
    <row r="464" spans="2:14" ht="22.5" x14ac:dyDescent="0.25">
      <c r="B464" s="203" t="s">
        <v>384</v>
      </c>
      <c r="C464" s="211">
        <v>94490</v>
      </c>
      <c r="D464" s="205" t="s">
        <v>386</v>
      </c>
      <c r="E464" s="217" t="s">
        <v>166</v>
      </c>
      <c r="F464" s="312"/>
      <c r="G464" s="121"/>
      <c r="H464" s="70"/>
      <c r="I464" s="105"/>
      <c r="J464" s="99">
        <f>'BOLETIM DE MEDIÇÃO 11'!S143-'MEMORIAL DE CALCULO 07'!K464</f>
        <v>-1</v>
      </c>
      <c r="K464" s="81">
        <f>K465</f>
        <v>1</v>
      </c>
      <c r="L464" s="82">
        <f t="shared" si="26"/>
        <v>0</v>
      </c>
      <c r="M464" s="206">
        <v>2</v>
      </c>
      <c r="N464" s="86">
        <f>M464-L464</f>
        <v>2</v>
      </c>
    </row>
    <row r="465" spans="2:14" x14ac:dyDescent="0.25">
      <c r="B465" s="203"/>
      <c r="C465" s="211"/>
      <c r="D465" s="377" t="s">
        <v>983</v>
      </c>
      <c r="E465" s="217"/>
      <c r="F465" s="312">
        <v>1</v>
      </c>
      <c r="G465" s="462">
        <v>1</v>
      </c>
      <c r="H465" s="463"/>
      <c r="I465" s="464"/>
      <c r="J465" s="99"/>
      <c r="K465" s="82">
        <v>1</v>
      </c>
      <c r="L465" s="82"/>
      <c r="M465" s="206"/>
      <c r="N465" s="86"/>
    </row>
    <row r="466" spans="2:14" x14ac:dyDescent="0.25">
      <c r="B466" s="203"/>
      <c r="C466" s="211"/>
      <c r="D466" s="205"/>
      <c r="E466" s="217"/>
      <c r="F466" s="312"/>
      <c r="G466" s="121"/>
      <c r="H466" s="70"/>
      <c r="I466" s="105"/>
      <c r="J466" s="99"/>
      <c r="K466" s="82"/>
      <c r="L466" s="82"/>
      <c r="M466" s="206"/>
      <c r="N466" s="86"/>
    </row>
    <row r="467" spans="2:14" ht="33.75" x14ac:dyDescent="0.25">
      <c r="B467" s="203" t="s">
        <v>387</v>
      </c>
      <c r="C467" s="211">
        <v>89985</v>
      </c>
      <c r="D467" s="205" t="s">
        <v>389</v>
      </c>
      <c r="E467" s="217" t="s">
        <v>166</v>
      </c>
      <c r="F467" s="312"/>
      <c r="G467" s="121"/>
      <c r="H467" s="70"/>
      <c r="I467" s="105"/>
      <c r="J467" s="99">
        <f>'BOLETIM DE MEDIÇÃO 11'!S144-'MEMORIAL DE CALCULO 07'!K467</f>
        <v>3</v>
      </c>
      <c r="K467" s="81">
        <f>K468</f>
        <v>3</v>
      </c>
      <c r="L467" s="82">
        <f t="shared" si="26"/>
        <v>6</v>
      </c>
      <c r="M467" s="206">
        <v>6</v>
      </c>
      <c r="N467" s="86">
        <f>M467-L467</f>
        <v>0</v>
      </c>
    </row>
    <row r="468" spans="2:14" x14ac:dyDescent="0.25">
      <c r="B468" s="203"/>
      <c r="C468" s="211"/>
      <c r="D468" s="377" t="s">
        <v>983</v>
      </c>
      <c r="E468" s="217"/>
      <c r="F468" s="312">
        <v>1</v>
      </c>
      <c r="G468" s="462">
        <v>3</v>
      </c>
      <c r="H468" s="463"/>
      <c r="I468" s="464"/>
      <c r="J468" s="99"/>
      <c r="K468" s="82">
        <f>G468</f>
        <v>3</v>
      </c>
      <c r="L468" s="82"/>
      <c r="M468" s="206"/>
      <c r="N468" s="86"/>
    </row>
    <row r="469" spans="2:14" x14ac:dyDescent="0.25">
      <c r="B469" s="203"/>
      <c r="C469" s="211"/>
      <c r="D469" s="205"/>
      <c r="E469" s="217"/>
      <c r="F469" s="312"/>
      <c r="G469" s="121"/>
      <c r="H469" s="70"/>
      <c r="I469" s="105"/>
      <c r="J469" s="99"/>
      <c r="K469" s="82"/>
      <c r="L469" s="82"/>
      <c r="M469" s="206"/>
      <c r="N469" s="86"/>
    </row>
    <row r="470" spans="2:14" ht="33.75" hidden="1" x14ac:dyDescent="0.25">
      <c r="B470" s="203" t="s">
        <v>390</v>
      </c>
      <c r="C470" s="211">
        <v>102613</v>
      </c>
      <c r="D470" s="205" t="s">
        <v>392</v>
      </c>
      <c r="E470" s="217" t="s">
        <v>166</v>
      </c>
      <c r="F470" s="312"/>
      <c r="G470" s="121"/>
      <c r="H470" s="70"/>
      <c r="I470" s="105"/>
      <c r="J470" s="99">
        <f>'BOLETIM DE MEDIÇÃO 11'!S145-'MEMORIAL DE CALCULO 07'!K470</f>
        <v>2</v>
      </c>
      <c r="K470" s="82"/>
      <c r="L470" s="82">
        <f t="shared" si="26"/>
        <v>2</v>
      </c>
      <c r="M470" s="206">
        <v>2</v>
      </c>
      <c r="N470" s="86"/>
    </row>
    <row r="471" spans="2:14" hidden="1" x14ac:dyDescent="0.25">
      <c r="B471" s="203"/>
      <c r="C471" s="211"/>
      <c r="D471" s="205"/>
      <c r="E471" s="217"/>
      <c r="F471" s="312"/>
      <c r="G471" s="121"/>
      <c r="H471" s="70"/>
      <c r="I471" s="105"/>
      <c r="J471" s="99"/>
      <c r="K471" s="82"/>
      <c r="L471" s="82"/>
      <c r="M471" s="206"/>
      <c r="N471" s="86"/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/>
    </row>
    <row r="473" spans="2:14" ht="22.5" hidden="1" x14ac:dyDescent="0.25">
      <c r="B473" s="203" t="s">
        <v>393</v>
      </c>
      <c r="C473" s="211">
        <v>102609</v>
      </c>
      <c r="D473" s="205" t="s">
        <v>395</v>
      </c>
      <c r="E473" s="217" t="s">
        <v>166</v>
      </c>
      <c r="F473" s="312"/>
      <c r="G473" s="121"/>
      <c r="H473" s="70"/>
      <c r="I473" s="105"/>
      <c r="J473" s="99">
        <f>'BOLETIM DE MEDIÇÃO 11'!S146-'MEMORIAL DE CALCULO 07'!K473</f>
        <v>2</v>
      </c>
      <c r="K473" s="82"/>
      <c r="L473" s="82">
        <f t="shared" si="26"/>
        <v>2</v>
      </c>
      <c r="M473" s="206">
        <v>2</v>
      </c>
      <c r="N473" s="86"/>
    </row>
    <row r="474" spans="2:14" hidden="1" x14ac:dyDescent="0.25">
      <c r="B474" s="203"/>
      <c r="C474" s="211"/>
      <c r="D474" s="205"/>
      <c r="E474" s="217"/>
      <c r="F474" s="312"/>
      <c r="G474" s="121"/>
      <c r="H474" s="70"/>
      <c r="I474" s="105"/>
      <c r="J474" s="99"/>
      <c r="K474" s="82"/>
      <c r="L474" s="82"/>
      <c r="M474" s="206"/>
      <c r="N474" s="86"/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/>
    </row>
    <row r="476" spans="2:14" ht="22.5" hidden="1" x14ac:dyDescent="0.25">
      <c r="B476" s="203" t="s">
        <v>396</v>
      </c>
      <c r="C476" s="211">
        <v>94796</v>
      </c>
      <c r="D476" s="205" t="s">
        <v>398</v>
      </c>
      <c r="E476" s="217" t="s">
        <v>166</v>
      </c>
      <c r="F476" s="312"/>
      <c r="G476" s="121"/>
      <c r="H476" s="70"/>
      <c r="I476" s="105"/>
      <c r="J476" s="99">
        <f>'BOLETIM DE MEDIÇÃO 11'!S147-'MEMORIAL DE CALCULO 07'!K476</f>
        <v>0</v>
      </c>
      <c r="K476" s="82"/>
      <c r="L476" s="82">
        <f t="shared" si="26"/>
        <v>0</v>
      </c>
      <c r="M476" s="206">
        <v>4</v>
      </c>
      <c r="N476" s="86"/>
    </row>
    <row r="477" spans="2:14" hidden="1" x14ac:dyDescent="0.25">
      <c r="B477" s="203"/>
      <c r="C477" s="211"/>
      <c r="D477" s="205"/>
      <c r="E477" s="217"/>
      <c r="F477" s="312"/>
      <c r="G477" s="121"/>
      <c r="H477" s="70"/>
      <c r="I477" s="105"/>
      <c r="J477" s="99"/>
      <c r="K477" s="82"/>
      <c r="L477" s="82"/>
      <c r="M477" s="206"/>
      <c r="N477" s="86"/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/>
    </row>
    <row r="479" spans="2:14" ht="22.5" hidden="1" x14ac:dyDescent="0.25">
      <c r="B479" s="203" t="s">
        <v>399</v>
      </c>
      <c r="C479" s="211">
        <v>94491</v>
      </c>
      <c r="D479" s="205" t="s">
        <v>401</v>
      </c>
      <c r="E479" s="217" t="s">
        <v>166</v>
      </c>
      <c r="F479" s="312"/>
      <c r="G479" s="121"/>
      <c r="H479" s="70"/>
      <c r="I479" s="105"/>
      <c r="J479" s="99">
        <f>'BOLETIM DE MEDIÇÃO 11'!S148-'MEMORIAL DE CALCULO 07'!K479</f>
        <v>0</v>
      </c>
      <c r="K479" s="82"/>
      <c r="L479" s="82">
        <f t="shared" si="26"/>
        <v>0</v>
      </c>
      <c r="M479" s="206">
        <v>4</v>
      </c>
      <c r="N479" s="86"/>
    </row>
    <row r="480" spans="2:14" hidden="1" x14ac:dyDescent="0.25">
      <c r="B480" s="203"/>
      <c r="C480" s="211"/>
      <c r="D480" s="205"/>
      <c r="E480" s="217"/>
      <c r="F480" s="312"/>
      <c r="G480" s="121"/>
      <c r="H480" s="70"/>
      <c r="I480" s="105"/>
      <c r="J480" s="99"/>
      <c r="K480" s="82"/>
      <c r="L480" s="82"/>
      <c r="M480" s="206"/>
      <c r="N480" s="86"/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/>
    </row>
    <row r="482" spans="2:14" ht="22.5" hidden="1" x14ac:dyDescent="0.25">
      <c r="B482" s="203" t="s">
        <v>402</v>
      </c>
      <c r="C482" s="211">
        <v>94492</v>
      </c>
      <c r="D482" s="205" t="s">
        <v>404</v>
      </c>
      <c r="E482" s="217" t="s">
        <v>166</v>
      </c>
      <c r="F482" s="312"/>
      <c r="G482" s="121"/>
      <c r="H482" s="70"/>
      <c r="I482" s="105"/>
      <c r="J482" s="99">
        <f>'BOLETIM DE MEDIÇÃO 11'!S149-'MEMORIAL DE CALCULO 07'!K482</f>
        <v>0</v>
      </c>
      <c r="K482" s="82"/>
      <c r="L482" s="82">
        <f t="shared" si="26"/>
        <v>0</v>
      </c>
      <c r="M482" s="206">
        <v>2</v>
      </c>
      <c r="N482" s="86"/>
    </row>
    <row r="483" spans="2:14" hidden="1" x14ac:dyDescent="0.25">
      <c r="B483" s="203"/>
      <c r="C483" s="211"/>
      <c r="D483" s="205"/>
      <c r="E483" s="217"/>
      <c r="F483" s="312"/>
      <c r="G483" s="121"/>
      <c r="H483" s="70"/>
      <c r="I483" s="105"/>
      <c r="J483" s="99"/>
      <c r="K483" s="82"/>
      <c r="L483" s="82"/>
      <c r="M483" s="206"/>
      <c r="N483" s="86"/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/>
    </row>
    <row r="485" spans="2:14" ht="22.5" hidden="1" x14ac:dyDescent="0.25">
      <c r="B485" s="203" t="s">
        <v>405</v>
      </c>
      <c r="C485" s="211">
        <v>95675</v>
      </c>
      <c r="D485" s="205" t="s">
        <v>407</v>
      </c>
      <c r="E485" s="217" t="s">
        <v>166</v>
      </c>
      <c r="F485" s="312"/>
      <c r="G485" s="121"/>
      <c r="H485" s="70"/>
      <c r="I485" s="105"/>
      <c r="J485" s="99">
        <f>'BOLETIM DE MEDIÇÃO 11'!S150-'MEMORIAL DE CALCULO 07'!K485</f>
        <v>0</v>
      </c>
      <c r="K485" s="82"/>
      <c r="L485" s="82">
        <f t="shared" si="26"/>
        <v>0</v>
      </c>
      <c r="M485" s="206">
        <v>1</v>
      </c>
      <c r="N485" s="86"/>
    </row>
    <row r="486" spans="2:14" hidden="1" x14ac:dyDescent="0.25">
      <c r="B486" s="203"/>
      <c r="C486" s="211"/>
      <c r="D486" s="205"/>
      <c r="E486" s="217"/>
      <c r="F486" s="312"/>
      <c r="G486" s="121"/>
      <c r="H486" s="70"/>
      <c r="I486" s="105"/>
      <c r="J486" s="99"/>
      <c r="K486" s="82"/>
      <c r="L486" s="82"/>
      <c r="M486" s="206"/>
      <c r="N486" s="86"/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/>
    </row>
    <row r="488" spans="2:14" ht="45" hidden="1" x14ac:dyDescent="0.25">
      <c r="B488" s="203" t="s">
        <v>408</v>
      </c>
      <c r="C488" s="211">
        <v>97902</v>
      </c>
      <c r="D488" s="205" t="s">
        <v>410</v>
      </c>
      <c r="E488" s="217" t="s">
        <v>166</v>
      </c>
      <c r="F488" s="312"/>
      <c r="G488" s="121"/>
      <c r="H488" s="70"/>
      <c r="I488" s="105"/>
      <c r="J488" s="99">
        <f>'BOLETIM DE MEDIÇÃO 11'!S151-'MEMORIAL DE CALCULO 07'!K488</f>
        <v>7</v>
      </c>
      <c r="K488" s="82"/>
      <c r="L488" s="82">
        <f t="shared" si="26"/>
        <v>7</v>
      </c>
      <c r="M488" s="206">
        <v>7</v>
      </c>
      <c r="N488" s="86"/>
    </row>
    <row r="489" spans="2:14" hidden="1" x14ac:dyDescent="0.25">
      <c r="B489" s="203"/>
      <c r="C489" s="211"/>
      <c r="D489" s="205"/>
      <c r="E489" s="217"/>
      <c r="F489" s="312"/>
      <c r="G489" s="121"/>
      <c r="H489" s="70"/>
      <c r="I489" s="105"/>
      <c r="J489" s="99"/>
      <c r="K489" s="82"/>
      <c r="L489" s="82"/>
      <c r="M489" s="206"/>
      <c r="N489" s="86"/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/>
    </row>
    <row r="491" spans="2:14" ht="45" hidden="1" x14ac:dyDescent="0.25">
      <c r="B491" s="203" t="s">
        <v>411</v>
      </c>
      <c r="C491" s="211">
        <v>99258</v>
      </c>
      <c r="D491" s="205" t="s">
        <v>413</v>
      </c>
      <c r="E491" s="217" t="s">
        <v>166</v>
      </c>
      <c r="F491" s="312"/>
      <c r="G491" s="121"/>
      <c r="H491" s="70"/>
      <c r="I491" s="105"/>
      <c r="J491" s="99">
        <f>'BOLETIM DE MEDIÇÃO 11'!S152-'MEMORIAL DE CALCULO 07'!K491</f>
        <v>1</v>
      </c>
      <c r="K491" s="82"/>
      <c r="L491" s="82">
        <f t="shared" si="26"/>
        <v>1</v>
      </c>
      <c r="M491" s="206">
        <v>1</v>
      </c>
      <c r="N491" s="86"/>
    </row>
    <row r="492" spans="2:14" hidden="1" x14ac:dyDescent="0.25">
      <c r="B492" s="203"/>
      <c r="C492" s="211"/>
      <c r="D492" s="205"/>
      <c r="E492" s="217"/>
      <c r="F492" s="312"/>
      <c r="G492" s="121"/>
      <c r="H492" s="70"/>
      <c r="I492" s="105"/>
      <c r="J492" s="99"/>
      <c r="K492" s="82"/>
      <c r="L492" s="82"/>
      <c r="M492" s="206"/>
      <c r="N492" s="86"/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/>
    </row>
    <row r="494" spans="2:14" ht="33.75" hidden="1" x14ac:dyDescent="0.25">
      <c r="B494" s="203" t="s">
        <v>414</v>
      </c>
      <c r="C494" s="211">
        <v>89482</v>
      </c>
      <c r="D494" s="205" t="s">
        <v>416</v>
      </c>
      <c r="E494" s="217" t="s">
        <v>166</v>
      </c>
      <c r="F494" s="312"/>
      <c r="G494" s="121"/>
      <c r="H494" s="70"/>
      <c r="I494" s="105"/>
      <c r="J494" s="99">
        <f>'BOLETIM DE MEDIÇÃO 11'!S153-'MEMORIAL DE CALCULO 07'!K494</f>
        <v>10</v>
      </c>
      <c r="K494" s="82"/>
      <c r="L494" s="82">
        <f t="shared" si="26"/>
        <v>10</v>
      </c>
      <c r="M494" s="206">
        <v>10</v>
      </c>
      <c r="N494" s="86"/>
    </row>
    <row r="495" spans="2:14" hidden="1" x14ac:dyDescent="0.25">
      <c r="B495" s="203"/>
      <c r="C495" s="211"/>
      <c r="D495" s="205"/>
      <c r="E495" s="217"/>
      <c r="F495" s="312"/>
      <c r="G495" s="121"/>
      <c r="H495" s="70"/>
      <c r="I495" s="105"/>
      <c r="J495" s="99"/>
      <c r="K495" s="82"/>
      <c r="L495" s="82"/>
      <c r="M495" s="206"/>
      <c r="N495" s="86"/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/>
    </row>
    <row r="497" spans="2:14" ht="56.25" x14ac:dyDescent="0.25">
      <c r="B497" s="203" t="s">
        <v>417</v>
      </c>
      <c r="C497" s="211">
        <v>91792</v>
      </c>
      <c r="D497" s="205" t="s">
        <v>419</v>
      </c>
      <c r="E497" s="217" t="s">
        <v>37</v>
      </c>
      <c r="F497" s="312"/>
      <c r="G497" s="121"/>
      <c r="H497" s="70"/>
      <c r="I497" s="105"/>
      <c r="J497" s="99">
        <f>'BOLETIM DE MEDIÇÃO 11'!S154-'MEMORIAL DE CALCULO 07'!K497</f>
        <v>27.195</v>
      </c>
      <c r="K497" s="81">
        <f>K498</f>
        <v>11.654999999999999</v>
      </c>
      <c r="L497" s="82">
        <f t="shared" si="26"/>
        <v>38.85</v>
      </c>
      <c r="M497" s="206">
        <v>38.85</v>
      </c>
      <c r="N497" s="86"/>
    </row>
    <row r="498" spans="2:14" x14ac:dyDescent="0.25">
      <c r="B498" s="203"/>
      <c r="C498" s="211"/>
      <c r="D498" s="377" t="s">
        <v>984</v>
      </c>
      <c r="E498" s="217"/>
      <c r="F498" s="312">
        <v>1</v>
      </c>
      <c r="G498" s="462">
        <f>0.3*38.85</f>
        <v>11.654999999999999</v>
      </c>
      <c r="H498" s="463"/>
      <c r="I498" s="464"/>
      <c r="J498" s="99"/>
      <c r="K498" s="82">
        <f>G498</f>
        <v>11.654999999999999</v>
      </c>
      <c r="L498" s="82"/>
      <c r="M498" s="206"/>
      <c r="N498" s="86"/>
    </row>
    <row r="499" spans="2:14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/>
    </row>
    <row r="500" spans="2:14" ht="56.25" x14ac:dyDescent="0.25">
      <c r="B500" s="203" t="s">
        <v>420</v>
      </c>
      <c r="C500" s="211">
        <v>91793</v>
      </c>
      <c r="D500" s="205" t="s">
        <v>422</v>
      </c>
      <c r="E500" s="217" t="s">
        <v>37</v>
      </c>
      <c r="F500" s="312"/>
      <c r="G500" s="121"/>
      <c r="H500" s="70"/>
      <c r="I500" s="105"/>
      <c r="J500" s="99">
        <f>'BOLETIM DE MEDIÇÃO 11'!S155-'MEMORIAL DE CALCULO 07'!K500</f>
        <v>32.557000000000002</v>
      </c>
      <c r="K500" s="81">
        <f>K501</f>
        <v>13.952999999999999</v>
      </c>
      <c r="L500" s="82">
        <f t="shared" si="26"/>
        <v>46.510000000000005</v>
      </c>
      <c r="M500" s="206">
        <v>46.51</v>
      </c>
      <c r="N500" s="86"/>
    </row>
    <row r="501" spans="2:14" x14ac:dyDescent="0.25">
      <c r="B501" s="203"/>
      <c r="C501" s="211"/>
      <c r="D501" s="377" t="s">
        <v>984</v>
      </c>
      <c r="E501" s="217"/>
      <c r="F501" s="312">
        <v>1</v>
      </c>
      <c r="G501" s="462">
        <f>0.3*46.51</f>
        <v>13.952999999999999</v>
      </c>
      <c r="H501" s="463"/>
      <c r="I501" s="464"/>
      <c r="J501" s="99"/>
      <c r="K501" s="82">
        <f>G501</f>
        <v>13.952999999999999</v>
      </c>
      <c r="L501" s="82"/>
      <c r="M501" s="206"/>
      <c r="N501" s="86"/>
    </row>
    <row r="502" spans="2:14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/>
    </row>
    <row r="503" spans="2:14" ht="45" hidden="1" x14ac:dyDescent="0.25">
      <c r="B503" s="203" t="s">
        <v>423</v>
      </c>
      <c r="C503" s="211">
        <v>98107</v>
      </c>
      <c r="D503" s="205" t="s">
        <v>425</v>
      </c>
      <c r="E503" s="217" t="s">
        <v>166</v>
      </c>
      <c r="F503" s="312"/>
      <c r="G503" s="121"/>
      <c r="H503" s="70"/>
      <c r="I503" s="105"/>
      <c r="J503" s="99">
        <f>'BOLETIM DE MEDIÇÃO 11'!S156-'MEMORIAL DE CALCULO 07'!K503</f>
        <v>1</v>
      </c>
      <c r="K503" s="82"/>
      <c r="L503" s="82">
        <f t="shared" si="26"/>
        <v>1</v>
      </c>
      <c r="M503" s="206">
        <v>1</v>
      </c>
      <c r="N503" s="86"/>
    </row>
    <row r="504" spans="2:14" hidden="1" x14ac:dyDescent="0.25">
      <c r="B504" s="203"/>
      <c r="C504" s="211"/>
      <c r="D504" s="205"/>
      <c r="E504" s="217"/>
      <c r="F504" s="312"/>
      <c r="G504" s="121"/>
      <c r="H504" s="70"/>
      <c r="I504" s="105"/>
      <c r="J504" s="99"/>
      <c r="K504" s="82"/>
      <c r="L504" s="82"/>
      <c r="M504" s="206"/>
      <c r="N504" s="86"/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/>
    </row>
    <row r="506" spans="2:14" ht="56.25" x14ac:dyDescent="0.25">
      <c r="B506" s="203" t="s">
        <v>426</v>
      </c>
      <c r="C506" s="211">
        <v>91795</v>
      </c>
      <c r="D506" s="205" t="s">
        <v>428</v>
      </c>
      <c r="E506" s="217" t="s">
        <v>37</v>
      </c>
      <c r="F506" s="312"/>
      <c r="G506" s="121"/>
      <c r="H506" s="70"/>
      <c r="I506" s="105"/>
      <c r="J506" s="99">
        <f>'BOLETIM DE MEDIÇÃO 11'!S157-'MEMORIAL DE CALCULO 07'!K506</f>
        <v>92.934000000000012</v>
      </c>
      <c r="K506" s="81">
        <f>K507</f>
        <v>39.831000000000003</v>
      </c>
      <c r="L506" s="82">
        <f t="shared" si="26"/>
        <v>132.76500000000001</v>
      </c>
      <c r="M506" s="206">
        <v>132.77000000000001</v>
      </c>
      <c r="N506" s="86"/>
    </row>
    <row r="507" spans="2:14" x14ac:dyDescent="0.25">
      <c r="B507" s="203"/>
      <c r="C507" s="211"/>
      <c r="D507" s="377" t="s">
        <v>984</v>
      </c>
      <c r="E507" s="217"/>
      <c r="F507" s="312">
        <v>1</v>
      </c>
      <c r="G507" s="462">
        <f>0.3*132.77</f>
        <v>39.831000000000003</v>
      </c>
      <c r="H507" s="463"/>
      <c r="I507" s="464"/>
      <c r="J507" s="99"/>
      <c r="K507" s="82">
        <f>G507</f>
        <v>39.831000000000003</v>
      </c>
      <c r="L507" s="82"/>
      <c r="M507" s="206"/>
      <c r="N507" s="86"/>
    </row>
    <row r="508" spans="2:14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/>
    </row>
    <row r="509" spans="2:14" ht="45" hidden="1" x14ac:dyDescent="0.25">
      <c r="B509" s="203" t="s">
        <v>429</v>
      </c>
      <c r="C509" s="211">
        <v>99251</v>
      </c>
      <c r="D509" s="215" t="s">
        <v>431</v>
      </c>
      <c r="E509" s="217" t="s">
        <v>166</v>
      </c>
      <c r="F509" s="312"/>
      <c r="G509" s="121"/>
      <c r="H509" s="70"/>
      <c r="I509" s="105"/>
      <c r="J509" s="99">
        <f>'BOLETIM DE MEDIÇÃO 11'!S158-'MEMORIAL DE CALCULO 07'!K509</f>
        <v>0</v>
      </c>
      <c r="K509" s="82"/>
      <c r="L509" s="82">
        <f t="shared" si="26"/>
        <v>0</v>
      </c>
      <c r="M509" s="206">
        <v>2</v>
      </c>
      <c r="N509" s="86"/>
    </row>
    <row r="510" spans="2:14" hidden="1" x14ac:dyDescent="0.25">
      <c r="B510" s="203"/>
      <c r="C510" s="211"/>
      <c r="D510" s="215"/>
      <c r="E510" s="217"/>
      <c r="F510" s="312"/>
      <c r="G510" s="121"/>
      <c r="H510" s="70"/>
      <c r="I510" s="105"/>
      <c r="J510" s="99"/>
      <c r="K510" s="82"/>
      <c r="L510" s="82"/>
      <c r="M510" s="206"/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t="56.25" x14ac:dyDescent="0.25">
      <c r="B512" s="203" t="s">
        <v>432</v>
      </c>
      <c r="C512" s="211">
        <v>91790</v>
      </c>
      <c r="D512" s="215" t="s">
        <v>434</v>
      </c>
      <c r="E512" s="217" t="s">
        <v>37</v>
      </c>
      <c r="F512" s="312"/>
      <c r="G512" s="121"/>
      <c r="H512" s="70"/>
      <c r="I512" s="105"/>
      <c r="J512" s="99">
        <f>'BOLETIM DE MEDIÇÃO 11'!S159-'MEMORIAL DE CALCULO 07'!K512</f>
        <v>-12.902999999999999</v>
      </c>
      <c r="K512" s="81">
        <f>K513</f>
        <v>12.902999999999999</v>
      </c>
      <c r="L512" s="82">
        <f t="shared" si="26"/>
        <v>0</v>
      </c>
      <c r="M512" s="206">
        <v>43.01</v>
      </c>
      <c r="N512" s="86"/>
    </row>
    <row r="513" spans="2:14" x14ac:dyDescent="0.25">
      <c r="B513" s="50"/>
      <c r="C513" s="66"/>
      <c r="D513" s="377" t="s">
        <v>984</v>
      </c>
      <c r="E513" s="69"/>
      <c r="F513" s="312">
        <v>1</v>
      </c>
      <c r="G513" s="462">
        <f>0.3*43.01</f>
        <v>12.902999999999999</v>
      </c>
      <c r="H513" s="463"/>
      <c r="I513" s="464"/>
      <c r="J513" s="99"/>
      <c r="K513" s="82">
        <f>G513</f>
        <v>12.902999999999999</v>
      </c>
      <c r="L513" s="82"/>
      <c r="M513" s="82"/>
      <c r="N513" s="86"/>
    </row>
    <row r="514" spans="2:14" x14ac:dyDescent="0.25">
      <c r="B514" s="50"/>
      <c r="C514" s="66"/>
      <c r="D514" s="53"/>
      <c r="E514" s="69"/>
      <c r="F514" s="312"/>
      <c r="G514" s="121"/>
      <c r="H514" s="70"/>
      <c r="I514" s="105"/>
      <c r="J514" s="99"/>
      <c r="K514" s="82"/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1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1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1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1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1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1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1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1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1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1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1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1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1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1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1:14" ht="14.45" hidden="1" customHeight="1" x14ac:dyDescent="0.25">
      <c r="B543" s="51">
        <v>1.1499999999999999</v>
      </c>
      <c r="C543" s="65" t="s">
        <v>474</v>
      </c>
      <c r="D543" s="53"/>
      <c r="E543" s="44"/>
      <c r="F543" s="130"/>
      <c r="G543" s="463"/>
      <c r="H543" s="463"/>
      <c r="I543" s="464"/>
      <c r="J543" s="99"/>
      <c r="K543" s="81"/>
      <c r="L543" s="82"/>
      <c r="M543" s="82"/>
      <c r="N543" s="86"/>
    </row>
    <row r="544" spans="1:14" ht="56.25" hidden="1" x14ac:dyDescent="0.25">
      <c r="A544" s="79"/>
      <c r="B544" s="50" t="s">
        <v>495</v>
      </c>
      <c r="C544" s="66">
        <v>87548</v>
      </c>
      <c r="D544" s="53" t="s">
        <v>154</v>
      </c>
      <c r="E544" s="44" t="s">
        <v>17</v>
      </c>
      <c r="F544" s="259"/>
      <c r="G544" s="121"/>
      <c r="H544" s="70"/>
      <c r="I544" s="105"/>
      <c r="J544" s="99">
        <f>'BOLETIM DE MEDIÇÃO 05'!O190-'MEMORIAL DE CALCULO 07'!K544</f>
        <v>6.2000000000011823E-2</v>
      </c>
      <c r="K544" s="351">
        <f>K545</f>
        <v>405.60400000000004</v>
      </c>
      <c r="L544" s="82">
        <f t="shared" ref="L544" si="27">J544+K544</f>
        <v>405.66600000000005</v>
      </c>
      <c r="M544" s="82">
        <f>'BOLETIM DE MEDIÇÃO 05'!G190</f>
        <v>811.27</v>
      </c>
      <c r="N544" s="86">
        <f t="shared" ref="N544" si="28">M544-L544</f>
        <v>405.60399999999993</v>
      </c>
    </row>
    <row r="545" spans="1:14" hidden="1" x14ac:dyDescent="0.25">
      <c r="A545" s="79"/>
      <c r="B545" s="50"/>
      <c r="C545" s="66"/>
      <c r="D545" s="344" t="s">
        <v>960</v>
      </c>
      <c r="E545" s="44"/>
      <c r="F545" s="130">
        <v>2</v>
      </c>
      <c r="G545" s="462">
        <f>65.42</f>
        <v>65.42</v>
      </c>
      <c r="H545" s="465"/>
      <c r="I545" s="105">
        <v>3.1</v>
      </c>
      <c r="J545" s="99"/>
      <c r="K545" s="351">
        <f>F545*G545*I545</f>
        <v>405.60400000000004</v>
      </c>
      <c r="L545" s="82"/>
      <c r="M545" s="82"/>
      <c r="N545" s="86"/>
    </row>
    <row r="546" spans="1:14" ht="14.45" customHeight="1" x14ac:dyDescent="0.25">
      <c r="A546" s="79"/>
      <c r="B546" s="266"/>
      <c r="C546" s="266"/>
      <c r="D546" s="255"/>
      <c r="E546" s="238"/>
      <c r="F546" s="261"/>
      <c r="G546" s="272"/>
      <c r="H546" s="273"/>
      <c r="I546" s="274"/>
      <c r="J546" s="255"/>
      <c r="K546" s="238"/>
      <c r="L546" s="238"/>
      <c r="M546" s="238"/>
      <c r="N546" s="258"/>
    </row>
    <row r="549" spans="1:14" ht="69.599999999999994" hidden="1" customHeight="1" x14ac:dyDescent="0.25">
      <c r="D549" s="278" t="s">
        <v>832</v>
      </c>
      <c r="E549" s="277" t="s">
        <v>41</v>
      </c>
      <c r="F549" s="279"/>
      <c r="G549" s="521" t="s">
        <v>836</v>
      </c>
      <c r="H549" s="522"/>
      <c r="I549" s="523"/>
      <c r="J549" s="279"/>
      <c r="K549" s="280">
        <f>SUM(K552:K556)</f>
        <v>16.472439999999999</v>
      </c>
      <c r="M549" s="282"/>
    </row>
    <row r="550" spans="1:14" ht="14.45" hidden="1" customHeight="1" x14ac:dyDescent="0.25">
      <c r="D550" s="239"/>
      <c r="E550" s="239"/>
      <c r="F550" s="239"/>
      <c r="G550" s="239"/>
      <c r="H550" s="239"/>
      <c r="I550" s="239"/>
      <c r="J550" s="239"/>
      <c r="K550" s="239"/>
    </row>
    <row r="551" spans="1:14" ht="36.6" hidden="1" customHeight="1" x14ac:dyDescent="0.25">
      <c r="D551" s="281"/>
      <c r="E551" s="239"/>
      <c r="F551" s="275" t="s">
        <v>556</v>
      </c>
      <c r="G551" s="276" t="s">
        <v>833</v>
      </c>
      <c r="H551" s="276" t="s">
        <v>834</v>
      </c>
      <c r="I551" s="276" t="s">
        <v>835</v>
      </c>
      <c r="J551" s="239"/>
      <c r="K551" s="239"/>
    </row>
    <row r="552" spans="1:14" ht="14.45" hidden="1" customHeight="1" x14ac:dyDescent="0.25">
      <c r="D552" s="288" t="s">
        <v>879</v>
      </c>
      <c r="E552" s="239"/>
      <c r="F552" s="245">
        <v>1</v>
      </c>
      <c r="G552" s="245">
        <v>12.5</v>
      </c>
      <c r="H552" s="245">
        <v>0.1</v>
      </c>
      <c r="I552" s="245">
        <v>0.36</v>
      </c>
      <c r="J552" s="277"/>
      <c r="K552" s="245">
        <f>((I552+H552/2)*G552)*0.2</f>
        <v>1.0250000000000001</v>
      </c>
    </row>
    <row r="553" spans="1:14" ht="20.45" hidden="1" customHeight="1" x14ac:dyDescent="0.25">
      <c r="D553" s="288" t="s">
        <v>876</v>
      </c>
      <c r="E553" s="239"/>
      <c r="F553" s="245">
        <v>1</v>
      </c>
      <c r="G553" s="245">
        <v>11.67</v>
      </c>
      <c r="H553" s="245">
        <v>0.36</v>
      </c>
      <c r="I553" s="245">
        <v>0.53</v>
      </c>
      <c r="J553" s="277"/>
      <c r="K553" s="245">
        <f t="shared" ref="K553:K556" si="29">((I553+H553/2)*G553)*0.2</f>
        <v>1.6571400000000001</v>
      </c>
    </row>
    <row r="554" spans="1:14" ht="20.45" hidden="1" customHeight="1" x14ac:dyDescent="0.25">
      <c r="D554" s="288" t="s">
        <v>880</v>
      </c>
      <c r="E554" s="239"/>
      <c r="F554" s="245">
        <v>1</v>
      </c>
      <c r="G554" s="245">
        <v>27.1</v>
      </c>
      <c r="H554" s="245">
        <v>0.53</v>
      </c>
      <c r="I554" s="245">
        <v>0.74</v>
      </c>
      <c r="J554" s="277"/>
      <c r="K554" s="245">
        <f t="shared" si="29"/>
        <v>5.4470999999999998</v>
      </c>
    </row>
    <row r="555" spans="1:14" ht="30.6" hidden="1" customHeight="1" x14ac:dyDescent="0.25">
      <c r="D555" s="288" t="s">
        <v>881</v>
      </c>
      <c r="E555" s="239"/>
      <c r="F555" s="245">
        <v>1</v>
      </c>
      <c r="G555" s="245">
        <v>33.9</v>
      </c>
      <c r="H555" s="245">
        <v>0.74</v>
      </c>
      <c r="I555" s="245">
        <v>0.61</v>
      </c>
      <c r="J555" s="277"/>
      <c r="K555" s="245">
        <f t="shared" si="29"/>
        <v>6.644400000000001</v>
      </c>
    </row>
    <row r="556" spans="1:14" ht="20.45" hidden="1" customHeight="1" x14ac:dyDescent="0.25">
      <c r="D556" s="288" t="s">
        <v>882</v>
      </c>
      <c r="E556" s="239"/>
      <c r="F556" s="245">
        <v>1</v>
      </c>
      <c r="G556" s="245">
        <v>12.4</v>
      </c>
      <c r="H556" s="245">
        <v>0.61</v>
      </c>
      <c r="I556" s="245">
        <v>0.38</v>
      </c>
      <c r="J556" s="277"/>
      <c r="K556" s="245">
        <f t="shared" si="29"/>
        <v>1.6988000000000003</v>
      </c>
    </row>
    <row r="559" spans="1:14" x14ac:dyDescent="0.25">
      <c r="G559" s="330"/>
    </row>
  </sheetData>
  <mergeCells count="290">
    <mergeCell ref="G545:H545"/>
    <mergeCell ref="G549:I549"/>
    <mergeCell ref="G387:I387"/>
    <mergeCell ref="G405:I405"/>
    <mergeCell ref="G408:I408"/>
    <mergeCell ref="G410:I410"/>
    <mergeCell ref="G412:I412"/>
    <mergeCell ref="G415:I415"/>
    <mergeCell ref="G426:I426"/>
    <mergeCell ref="G543:I543"/>
    <mergeCell ref="G396:I396"/>
    <mergeCell ref="G398:I398"/>
    <mergeCell ref="G400:I400"/>
    <mergeCell ref="G402:I402"/>
    <mergeCell ref="G404:I404"/>
    <mergeCell ref="G406:I406"/>
    <mergeCell ref="G418:I418"/>
    <mergeCell ref="G422:I422"/>
    <mergeCell ref="G442:H442"/>
    <mergeCell ref="G443:H443"/>
    <mergeCell ref="G444:H444"/>
    <mergeCell ref="G445:H445"/>
    <mergeCell ref="G446:H446"/>
    <mergeCell ref="G447:H447"/>
    <mergeCell ref="G379:H379"/>
    <mergeCell ref="G380:H380"/>
    <mergeCell ref="G385:I385"/>
    <mergeCell ref="G390:I390"/>
    <mergeCell ref="G392:I392"/>
    <mergeCell ref="G394:I394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76:H76"/>
    <mergeCell ref="G77:H77"/>
    <mergeCell ref="G78:H78"/>
    <mergeCell ref="G79:H79"/>
    <mergeCell ref="G98:H98"/>
    <mergeCell ref="G99:H99"/>
    <mergeCell ref="G100:H100"/>
    <mergeCell ref="G101:H101"/>
    <mergeCell ref="G102:H102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10:I10"/>
    <mergeCell ref="J10:N10"/>
    <mergeCell ref="G74:H74"/>
    <mergeCell ref="G75:H75"/>
    <mergeCell ref="G20:I20"/>
    <mergeCell ref="G22:I22"/>
    <mergeCell ref="F70:F71"/>
    <mergeCell ref="G70:I71"/>
    <mergeCell ref="G72:I72"/>
    <mergeCell ref="G73:H73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507:I507"/>
    <mergeCell ref="G513:I513"/>
    <mergeCell ref="G450:I450"/>
    <mergeCell ref="G453:I453"/>
    <mergeCell ref="G456:I456"/>
    <mergeCell ref="G459:I459"/>
    <mergeCell ref="G462:I462"/>
    <mergeCell ref="G465:I465"/>
    <mergeCell ref="G468:I468"/>
    <mergeCell ref="G498:I498"/>
    <mergeCell ref="G501:I501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K397:K401 K407 K409:K411 K403" formula="1"/>
    <ignoredError sqref="B420 B431" numberStoredAsText="1"/>
  </ignoredError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topLeftCell="A12" zoomScaleNormal="100" workbookViewId="0">
      <selection activeCell="A386" sqref="A386:XFD38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3" t="s">
        <v>956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6"/>
    </row>
    <row r="4" spans="2:14" ht="16.5" x14ac:dyDescent="0.25">
      <c r="B4" s="439" t="s">
        <v>542</v>
      </c>
      <c r="C4" s="440"/>
      <c r="D4" s="440"/>
      <c r="E4" s="440"/>
      <c r="F4" s="440"/>
      <c r="G4" s="440"/>
      <c r="H4" s="440"/>
      <c r="I4" s="16" t="s">
        <v>544</v>
      </c>
      <c r="J4" s="441">
        <v>1240378.43</v>
      </c>
      <c r="K4" s="442"/>
      <c r="L4" s="442"/>
      <c r="M4" s="442"/>
      <c r="N4" s="43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7"/>
    </row>
    <row r="6" spans="2:14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5" t="s">
        <v>592</v>
      </c>
      <c r="J6" s="446"/>
      <c r="K6" s="446"/>
      <c r="L6" s="446"/>
      <c r="M6" s="446"/>
      <c r="N6" s="43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7"/>
    </row>
    <row r="8" spans="2:14" ht="17.25" thickBot="1" x14ac:dyDescent="0.3">
      <c r="B8" s="447">
        <v>45453</v>
      </c>
      <c r="C8" s="448"/>
      <c r="D8" s="23" t="s">
        <v>957</v>
      </c>
      <c r="E8" s="449">
        <f>'BOLETIM DE MEDIÇÃO 11'!AA209</f>
        <v>70347.038280000008</v>
      </c>
      <c r="F8" s="450"/>
      <c r="G8" s="451"/>
      <c r="H8" s="452">
        <f>'BOLETIM DE MEDIÇÃO 05'!H8</f>
        <v>274592.67562904983</v>
      </c>
      <c r="I8" s="453"/>
      <c r="J8" s="454" t="s">
        <v>955</v>
      </c>
      <c r="K8" s="455"/>
      <c r="L8" s="455"/>
      <c r="M8" s="455"/>
      <c r="N8" s="43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6" t="s">
        <v>526</v>
      </c>
      <c r="C10" s="456" t="s">
        <v>527</v>
      </c>
      <c r="D10" s="458" t="s">
        <v>528</v>
      </c>
      <c r="E10" s="456" t="s">
        <v>529</v>
      </c>
      <c r="F10" s="460" t="s">
        <v>556</v>
      </c>
      <c r="G10" s="466" t="s">
        <v>557</v>
      </c>
      <c r="H10" s="467"/>
      <c r="I10" s="467"/>
      <c r="J10" s="468" t="s">
        <v>594</v>
      </c>
      <c r="K10" s="469"/>
      <c r="L10" s="469"/>
      <c r="M10" s="469"/>
      <c r="N10" s="470"/>
    </row>
    <row r="11" spans="2:14" ht="18" x14ac:dyDescent="0.25">
      <c r="B11" s="457"/>
      <c r="C11" s="457"/>
      <c r="D11" s="459"/>
      <c r="E11" s="457"/>
      <c r="F11" s="461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71">
        <v>1430.2</v>
      </c>
      <c r="H20" s="473"/>
      <c r="I20" s="474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71">
        <v>1430.2</v>
      </c>
      <c r="H22" s="473"/>
      <c r="I22" s="474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2">
        <v>1</v>
      </c>
      <c r="G70" s="499">
        <f>43.05</f>
        <v>43.05</v>
      </c>
      <c r="H70" s="500"/>
      <c r="I70" s="501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3"/>
      <c r="G71" s="502"/>
      <c r="H71" s="503"/>
      <c r="I71" s="504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6" t="s">
        <v>883</v>
      </c>
      <c r="H72" s="497"/>
      <c r="I72" s="498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4" t="s">
        <v>838</v>
      </c>
      <c r="H73" s="495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4">
        <v>9</v>
      </c>
      <c r="H74" s="495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4">
        <v>5</v>
      </c>
      <c r="H75" s="495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4">
        <f xml:space="preserve"> (13.03 * 2.7)</f>
        <v>35.180999999999997</v>
      </c>
      <c r="H76" s="495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4">
        <v>3</v>
      </c>
      <c r="H77" s="495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4">
        <v>7</v>
      </c>
      <c r="H78" s="495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4">
        <v>21</v>
      </c>
      <c r="H79" s="495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4">
        <v>27</v>
      </c>
      <c r="H80" s="495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4">
        <v>26</v>
      </c>
      <c r="H81" s="495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4">
        <v>1.6</v>
      </c>
      <c r="H82" s="495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4">
        <v>1.6</v>
      </c>
      <c r="H83" s="495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4">
        <v>45</v>
      </c>
      <c r="H84" s="495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4">
        <v>19</v>
      </c>
      <c r="H85" s="495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4">
        <v>19</v>
      </c>
      <c r="H86" s="495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4">
        <v>5</v>
      </c>
      <c r="H87" s="495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4">
        <v>14</v>
      </c>
      <c r="H88" s="495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5">
        <v>36</v>
      </c>
      <c r="H89" s="506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5">
        <v>46</v>
      </c>
      <c r="H90" s="506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4">
        <v>41</v>
      </c>
      <c r="H91" s="495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4">
        <v>27</v>
      </c>
      <c r="H92" s="495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4">
        <v>53</v>
      </c>
      <c r="H93" s="495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4">
        <f xml:space="preserve"> (2.65*1.8)</f>
        <v>4.7699999999999996</v>
      </c>
      <c r="H94" s="495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4">
        <v>30</v>
      </c>
      <c r="H95" s="495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4">
        <v>30</v>
      </c>
      <c r="H96" s="495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4">
        <v>14</v>
      </c>
      <c r="H97" s="495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4">
        <v>14</v>
      </c>
      <c r="H98" s="495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4">
        <v>20</v>
      </c>
      <c r="H99" s="495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4">
        <v>3</v>
      </c>
      <c r="H100" s="495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4">
        <v>4</v>
      </c>
      <c r="H101" s="495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4">
        <v>12</v>
      </c>
      <c r="H102" s="495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4">
        <v>20</v>
      </c>
      <c r="H103" s="495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4">
        <v>4</v>
      </c>
      <c r="H104" s="495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4">
        <v>5</v>
      </c>
      <c r="H105" s="495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4">
        <f>1184.23-SUM(G74:H105)</f>
        <v>582.07900000000006</v>
      </c>
      <c r="H106" s="495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4"/>
      <c r="H107" s="495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75" t="s">
        <v>652</v>
      </c>
      <c r="H108" s="477"/>
      <c r="I108" s="478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71" t="s">
        <v>831</v>
      </c>
      <c r="H172" s="473"/>
      <c r="I172" s="474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75">
        <v>492.78</v>
      </c>
      <c r="H173" s="477"/>
      <c r="I173" s="478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75">
        <f>(2*12)+(2*3.79)+(2*8.94)+(2*6.27)+ 1.39+0.99 +(2*1.85)+(2*1.7)+ (2*1.35)</f>
        <v>74.180000000000007</v>
      </c>
      <c r="H174" s="476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75">
        <f>(2*10.92)+(2*10.92)+ 1.3 + 1.1</f>
        <v>46.08</v>
      </c>
      <c r="H175" s="476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75">
        <f>(2*1.87)+(2*1.87)</f>
        <v>7.48</v>
      </c>
      <c r="H176" s="476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75">
        <f>(2*6.55)+(2*6.3)+1.75+1.35+1.19</f>
        <v>29.990000000000002</v>
      </c>
      <c r="H177" s="476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75">
        <f>(2*8.39)+(2*1.7)+ 1.1+ 3.13 + (2*5.24)+ (2*3.11)</f>
        <v>41.11</v>
      </c>
      <c r="H178" s="476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75"/>
      <c r="H179" s="476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75"/>
      <c r="H180" s="476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75"/>
      <c r="H181" s="476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75"/>
      <c r="H182" s="476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75"/>
      <c r="H183" s="476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75"/>
      <c r="H184" s="476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75"/>
      <c r="H185" s="476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75"/>
      <c r="H186" s="476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75"/>
      <c r="H187" s="476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75"/>
      <c r="H188" s="476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75"/>
      <c r="H189" s="476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75"/>
      <c r="H190" s="476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75"/>
      <c r="H191" s="476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75"/>
      <c r="H192" s="476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75"/>
      <c r="H193" s="476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75"/>
      <c r="H194" s="476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75"/>
      <c r="H195" s="476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75"/>
      <c r="H196" s="476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75"/>
      <c r="H197" s="476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75"/>
      <c r="H198" s="476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75"/>
      <c r="H199" s="476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71">
        <f xml:space="preserve"> (2*1.31) + (2*1.51) + (2*4.98)</f>
        <v>15.600000000000001</v>
      </c>
      <c r="H201" s="47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71">
        <f xml:space="preserve"> (3*3.37) + (1.37) + (2*3.47)</f>
        <v>18.420000000000002</v>
      </c>
      <c r="H202" s="47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71">
        <f xml:space="preserve"> (1.87) + (2*3.62)</f>
        <v>9.11</v>
      </c>
      <c r="H203" s="47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71">
        <f xml:space="preserve"> (4*0.88) + (2*3.36) + (2*5.03)</f>
        <v>20.3</v>
      </c>
      <c r="H204" s="47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71">
        <f xml:space="preserve"> (2*3.18) + (2*3.18)</f>
        <v>12.72</v>
      </c>
      <c r="H205" s="47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71">
        <f xml:space="preserve"> (4*2.15)</f>
        <v>8.6</v>
      </c>
      <c r="H206" s="47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71">
        <f xml:space="preserve"> (4*6.99)</f>
        <v>27.96</v>
      </c>
      <c r="H207" s="47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71" t="s">
        <v>831</v>
      </c>
      <c r="H208" s="473"/>
      <c r="I208" s="474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71"/>
      <c r="H209" s="473"/>
      <c r="I209" s="474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75" t="s">
        <v>679</v>
      </c>
      <c r="H217" s="476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71" t="s">
        <v>680</v>
      </c>
      <c r="H218" s="47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71" t="s">
        <v>681</v>
      </c>
      <c r="H219" s="47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71" t="s">
        <v>682</v>
      </c>
      <c r="H220" s="47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71" t="s">
        <v>684</v>
      </c>
      <c r="H221" s="47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71" t="s">
        <v>683</v>
      </c>
      <c r="H222" s="47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71" t="s">
        <v>685</v>
      </c>
      <c r="H223" s="47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75" t="s">
        <v>686</v>
      </c>
      <c r="H224" s="476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71" t="s">
        <v>687</v>
      </c>
      <c r="H225" s="47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71" t="s">
        <v>688</v>
      </c>
      <c r="H226" s="47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75" t="s">
        <v>689</v>
      </c>
      <c r="H227" s="476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71" t="s">
        <v>690</v>
      </c>
      <c r="H228" s="47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75" t="s">
        <v>691</v>
      </c>
      <c r="H229" s="476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71" t="s">
        <v>692</v>
      </c>
      <c r="H230" s="47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71" t="s">
        <v>693</v>
      </c>
      <c r="H231" s="47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75" t="s">
        <v>694</v>
      </c>
      <c r="H232" s="476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71" t="s">
        <v>695</v>
      </c>
      <c r="H233" s="47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71" t="s">
        <v>696</v>
      </c>
      <c r="H234" s="47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71" t="s">
        <v>697</v>
      </c>
      <c r="H235" s="47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71" t="s">
        <v>698</v>
      </c>
      <c r="H236" s="47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71" t="s">
        <v>699</v>
      </c>
      <c r="H237" s="47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71" t="s">
        <v>700</v>
      </c>
      <c r="H238" s="47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71" t="s">
        <v>701</v>
      </c>
      <c r="H239" s="47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75" t="s">
        <v>702</v>
      </c>
      <c r="H240" s="476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71" t="s">
        <v>704</v>
      </c>
      <c r="H241" s="47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71" t="s">
        <v>703</v>
      </c>
      <c r="H242" s="47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71" t="s">
        <v>703</v>
      </c>
      <c r="H243" s="47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71" t="s">
        <v>705</v>
      </c>
      <c r="H244" s="47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71" t="s">
        <v>704</v>
      </c>
      <c r="H245" s="47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71" t="s">
        <v>705</v>
      </c>
      <c r="H246" s="47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71" t="s">
        <v>704</v>
      </c>
      <c r="H247" s="47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71">
        <v>9.6</v>
      </c>
      <c r="H248" s="473"/>
      <c r="I248" s="474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71">
        <v>12.75</v>
      </c>
      <c r="H249" s="473"/>
      <c r="I249" s="474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8" t="s">
        <v>874</v>
      </c>
      <c r="H257" s="489"/>
      <c r="I257" s="490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71"/>
      <c r="H258" s="473"/>
      <c r="I258" s="474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71">
        <v>9.6</v>
      </c>
      <c r="H259" s="473"/>
      <c r="I259" s="474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71" t="s">
        <v>831</v>
      </c>
      <c r="H260" s="473"/>
      <c r="I260" s="474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71">
        <f>G249</f>
        <v>12.75</v>
      </c>
      <c r="H261" s="473"/>
      <c r="I261" s="474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71" t="s">
        <v>831</v>
      </c>
      <c r="H262" s="473"/>
      <c r="I262" s="474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75" t="s">
        <v>647</v>
      </c>
      <c r="H263" s="476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71">
        <f xml:space="preserve"> ((0.59*(1.85/0.1)) * 2)</f>
        <v>21.83</v>
      </c>
      <c r="H264" s="47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71">
        <f>(0.69*(1.87/0.1)) + (0.79*(1.87/0.1))</f>
        <v>27.675999999999998</v>
      </c>
      <c r="H265" s="47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71">
        <f>((0.69*(1.9/0.1))*3) + ((0.59*(1.87/0.1))*2)</f>
        <v>61.395999999999987</v>
      </c>
      <c r="H266" s="47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71">
        <f>((0.69*(1.92/0.1))*1) + ((0.59*(1.92/0.1))*2)</f>
        <v>35.903999999999996</v>
      </c>
      <c r="H267" s="47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71">
        <f>((0.79*(1.94/0.1))*3)</f>
        <v>45.977999999999994</v>
      </c>
      <c r="H268" s="47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71">
        <f>((0.69*(1.96/0.1))*3) + ((0.59*(1.96/0.1))*2)</f>
        <v>63.699999999999989</v>
      </c>
      <c r="H269" s="47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71">
        <f>((0.59*(1.95/0.1))*2) + ((0.69*(1.95/0.1))*3) +((0.79*(1.95/0.1))*1)</f>
        <v>78.78</v>
      </c>
      <c r="H270" s="47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71">
        <f>((0.59*(1.97/0.1))*1)  +((0.79*(1.97/0.1))*2)</f>
        <v>42.749000000000002</v>
      </c>
      <c r="H271" s="47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71">
        <f>((0.59*(1.9/0.1))*3)</f>
        <v>33.629999999999995</v>
      </c>
      <c r="H272" s="47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71">
        <f>((0.69*(1.86/0.1))*1) + ((0.69*(1.86/0.1))*1) + ((0.89*(1.86/0.1))*1)</f>
        <v>42.222000000000001</v>
      </c>
      <c r="H273" s="47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71">
        <f>((0.69*(1.87/0.1))*3)</f>
        <v>38.708999999999996</v>
      </c>
      <c r="H274" s="47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71">
        <f>((0.69*(1.9/0.1))*1) + ((0.79*(1.9/0.1))*2) + ((0.59*(1.9/0.1))*1)</f>
        <v>54.339999999999989</v>
      </c>
      <c r="H275" s="47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71">
        <f>((0.79*(1.91/0.1))*1) +((0.59*(1.91/0.1))*1)</f>
        <v>26.357999999999997</v>
      </c>
      <c r="H276" s="47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71">
        <f>((0.79*(1.94/0.1))*1) +((0.59*(1.94/0.1))*5)</f>
        <v>72.555999999999983</v>
      </c>
      <c r="H277" s="47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71">
        <f>((0.69*(1.92/0.1))*2) + ((0.69*(1.92/0.1))*1)</f>
        <v>39.744</v>
      </c>
      <c r="H278" s="47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71">
        <f>((0.59*(1.93/0.1))*2) + ((0.79*(1.93/0.1))*1)</f>
        <v>38.020999999999994</v>
      </c>
      <c r="H279" s="47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71">
        <f>((0.59*(1.87/0.1))*2) + ((0.69*(1.87/0.1))*2)</f>
        <v>47.872</v>
      </c>
      <c r="H280" s="47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71">
        <f>((0.59*(1.88/0.1))*3) + ((0.69*(1.88/0.1))*1)</f>
        <v>46.24799999999999</v>
      </c>
      <c r="H281" s="47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71">
        <f>((0.79*(1.9/0.1))*1) + ((0.69*(1.9/0.1))*3)</f>
        <v>54.339999999999982</v>
      </c>
      <c r="H282" s="47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71">
        <f>((0.59*(1.9/0.1))*1)</f>
        <v>11.209999999999997</v>
      </c>
      <c r="H283" s="47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71">
        <f>((0.69*(1.87/0.1))*1) + ((0.59*(1.87/0.1))*1)</f>
        <v>23.936</v>
      </c>
      <c r="H284" s="47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71">
        <f>((0.69*(2/0.1))*1) + ((0.59*(2/0.1))*2)</f>
        <v>37.4</v>
      </c>
      <c r="H285" s="47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71">
        <f>((0.69*(2.01/0.1))*1) + ((0.59*(2.01/0.1))*5) + ((0.79*(2.01/0.1))*1)</f>
        <v>89.042999999999992</v>
      </c>
      <c r="H286" s="47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71">
        <f>(((1.39+0.47+0.47))*(1.86/0.15))</f>
        <v>28.892000000000003</v>
      </c>
      <c r="H287" s="47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71">
        <f>(((1.09+0.022))*(1.87/0.15))</f>
        <v>13.862933333333336</v>
      </c>
      <c r="H288" s="47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71">
        <f>(((1.09+0.022))*(1.89/0.15))</f>
        <v>14.011200000000001</v>
      </c>
      <c r="H289" s="47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71">
        <f>(((0.59))*(1.9/0.15))</f>
        <v>7.4733333333333327</v>
      </c>
      <c r="H290" s="47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71">
        <f>(((0.59))*(1.92/0.15))</f>
        <v>7.5519999999999996</v>
      </c>
      <c r="H291" s="47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71">
        <f>(((0.59))*(1.9/0.15))</f>
        <v>7.4733333333333327</v>
      </c>
      <c r="H292" s="47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71">
        <f>(((0.69))*(1.98/0.15))</f>
        <v>9.1080000000000005</v>
      </c>
      <c r="H293" s="47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75">
        <v>210.13</v>
      </c>
      <c r="H294" s="477"/>
      <c r="I294" s="478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71">
        <f xml:space="preserve"> (2*2.51) + (40*0.59)</f>
        <v>28.619999999999997</v>
      </c>
      <c r="H295" s="47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71">
        <f xml:space="preserve"> (19*0.79)</f>
        <v>15.010000000000002</v>
      </c>
      <c r="H296" s="47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71">
        <f xml:space="preserve"> (21*0.79)</f>
        <v>16.59</v>
      </c>
      <c r="H297" s="47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71">
        <f xml:space="preserve"> (2*3.86) + (29*0.79)</f>
        <v>30.63</v>
      </c>
      <c r="H298" s="47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71">
        <f xml:space="preserve"> (22*0.59)</f>
        <v>12.979999999999999</v>
      </c>
      <c r="H299" s="47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71">
        <f xml:space="preserve"> (14*0.059)</f>
        <v>0.82599999999999996</v>
      </c>
      <c r="H300" s="47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71">
        <f xml:space="preserve"> (59*0.59)</f>
        <v>34.809999999999995</v>
      </c>
      <c r="H301" s="47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71">
        <v>295</v>
      </c>
      <c r="H303" s="473"/>
      <c r="I303" s="474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75" t="s">
        <v>628</v>
      </c>
      <c r="H306" s="476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71">
        <f xml:space="preserve"> (4*(0.2+0.25+1.85+0.33)) * 2</f>
        <v>21.040000000000003</v>
      </c>
      <c r="H307" s="47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71">
        <f xml:space="preserve"> ((4*(0.2+0.25+1.87+0.33)) * 2)</f>
        <v>21.200000000000003</v>
      </c>
      <c r="H308" s="47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71">
        <f xml:space="preserve"> (4*(0.2+0.25+1.9+0.33)) * 5</f>
        <v>53.6</v>
      </c>
      <c r="H309" s="47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71">
        <f xml:space="preserve"> (4*(0.2+0.25+1.92+0.33)) *3</f>
        <v>32.400000000000006</v>
      </c>
      <c r="H310" s="47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71">
        <f xml:space="preserve"> (4*(0.2+0.25+1.94+0.33)) * 3</f>
        <v>32.64</v>
      </c>
      <c r="H311" s="47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71">
        <f xml:space="preserve"> (4*(0.2+0.25+1.96+0.33)) * 5</f>
        <v>54.800000000000004</v>
      </c>
      <c r="H312" s="47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71">
        <f xml:space="preserve"> (4*(0.2+0.25+1.95+0.33)) * 6</f>
        <v>65.52</v>
      </c>
      <c r="H313" s="47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71">
        <f xml:space="preserve"> (4*(0.2+0.25+1.97+0.33)) * 3</f>
        <v>33</v>
      </c>
      <c r="H314" s="47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71">
        <f xml:space="preserve"> (4*(0.2+0.25+1.9+0.33)) * 3</f>
        <v>32.160000000000004</v>
      </c>
      <c r="H315" s="47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71">
        <f xml:space="preserve"> ((4*(0.2+0.25+1.86+0.33)) * 3)</f>
        <v>31.68</v>
      </c>
      <c r="H316" s="47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71">
        <f xml:space="preserve"> ((4*(0.2+0.25+1.87+0.33)) * 3)</f>
        <v>31.800000000000004</v>
      </c>
      <c r="H317" s="47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71">
        <f xml:space="preserve"> ((4*(0.2+0.25+1.9+0.33)) * 4)</f>
        <v>42.88</v>
      </c>
      <c r="H318" s="47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71">
        <f xml:space="preserve"> ((4*(0.2+0.25+1.91+0.33)) * 2)</f>
        <v>21.52</v>
      </c>
      <c r="H319" s="47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71">
        <f xml:space="preserve"> ((4*(0.2+0.25+1.94+0.33)) * 6)</f>
        <v>65.28</v>
      </c>
      <c r="H320" s="47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71">
        <f xml:space="preserve"> ((4*(0.2+0.25+1.92+0.33)) *3)</f>
        <v>32.400000000000006</v>
      </c>
      <c r="H321" s="47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71">
        <f xml:space="preserve"> ((4*(0.2+0.25+1.93+0.33)) *3)</f>
        <v>32.519999999999996</v>
      </c>
      <c r="H322" s="47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71">
        <f xml:space="preserve"> ((4*(0.2+0.25+1.87+0.33)) *4)</f>
        <v>42.400000000000006</v>
      </c>
      <c r="H323" s="47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71">
        <f xml:space="preserve"> ((4*(0.2+0.25+1.88+0.33)) *4)</f>
        <v>42.56</v>
      </c>
      <c r="H324" s="47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71">
        <f xml:space="preserve"> ((4*(0.2+0.25+1.9+0.33)) *4)</f>
        <v>42.88</v>
      </c>
      <c r="H325" s="47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71">
        <f>((4*(0.2+0.25+1.9+0.33))) + ((8*(0.2+0.25+1.9)))</f>
        <v>29.520000000000003</v>
      </c>
      <c r="H326" s="47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71">
        <f xml:space="preserve"> ((4*(0.2+0.25+1.97+0.33)) *2)</f>
        <v>22</v>
      </c>
      <c r="H327" s="47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71">
        <f xml:space="preserve"> ((4*(0.2+0.25+2+0.33)) *3)</f>
        <v>33.36</v>
      </c>
      <c r="H328" s="47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71">
        <f xml:space="preserve"> ((4*(0.2+0.25+2.01+0.33)) *7)</f>
        <v>78.12</v>
      </c>
      <c r="H329" s="47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71" t="s">
        <v>831</v>
      </c>
      <c r="H330" s="473"/>
      <c r="I330" s="474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75" t="s">
        <v>628</v>
      </c>
      <c r="H331" s="476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71">
        <f>((8*(0.2+0.25+1.86+0.42)))</f>
        <v>21.84</v>
      </c>
      <c r="H332" s="47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71">
        <f>((6*(0.2+0.25+1.87+0.42)))</f>
        <v>16.440000000000001</v>
      </c>
      <c r="H333" s="47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71">
        <f>((6*(0.2+0.25+1.89+0.42)))</f>
        <v>16.559999999999999</v>
      </c>
      <c r="H334" s="47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71">
        <f>((4*(0.2+0.25+1.9+0.42)))</f>
        <v>11.08</v>
      </c>
      <c r="H335" s="47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71">
        <f>((4*(0.2+0.25+1.92+0.42)))</f>
        <v>11.16</v>
      </c>
      <c r="H336" s="47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71">
        <f>((4*(0.2+0.25+1.9+0.42)))</f>
        <v>11.08</v>
      </c>
      <c r="H337" s="47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71">
        <f>((4*(0.2+0.25+1.98+0.42)))+(2*(0.2+0.25+1.98))</f>
        <v>16.260000000000002</v>
      </c>
      <c r="H338" s="47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75">
        <v>52.34</v>
      </c>
      <c r="H339" s="477"/>
      <c r="I339" s="478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71"/>
      <c r="H340" s="473"/>
      <c r="I340" s="474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71">
        <v>223.49</v>
      </c>
      <c r="H341" s="473"/>
      <c r="I341" s="474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75" t="s">
        <v>706</v>
      </c>
      <c r="H350" s="476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71">
        <f xml:space="preserve"> ((0.15+0.25)*2) *2</f>
        <v>1.6</v>
      </c>
      <c r="H351" s="47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71">
        <f xml:space="preserve"> ((0.2+0.25)*2) + ((0.2+0.3)*2)</f>
        <v>1.9</v>
      </c>
      <c r="H352" s="472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71">
        <f xml:space="preserve"> ((0.2+0.25)*2*3) + ((0.2+0.2)*2*1) + ((0.15+0.2)*2*1)</f>
        <v>4.2</v>
      </c>
      <c r="H353" s="47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71">
        <f xml:space="preserve"> ((0.2+0.25)*2*1) + ((0.15+0.25)*2*2)</f>
        <v>2.5</v>
      </c>
      <c r="H354" s="47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71">
        <f xml:space="preserve"> ((0.15+0.3)*2*3)</f>
        <v>2.6999999999999997</v>
      </c>
      <c r="H355" s="47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71">
        <f xml:space="preserve"> ((0.2+0.25)*2*3) + ((0.15+0.25)*2*2)</f>
        <v>4.3000000000000007</v>
      </c>
      <c r="H356" s="47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71">
        <f xml:space="preserve"> ((0.2+0.25)*2*3) + ((0.15+0.25)*2*2) +  ((0.2+0.3)*2*1)</f>
        <v>5.3000000000000007</v>
      </c>
      <c r="H357" s="47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71">
        <f xml:space="preserve"> ((0.2+0.25)*2*2) + ((0.15+0.25)*2*1)</f>
        <v>2.6</v>
      </c>
      <c r="H358" s="47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71">
        <f>((0.15+0.25)*2*3)</f>
        <v>2.4000000000000004</v>
      </c>
      <c r="H359" s="47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71">
        <f xml:space="preserve"> ((0.2+0.25)*2*1) + ((0.15+0.25)*2*1) +  ((0.2+0.35)*2*1)</f>
        <v>2.8000000000000003</v>
      </c>
      <c r="H360" s="47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71">
        <f xml:space="preserve"> ((0.2+0.25)*2*1) + ((0.15+0.3)*2*2)</f>
        <v>2.6999999999999997</v>
      </c>
      <c r="H361" s="47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71">
        <f xml:space="preserve"> ((0.2+0.3)*2*1) + ((0.15+0.3)*2*1) +  ((0.15+0.25)*2*1) + ((0.15+0.35)*2*1)</f>
        <v>3.7</v>
      </c>
      <c r="H362" s="47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71">
        <f xml:space="preserve"> ((0.15+0.25)*2*1) + ((0.2+0.3)*2*1)</f>
        <v>1.8</v>
      </c>
      <c r="H363" s="47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71">
        <f xml:space="preserve"> ((0.15+0.25)*2*5) + ((0.25+0.25)*2*1)</f>
        <v>5</v>
      </c>
      <c r="H364" s="47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71">
        <f xml:space="preserve"> ((0.2+0.25)*2*1) + ((0.15+0.25)*2*1) +  ((0.25+0.25)*2*1)</f>
        <v>2.7</v>
      </c>
      <c r="H365" s="47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71">
        <f xml:space="preserve"> ((0.15+0.25)*2*2) + ((0.25+0.25)*2*1)</f>
        <v>2.6</v>
      </c>
      <c r="H366" s="47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71">
        <f xml:space="preserve"> ((0.15+0.25)*2*2) + ((0.2+0.25)*2*2)</f>
        <v>3.4000000000000004</v>
      </c>
      <c r="H367" s="47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71">
        <f xml:space="preserve"> ((0.15+0.25)*2*3) + ((0.2+0.25)*2*1)</f>
        <v>3.3000000000000003</v>
      </c>
      <c r="H368" s="47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71">
        <f>((0.2+0.25)*2*3) + ((0.25+0.25)*2*1)</f>
        <v>3.7</v>
      </c>
      <c r="H369" s="47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71">
        <f>((0.2+0.2)*2*1)</f>
        <v>0.8</v>
      </c>
      <c r="H370" s="47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71">
        <f>((0.2+0.25)*2*1) + ((0.15+0.25)*2*1)</f>
        <v>1.7000000000000002</v>
      </c>
      <c r="H371" s="47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71">
        <f>((0.2+0.25)*2*1) + ((0.15+0.25)*2*2)</f>
        <v>2.5</v>
      </c>
      <c r="H372" s="47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71">
        <f xml:space="preserve"> ((0.2+0.3)*2*1) + ((0.15+0.25)*2*5) +  ((0.25+0.25)*2*1)</f>
        <v>6</v>
      </c>
      <c r="H373" s="47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71">
        <f>((0.15+0.3)*2*1)</f>
        <v>0.89999999999999991</v>
      </c>
      <c r="H374" s="47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71">
        <f>((0.15+0.5)*2*1)</f>
        <v>1.3</v>
      </c>
      <c r="H375" s="47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71">
        <f>((0.15+0.5)*2*1)</f>
        <v>1.3</v>
      </c>
      <c r="H376" s="47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71">
        <f>((0.15+0.25)*2*1)</f>
        <v>0.8</v>
      </c>
      <c r="H377" s="47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71">
        <f t="shared" ref="G378" si="18">((0.15+0.3)*2*1)</f>
        <v>0.89999999999999991</v>
      </c>
      <c r="H378" s="47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71">
        <f>((0.15+0.25)*2*1)</f>
        <v>0.8</v>
      </c>
      <c r="H379" s="47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71">
        <f>((0.15+0.3)*2*1)</f>
        <v>0.89999999999999991</v>
      </c>
      <c r="H380" s="47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/>
      <c r="E385" s="64"/>
      <c r="F385" s="94">
        <v>1</v>
      </c>
      <c r="G385" s="471">
        <f>0.8*327.43</f>
        <v>261.94400000000002</v>
      </c>
      <c r="H385" s="473"/>
      <c r="I385" s="474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471">
        <f>0.6*357.5</f>
        <v>214.5</v>
      </c>
      <c r="H387" s="473"/>
      <c r="I387" s="474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964</v>
      </c>
      <c r="E389" s="64"/>
      <c r="F389" s="94">
        <v>1</v>
      </c>
      <c r="G389" s="462">
        <f>0.4*39.1</f>
        <v>15.64</v>
      </c>
      <c r="H389" s="463"/>
      <c r="I389" s="464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s="371" customFormat="1" ht="22.9" customHeight="1" x14ac:dyDescent="0.25">
      <c r="B391" s="363"/>
      <c r="C391" s="364"/>
      <c r="D391" s="365" t="s">
        <v>953</v>
      </c>
      <c r="E391" s="366"/>
      <c r="F391" s="367">
        <v>1</v>
      </c>
      <c r="G391" s="524">
        <f>0.6* 692.8</f>
        <v>415.67999999999995</v>
      </c>
      <c r="H391" s="525"/>
      <c r="I391" s="526"/>
      <c r="J391" s="368"/>
      <c r="K391" s="369">
        <f>F391*G391</f>
        <v>415.67999999999995</v>
      </c>
      <c r="L391" s="369"/>
      <c r="M391" s="369"/>
      <c r="N391" s="370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s="371" customFormat="1" ht="19.899999999999999" customHeight="1" x14ac:dyDescent="0.25">
      <c r="B393" s="363"/>
      <c r="C393" s="364"/>
      <c r="D393" s="365" t="s">
        <v>953</v>
      </c>
      <c r="E393" s="366"/>
      <c r="F393" s="372">
        <v>1</v>
      </c>
      <c r="G393" s="524">
        <f>0.6* 95</f>
        <v>57</v>
      </c>
      <c r="H393" s="525"/>
      <c r="I393" s="526"/>
      <c r="J393" s="368"/>
      <c r="K393" s="369">
        <f>F393*G393</f>
        <v>57</v>
      </c>
      <c r="L393" s="369"/>
      <c r="M393" s="369"/>
      <c r="N393" s="370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958</v>
      </c>
      <c r="E395" s="64"/>
      <c r="F395" s="105">
        <v>1</v>
      </c>
      <c r="G395" s="471">
        <v>130.5</v>
      </c>
      <c r="H395" s="473"/>
      <c r="I395" s="474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958</v>
      </c>
      <c r="E397" s="64"/>
      <c r="F397" s="105">
        <v>1</v>
      </c>
      <c r="G397" s="471">
        <v>157.6</v>
      </c>
      <c r="H397" s="473"/>
      <c r="I397" s="474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958</v>
      </c>
      <c r="E399" s="64"/>
      <c r="F399" s="105">
        <v>1</v>
      </c>
      <c r="G399" s="471">
        <v>259</v>
      </c>
      <c r="H399" s="473"/>
      <c r="I399" s="474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962</v>
      </c>
      <c r="E401" s="64"/>
      <c r="F401" s="105">
        <v>1</v>
      </c>
      <c r="G401" s="514">
        <f>0.8*21.7</f>
        <v>17.36</v>
      </c>
      <c r="H401" s="514"/>
      <c r="I401" s="515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961</v>
      </c>
      <c r="E402" s="64"/>
      <c r="F402" s="105">
        <v>1</v>
      </c>
      <c r="G402" s="513">
        <v>2.04</v>
      </c>
      <c r="H402" s="514"/>
      <c r="I402" s="515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471">
        <f>K400</f>
        <v>19.399999999999999</v>
      </c>
      <c r="H404" s="473"/>
      <c r="I404" s="474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958</v>
      </c>
      <c r="E406" s="64"/>
      <c r="F406" s="105">
        <v>1</v>
      </c>
      <c r="G406" s="471">
        <v>217.7</v>
      </c>
      <c r="H406" s="473"/>
      <c r="I406" s="474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958</v>
      </c>
      <c r="E408" s="64"/>
      <c r="F408" s="105">
        <v>1</v>
      </c>
      <c r="G408" s="471">
        <v>154.80000000000001</v>
      </c>
      <c r="H408" s="473"/>
      <c r="I408" s="474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963</v>
      </c>
      <c r="E411" s="64"/>
      <c r="F411" s="105">
        <v>1</v>
      </c>
      <c r="G411" s="471">
        <f>0.3*997.11</f>
        <v>299.13299999999998</v>
      </c>
      <c r="H411" s="473"/>
      <c r="I411" s="474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959</v>
      </c>
      <c r="E414" s="69"/>
      <c r="F414" s="312">
        <v>1</v>
      </c>
      <c r="G414" s="462">
        <v>150</v>
      </c>
      <c r="H414" s="463"/>
      <c r="I414" s="464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463"/>
      <c r="H419" s="463"/>
      <c r="I419" s="464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51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960</v>
      </c>
      <c r="E421" s="44"/>
      <c r="F421" s="130">
        <v>2</v>
      </c>
      <c r="G421" s="462">
        <f>65.42</f>
        <v>65.42</v>
      </c>
      <c r="H421" s="465"/>
      <c r="I421" s="105">
        <v>3.1</v>
      </c>
      <c r="J421" s="99"/>
      <c r="K421" s="351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521" t="s">
        <v>836</v>
      </c>
      <c r="H425" s="522"/>
      <c r="I425" s="523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zoomScale="71" zoomScaleNormal="40" workbookViewId="0">
      <selection activeCell="M54" sqref="M5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966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v>45453</v>
      </c>
      <c r="C8" s="448"/>
      <c r="D8" s="23" t="s">
        <v>957</v>
      </c>
      <c r="E8" s="449">
        <f>'BOLETIM DE MEDIÇÃO 11'!AA209</f>
        <v>70347.038280000008</v>
      </c>
      <c r="F8" s="450"/>
      <c r="G8" s="451"/>
      <c r="H8" s="452">
        <f>'BOLETIM DE MEDIÇÃO 05'!H8</f>
        <v>274592.67562904983</v>
      </c>
      <c r="I8" s="453"/>
      <c r="J8" s="453"/>
      <c r="K8" s="453"/>
      <c r="L8" s="453"/>
      <c r="M8" s="453"/>
      <c r="N8" s="453"/>
      <c r="O8" s="453"/>
      <c r="P8" s="484"/>
      <c r="Q8" s="454" t="s">
        <v>955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3C01-0832-4A1C-89A2-B1B202E1AE62}">
  <sheetPr>
    <pageSetUpPr fitToPage="1"/>
  </sheetPr>
  <dimension ref="B1:Z200"/>
  <sheetViews>
    <sheetView topLeftCell="B1" zoomScale="69" zoomScaleNormal="86" zoomScalePageLayoutView="47" workbookViewId="0">
      <selection activeCell="Q47" sqref="Q47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1007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/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f>'BOLETIM DE MEDIÇÃO 11'!B8:C8</f>
        <v>45926</v>
      </c>
      <c r="C8" s="448"/>
      <c r="D8" s="23" t="str">
        <f>'BOLETIM DE MEDIÇÃO 11'!D8</f>
        <v>14/03/2025 a 26/09/2025</v>
      </c>
      <c r="E8" s="449">
        <f>'BOLETIM DE MEDIÇÃO 11'!E8</f>
        <v>125103.41000000003</v>
      </c>
      <c r="F8" s="450"/>
      <c r="G8" s="451"/>
      <c r="H8" s="141">
        <f>'BOLETIM DE MEDIÇÃO 11'!P8</f>
        <v>690790.10710544977</v>
      </c>
      <c r="I8" s="142"/>
      <c r="J8" s="142"/>
      <c r="K8" s="142"/>
      <c r="L8" s="142"/>
      <c r="M8" s="142"/>
      <c r="N8" s="142"/>
      <c r="O8" s="142"/>
      <c r="P8" s="410"/>
      <c r="Q8" s="454" t="s">
        <v>1006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1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5902-4C10-42F9-8C95-CB7CE1B92ADA}">
  <sheetPr>
    <pageSetUpPr fitToPage="1"/>
  </sheetPr>
  <dimension ref="B1:Z200"/>
  <sheetViews>
    <sheetView zoomScale="70" zoomScaleNormal="70" zoomScalePageLayoutView="47" workbookViewId="0">
      <selection activeCell="P42" sqref="P42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992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f>'BOLETIM DE MEDIÇÃO 11'!B8:C8</f>
        <v>45926</v>
      </c>
      <c r="C8" s="448"/>
      <c r="D8" s="23" t="str">
        <f>'BOLETIM DE MEDIÇÃO 11'!D8</f>
        <v>14/03/2025 a 26/09/2025</v>
      </c>
      <c r="E8" s="449">
        <f>'BOLETIM DE MEDIÇÃO 11'!E8</f>
        <v>125103.41000000003</v>
      </c>
      <c r="F8" s="450"/>
      <c r="G8" s="451"/>
      <c r="H8" s="452">
        <f>'BOLETIM DE MEDIÇÃO 05'!H8</f>
        <v>274592.67562904983</v>
      </c>
      <c r="I8" s="453"/>
      <c r="J8" s="453"/>
      <c r="K8" s="453"/>
      <c r="L8" s="453"/>
      <c r="M8" s="453"/>
      <c r="N8" s="453"/>
      <c r="O8" s="453"/>
      <c r="P8" s="484"/>
      <c r="Q8" s="454" t="s">
        <v>987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D39-9923-4D8D-A717-9F4D546EE60D}">
  <sheetPr>
    <pageSetUpPr fitToPage="1"/>
  </sheetPr>
  <dimension ref="B1:Z200"/>
  <sheetViews>
    <sheetView zoomScale="57" zoomScaleNormal="104" workbookViewId="0">
      <selection activeCell="I48" sqref="I48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3" t="s">
        <v>985</v>
      </c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81"/>
      <c r="Z3" s="436"/>
    </row>
    <row r="4" spans="2:26" ht="16.5" x14ac:dyDescent="0.25">
      <c r="B4" s="439" t="s">
        <v>542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16" t="s">
        <v>544</v>
      </c>
      <c r="P4" s="80" t="s">
        <v>555</v>
      </c>
      <c r="Q4" s="441">
        <v>1240378.43</v>
      </c>
      <c r="R4" s="442"/>
      <c r="S4" s="442"/>
      <c r="T4" s="442"/>
      <c r="U4" s="442"/>
      <c r="V4" s="442"/>
      <c r="W4" s="442"/>
      <c r="X4" s="442"/>
      <c r="Y4" s="482"/>
      <c r="Z4" s="43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82"/>
      <c r="Z5" s="437"/>
    </row>
    <row r="6" spans="2:26" ht="16.5" x14ac:dyDescent="0.25">
      <c r="B6" s="439" t="s">
        <v>518</v>
      </c>
      <c r="C6" s="440"/>
      <c r="D6" s="443"/>
      <c r="E6" s="444" t="s">
        <v>519</v>
      </c>
      <c r="F6" s="440"/>
      <c r="G6" s="440"/>
      <c r="H6" s="440"/>
      <c r="I6" s="440"/>
      <c r="J6" s="440"/>
      <c r="K6" s="440"/>
      <c r="L6" s="440"/>
      <c r="M6" s="440"/>
      <c r="N6" s="440"/>
      <c r="O6" s="445" t="s">
        <v>592</v>
      </c>
      <c r="P6" s="446"/>
      <c r="Q6" s="446"/>
      <c r="R6" s="446"/>
      <c r="S6" s="446"/>
      <c r="T6" s="446"/>
      <c r="U6" s="446"/>
      <c r="V6" s="446"/>
      <c r="W6" s="446"/>
      <c r="X6" s="446"/>
      <c r="Y6" s="482"/>
      <c r="Z6" s="43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82"/>
      <c r="Z7" s="437"/>
    </row>
    <row r="8" spans="2:26" ht="17.25" thickBot="1" x14ac:dyDescent="0.3">
      <c r="B8" s="447">
        <f>'BOLETIM DE MEDIÇÃO 11'!B8:C8</f>
        <v>45926</v>
      </c>
      <c r="C8" s="448"/>
      <c r="D8" s="23" t="str">
        <f>'BOLETIM DE MEDIÇÃO 11'!D8</f>
        <v>14/03/2025 a 26/09/2025</v>
      </c>
      <c r="E8" s="449">
        <f>'BOLETIM DE MEDIÇÃO 11'!E8</f>
        <v>125103.41000000003</v>
      </c>
      <c r="F8" s="450"/>
      <c r="G8" s="451"/>
      <c r="H8" s="452">
        <f>'BOLETIM DE MEDIÇÃO 05'!H8</f>
        <v>274592.67562904983</v>
      </c>
      <c r="I8" s="453"/>
      <c r="J8" s="453"/>
      <c r="K8" s="453"/>
      <c r="L8" s="453"/>
      <c r="M8" s="453"/>
      <c r="N8" s="453"/>
      <c r="O8" s="453"/>
      <c r="P8" s="484"/>
      <c r="Q8" s="454" t="s">
        <v>965</v>
      </c>
      <c r="R8" s="455"/>
      <c r="S8" s="455"/>
      <c r="T8" s="455"/>
      <c r="U8" s="455"/>
      <c r="V8" s="455"/>
      <c r="W8" s="455"/>
      <c r="X8" s="455"/>
      <c r="Y8" s="483"/>
      <c r="Z8" s="43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79" t="s">
        <v>565</v>
      </c>
      <c r="C10" s="480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</row>
    <row r="11" spans="2:26" ht="10.9" customHeight="1" thickBot="1" x14ac:dyDescent="0.3">
      <c r="B11" s="480"/>
      <c r="C11" s="480"/>
      <c r="D11" s="480"/>
      <c r="E11" s="480"/>
      <c r="F11" s="480"/>
      <c r="G11" s="480"/>
      <c r="H11" s="480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553"/>
      <c r="B1" s="553"/>
      <c r="C1" s="553"/>
      <c r="D1" s="553"/>
      <c r="E1" s="553"/>
      <c r="F1" s="553"/>
      <c r="G1" s="553"/>
      <c r="H1" s="553"/>
    </row>
    <row r="2" spans="1:8" ht="10.15" customHeight="1" x14ac:dyDescent="0.25">
      <c r="A2" s="1"/>
      <c r="B2" s="554" t="s">
        <v>0</v>
      </c>
      <c r="C2" s="554"/>
      <c r="D2" s="554"/>
      <c r="E2" s="554"/>
      <c r="F2" s="554"/>
      <c r="G2" s="554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552" t="s">
        <v>10</v>
      </c>
      <c r="C4" s="552"/>
      <c r="D4" s="552"/>
      <c r="E4" s="552"/>
      <c r="F4" s="552"/>
      <c r="G4" s="552"/>
      <c r="H4" s="4">
        <v>1240378.43</v>
      </c>
    </row>
    <row r="5" spans="1:8" ht="19.899999999999999" customHeight="1" x14ac:dyDescent="0.25">
      <c r="A5" s="3" t="s">
        <v>11</v>
      </c>
      <c r="B5" s="552" t="s">
        <v>12</v>
      </c>
      <c r="C5" s="552"/>
      <c r="D5" s="552"/>
      <c r="E5" s="552"/>
      <c r="F5" s="552"/>
      <c r="G5" s="552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552" t="s">
        <v>33</v>
      </c>
      <c r="C12" s="552"/>
      <c r="D12" s="552"/>
      <c r="E12" s="552"/>
      <c r="F12" s="552"/>
      <c r="G12" s="552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552" t="s">
        <v>49</v>
      </c>
      <c r="C17" s="552"/>
      <c r="D17" s="552"/>
      <c r="E17" s="552"/>
      <c r="F17" s="552"/>
      <c r="G17" s="552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552" t="s">
        <v>91</v>
      </c>
      <c r="C31" s="552"/>
      <c r="D31" s="552"/>
      <c r="E31" s="552"/>
      <c r="F31" s="552"/>
      <c r="G31" s="552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552" t="s">
        <v>134</v>
      </c>
      <c r="C47" s="552"/>
      <c r="D47" s="552"/>
      <c r="E47" s="552"/>
      <c r="F47" s="552"/>
      <c r="G47" s="552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552" t="s">
        <v>148</v>
      </c>
      <c r="C52" s="552"/>
      <c r="D52" s="552"/>
      <c r="E52" s="552"/>
      <c r="F52" s="552"/>
      <c r="G52" s="552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552" t="s">
        <v>162</v>
      </c>
      <c r="C57" s="552"/>
      <c r="D57" s="552"/>
      <c r="E57" s="552"/>
      <c r="F57" s="552"/>
      <c r="G57" s="552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1.2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552" t="s">
        <v>189</v>
      </c>
      <c r="C66" s="552"/>
      <c r="D66" s="552"/>
      <c r="E66" s="552"/>
      <c r="F66" s="552"/>
      <c r="G66" s="552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552" t="s">
        <v>209</v>
      </c>
      <c r="C73" s="552"/>
      <c r="D73" s="552"/>
      <c r="E73" s="552"/>
      <c r="F73" s="552"/>
      <c r="G73" s="552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552" t="s">
        <v>229</v>
      </c>
      <c r="C81" s="552"/>
      <c r="D81" s="552"/>
      <c r="E81" s="552"/>
      <c r="F81" s="552"/>
      <c r="G81" s="552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16.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552" t="s">
        <v>313</v>
      </c>
      <c r="C110" s="552"/>
      <c r="D110" s="552"/>
      <c r="E110" s="552"/>
      <c r="F110" s="552"/>
      <c r="G110" s="552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552" t="s">
        <v>339</v>
      </c>
      <c r="C119" s="552"/>
      <c r="D119" s="552"/>
      <c r="E119" s="552"/>
      <c r="F119" s="552"/>
      <c r="G119" s="552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552" t="s">
        <v>368</v>
      </c>
      <c r="C129" s="552"/>
      <c r="D129" s="552"/>
      <c r="E129" s="552"/>
      <c r="F129" s="552"/>
      <c r="G129" s="552"/>
      <c r="H129" s="4">
        <v>36628.07</v>
      </c>
    </row>
    <row r="130" spans="1:8" ht="41.2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1.2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16.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16.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16.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552" t="s">
        <v>436</v>
      </c>
      <c r="C152" s="552"/>
      <c r="D152" s="552"/>
      <c r="E152" s="552"/>
      <c r="F152" s="552"/>
      <c r="G152" s="552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1.2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552" t="s">
        <v>474</v>
      </c>
      <c r="C165" s="552"/>
      <c r="D165" s="552"/>
      <c r="E165" s="552"/>
      <c r="F165" s="552"/>
      <c r="G165" s="552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552" t="s">
        <v>501</v>
      </c>
      <c r="C185" s="552"/>
      <c r="D185" s="552"/>
      <c r="E185" s="552"/>
      <c r="F185" s="552"/>
      <c r="G185" s="552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551" t="s">
        <v>508</v>
      </c>
      <c r="G188" s="551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551" t="s">
        <v>509</v>
      </c>
      <c r="G189" s="551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551" t="s">
        <v>510</v>
      </c>
      <c r="G190" s="551"/>
      <c r="H190" s="4">
        <v>1240378.43</v>
      </c>
    </row>
  </sheetData>
  <mergeCells count="22">
    <mergeCell ref="A1:H1"/>
    <mergeCell ref="B2:G2"/>
    <mergeCell ref="B4:G4"/>
    <mergeCell ref="B5:G5"/>
    <mergeCell ref="B12:G12"/>
    <mergeCell ref="B17:G17"/>
    <mergeCell ref="B31:G31"/>
    <mergeCell ref="B47:G47"/>
    <mergeCell ref="B52:G52"/>
    <mergeCell ref="B57:G57"/>
    <mergeCell ref="B66:G66"/>
    <mergeCell ref="B73:G73"/>
    <mergeCell ref="B81:G81"/>
    <mergeCell ref="B110:G110"/>
    <mergeCell ref="B119:G119"/>
    <mergeCell ref="F189:G189"/>
    <mergeCell ref="F190:G190"/>
    <mergeCell ref="B129:G129"/>
    <mergeCell ref="B152:G152"/>
    <mergeCell ref="B165:G165"/>
    <mergeCell ref="B185:G185"/>
    <mergeCell ref="F188:G188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23</vt:i4>
      </vt:variant>
    </vt:vector>
  </HeadingPairs>
  <TitlesOfParts>
    <vt:vector size="46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11</vt:lpstr>
      <vt:lpstr>MEMÓRIA MEDIÇÃO 11</vt:lpstr>
      <vt:lpstr>MEMORIAL DE CALCULO 10</vt:lpstr>
      <vt:lpstr>MEMORIAL DE CALCULO 09)</vt:lpstr>
      <vt:lpstr>MEMORIAL DE CALCULO 08</vt:lpstr>
      <vt:lpstr>MEMORIAL DE CALCULO 07</vt:lpstr>
      <vt:lpstr>MEMORIAL DE CALCULO 06</vt:lpstr>
      <vt:lpstr>MEMORIAL FOTOGRÁFICO 06</vt:lpstr>
      <vt:lpstr>MEMORIAL FOTOGRÁFICO 09</vt:lpstr>
      <vt:lpstr>MEMORIAL FOTOGRÁFICO 08</vt:lpstr>
      <vt:lpstr>MEMORIAL FOTOGRÁFICO 07</vt:lpstr>
      <vt:lpstr>orcamento</vt:lpstr>
      <vt:lpstr>'BOLETIM DE MEDIÇÃO 05'!Area_de_impressao</vt:lpstr>
      <vt:lpstr>'BOLETIM DE MEDIÇÃO 11'!Area_de_impressao</vt:lpstr>
      <vt:lpstr>'MEMÓRIA MEDIÇÃO 11'!Area_de_impressao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DE CALCULO 07'!Area_de_impressao</vt:lpstr>
      <vt:lpstr>'MEMORIAL DE CALCULO 08'!Area_de_impressao</vt:lpstr>
      <vt:lpstr>'MEMORIAL DE CALCULO 09)'!Area_de_impressao</vt:lpstr>
      <vt:lpstr>'MEMORIAL DE CALCULO 10'!Area_de_impressao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'MEMORIAL FOTOGRÁFICO 07'!Area_de_impressao</vt:lpstr>
      <vt:lpstr>'MEMORIAL FOTOGRÁFICO 08'!Area_de_impressao</vt:lpstr>
      <vt:lpstr>'MEMORIAL FOTOGRÁFICO 09'!Area_de_impressao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2025-09-28T11:48:13Z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