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3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5.xml" ContentType="application/vnd.openxmlformats-officedocument.spreadsheetml.comments+xml"/>
  <Override PartName="/xl/drawings/drawing14.xml" ContentType="application/vnd.openxmlformats-officedocument.drawing+xml"/>
  <Override PartName="/xl/comments6.xml" ContentType="application/vnd.openxmlformats-officedocument.spreadsheetml.comments+xml"/>
  <Override PartName="/xl/drawings/drawing15.xml" ContentType="application/vnd.openxmlformats-officedocument.drawing+xml"/>
  <Override PartName="/xl/comments7.xml" ContentType="application/vnd.openxmlformats-officedocument.spreadsheetml.comments+xml"/>
  <Override PartName="/xl/drawings/drawing16.xml" ContentType="application/vnd.openxmlformats-officedocument.drawing+xml"/>
  <Override PartName="/xl/comments8.xml" ContentType="application/vnd.openxmlformats-officedocument.spreadsheetml.comments+xml"/>
  <Override PartName="/xl/drawings/drawing17.xml" ContentType="application/vnd.openxmlformats-officedocument.drawing+xml"/>
  <Override PartName="/xl/comments9.xml" ContentType="application/vnd.openxmlformats-officedocument.spreadsheetml.comment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166925"/>
  <xr:revisionPtr revIDLastSave="0" documentId="13_ncr:1_{B7A7E23F-C3FA-4A6F-A2AD-AB276C4B5B25}" xr6:coauthVersionLast="47" xr6:coauthVersionMax="47" xr10:uidLastSave="{00000000-0000-0000-0000-000000000000}"/>
  <bookViews>
    <workbookView xWindow="-120" yWindow="-120" windowWidth="20730" windowHeight="11160" firstSheet="11" activeTab="11" xr2:uid="{00000000-000D-0000-FFFF-FFFF00000000}"/>
  </bookViews>
  <sheets>
    <sheet name="MEMORIAL DE CALCULO 01" sheetId="3" state="hidden" r:id="rId1"/>
    <sheet name="MEMORIAL DE CALCULO 02" sheetId="5" state="hidden" r:id="rId2"/>
    <sheet name="MEMORIAL FOTOGRÁFICO 01" sheetId="4" state="hidden" r:id="rId3"/>
    <sheet name="MEMORIAL FOTOGRÁFICO 02" sheetId="6" state="hidden" r:id="rId4"/>
    <sheet name="MEMORIAL DE CALCULO 03" sheetId="9" state="hidden" r:id="rId5"/>
    <sheet name="MEMORIAL FOTOGRÁFICO 03" sheetId="10" state="hidden" r:id="rId6"/>
    <sheet name="MEMORIAL DE CALCULO 04" sheetId="11" state="hidden" r:id="rId7"/>
    <sheet name="BOLETIM DE MEDIÇÃO 05" sheetId="2" state="hidden" r:id="rId8"/>
    <sheet name="MEMORIAL DE CALCULO 05" sheetId="13" state="hidden" r:id="rId9"/>
    <sheet name="MEMORIAL FOTOGRÁFICO 04" sheetId="12" state="hidden" r:id="rId10"/>
    <sheet name="MEMORIAL FOTOGRÁFICO 05" sheetId="14" state="hidden" r:id="rId11"/>
    <sheet name="BOLETIM DE MEDIÇÃO 12" sheetId="15" r:id="rId12"/>
    <sheet name="MEMÓRIA MEDIÇÃO 12" sheetId="27" r:id="rId13"/>
    <sheet name="MEMORIAL DE CALCULO 10" sheetId="24" state="hidden" r:id="rId14"/>
    <sheet name="MEMORIAL DE CALCULO 09)" sheetId="22" state="hidden" r:id="rId15"/>
    <sheet name="MEMORIAL DE CALCULO 08" sheetId="20" state="hidden" r:id="rId16"/>
    <sheet name="MEMORIAL DE CALCULO 07" sheetId="18" state="hidden" r:id="rId17"/>
    <sheet name="MEMORIAL DE CALCULO 06" sheetId="16" state="hidden" r:id="rId18"/>
    <sheet name="MEMORIAL FOTOGRÁFICO 06" sheetId="17" state="hidden" r:id="rId19"/>
    <sheet name="MEMORIAL FOTOGRÁFICO 09" sheetId="23" state="hidden" r:id="rId20"/>
    <sheet name="MEMORIAL FOTOGRÁFICO 08" sheetId="21" state="hidden" r:id="rId21"/>
    <sheet name="MEMORIAL FOTOGRÁFICO 07" sheetId="19" state="hidden" r:id="rId22"/>
    <sheet name="orcamento" sheetId="1" state="hidden" r:id="rId23"/>
  </sheets>
  <definedNames>
    <definedName name="_xlnm.Print_Area" localSheetId="7">'BOLETIM DE MEDIÇÃO 05'!$B$2:$Z$198</definedName>
    <definedName name="_xlnm.Print_Area" localSheetId="11">'BOLETIM DE MEDIÇÃO 12'!$B$2:$AJ$227</definedName>
    <definedName name="_xlnm.Print_Area" localSheetId="12">'MEMÓRIA MEDIÇÃO 12'!$A$2:$F$205</definedName>
    <definedName name="_xlnm.Print_Area" localSheetId="0">'MEMORIAL DE CALCULO 01'!$B$2:$N$220</definedName>
    <definedName name="_xlnm.Print_Area" localSheetId="1">'MEMORIAL DE CALCULO 02'!$B$2:$N$451</definedName>
    <definedName name="_xlnm.Print_Area" localSheetId="4">'MEMORIAL DE CALCULO 03'!$B$2:$N$602</definedName>
    <definedName name="_xlnm.Print_Area" localSheetId="6">'MEMORIAL DE CALCULO 04'!$B$2:$N$724</definedName>
    <definedName name="_xlnm.Print_Area" localSheetId="8">'MEMORIAL DE CALCULO 05'!$B$2:$N$663</definedName>
    <definedName name="_xlnm.Print_Area" localSheetId="17">'MEMORIAL DE CALCULO 06'!$B$2:$N$432</definedName>
    <definedName name="_xlnm.Print_Area" localSheetId="16">'MEMORIAL DE CALCULO 07'!$B$2:$N$546</definedName>
    <definedName name="_xlnm.Print_Area" localSheetId="15">'MEMORIAL DE CALCULO 08'!$B$2:$N$547</definedName>
    <definedName name="_xlnm.Print_Area" localSheetId="14">'MEMORIAL DE CALCULO 09)'!$B$2:$N$549</definedName>
    <definedName name="_xlnm.Print_Area" localSheetId="13">'MEMORIAL DE CALCULO 10'!$B$2:$N$581</definedName>
    <definedName name="_xlnm.Print_Area" localSheetId="2">'MEMORIAL FOTOGRÁFICO 01'!$B$2:$Z$198</definedName>
    <definedName name="_xlnm.Print_Area" localSheetId="3">'MEMORIAL FOTOGRÁFICO 02'!$B$2:$Z$108</definedName>
    <definedName name="_xlnm.Print_Area" localSheetId="5">'MEMORIAL FOTOGRÁFICO 03'!$B$2:$Z$108</definedName>
    <definedName name="_xlnm.Print_Area" localSheetId="9">'MEMORIAL FOTOGRÁFICO 04'!$B$2:$Z$108</definedName>
    <definedName name="_xlnm.Print_Area" localSheetId="10">'MEMORIAL FOTOGRÁFICO 05'!$B$2:$Z$110</definedName>
    <definedName name="_xlnm.Print_Area" localSheetId="18">'MEMORIAL FOTOGRÁFICO 06'!$B$2:$Z$110</definedName>
    <definedName name="_xlnm.Print_Area" localSheetId="21">'MEMORIAL FOTOGRÁFICO 07'!$B$2:$Z$62</definedName>
    <definedName name="_xlnm.Print_Area" localSheetId="20">'MEMORIAL FOTOGRÁFICO 08'!$B$2:$Z$62</definedName>
    <definedName name="_xlnm.Print_Area" localSheetId="19">'MEMORIAL FOTOGRÁFICO 09'!$B$2:$Z$62</definedName>
    <definedName name="JR_PAGE_ANCHOR_0_1">orcamento!$A$1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0" i="27" l="1"/>
  <c r="F199" i="27"/>
  <c r="F69" i="27"/>
  <c r="F114" i="27"/>
  <c r="F22" i="27"/>
  <c r="H17" i="27"/>
  <c r="G17" i="27"/>
  <c r="H20" i="27"/>
  <c r="G20" i="27"/>
  <c r="F123" i="27"/>
  <c r="F129" i="27"/>
  <c r="F124" i="27"/>
  <c r="AS209" i="15" l="1"/>
  <c r="AR209" i="15"/>
  <c r="AQ209" i="15"/>
  <c r="AP209" i="15"/>
  <c r="AO209" i="15"/>
  <c r="AN209" i="15"/>
  <c r="AM209" i="15"/>
  <c r="AL209" i="15"/>
  <c r="AK209" i="15"/>
  <c r="W209" i="15"/>
  <c r="X209" i="15"/>
  <c r="Y209" i="15"/>
  <c r="Z209" i="15"/>
  <c r="AA209" i="15"/>
  <c r="AB209" i="15"/>
  <c r="AC209" i="15"/>
  <c r="AD209" i="15"/>
  <c r="AE209" i="15"/>
  <c r="AF209" i="15"/>
  <c r="AG209" i="15"/>
  <c r="S15" i="15" l="1"/>
  <c r="S16" i="15"/>
  <c r="AH16" i="15" s="1"/>
  <c r="AI16" i="15" s="1"/>
  <c r="S17" i="15"/>
  <c r="T17" i="15" s="1"/>
  <c r="S18" i="15"/>
  <c r="AH18" i="15" s="1"/>
  <c r="AI18" i="15" s="1"/>
  <c r="S19" i="15"/>
  <c r="S20" i="15"/>
  <c r="AH20" i="15" s="1"/>
  <c r="AI20" i="15" s="1"/>
  <c r="S21" i="15"/>
  <c r="S22" i="15"/>
  <c r="AH22" i="15" s="1"/>
  <c r="AI22" i="15" s="1"/>
  <c r="S23" i="15"/>
  <c r="S24" i="15"/>
  <c r="AH24" i="15" s="1"/>
  <c r="AI24" i="15" s="1"/>
  <c r="S25" i="15"/>
  <c r="S26" i="15"/>
  <c r="AH26" i="15" s="1"/>
  <c r="AI26" i="15" s="1"/>
  <c r="S27" i="15"/>
  <c r="S28" i="15"/>
  <c r="AH28" i="15" s="1"/>
  <c r="AI28" i="15" s="1"/>
  <c r="S29" i="15"/>
  <c r="S30" i="15"/>
  <c r="AH30" i="15" s="1"/>
  <c r="AI30" i="15" s="1"/>
  <c r="S31" i="15"/>
  <c r="S32" i="15"/>
  <c r="AH32" i="15" s="1"/>
  <c r="AI32" i="15" s="1"/>
  <c r="S33" i="15"/>
  <c r="S34" i="15"/>
  <c r="AH34" i="15" s="1"/>
  <c r="AI34" i="15" s="1"/>
  <c r="S35" i="15"/>
  <c r="S36" i="15"/>
  <c r="AH36" i="15" s="1"/>
  <c r="AI36" i="15" s="1"/>
  <c r="S37" i="15"/>
  <c r="S38" i="15"/>
  <c r="AH38" i="15" s="1"/>
  <c r="AI38" i="15" s="1"/>
  <c r="S39" i="15"/>
  <c r="S40" i="15"/>
  <c r="AH40" i="15" s="1"/>
  <c r="AI40" i="15" s="1"/>
  <c r="S41" i="15"/>
  <c r="S42" i="15"/>
  <c r="AH42" i="15" s="1"/>
  <c r="AI42" i="15" s="1"/>
  <c r="S43" i="15"/>
  <c r="S44" i="15"/>
  <c r="AH44" i="15" s="1"/>
  <c r="AI44" i="15" s="1"/>
  <c r="S45" i="15"/>
  <c r="S46" i="15"/>
  <c r="AH46" i="15" s="1"/>
  <c r="AI46" i="15" s="1"/>
  <c r="S47" i="15"/>
  <c r="S48" i="15"/>
  <c r="AH48" i="15" s="1"/>
  <c r="AI48" i="15" s="1"/>
  <c r="S49" i="15"/>
  <c r="S50" i="15"/>
  <c r="AH50" i="15" s="1"/>
  <c r="AI50" i="15" s="1"/>
  <c r="S51" i="15"/>
  <c r="S52" i="15"/>
  <c r="AH52" i="15" s="1"/>
  <c r="AI52" i="15" s="1"/>
  <c r="S53" i="15"/>
  <c r="S54" i="15"/>
  <c r="AH54" i="15" s="1"/>
  <c r="AI54" i="15" s="1"/>
  <c r="S55" i="15"/>
  <c r="S56" i="15"/>
  <c r="AH56" i="15" s="1"/>
  <c r="AI56" i="15" s="1"/>
  <c r="S57" i="15"/>
  <c r="S58" i="15"/>
  <c r="AH58" i="15" s="1"/>
  <c r="AI58" i="15" s="1"/>
  <c r="S59" i="15"/>
  <c r="S60" i="15"/>
  <c r="AH60" i="15" s="1"/>
  <c r="AI60" i="15" s="1"/>
  <c r="S61" i="15"/>
  <c r="S62" i="15"/>
  <c r="AH62" i="15" s="1"/>
  <c r="AI62" i="15" s="1"/>
  <c r="S63" i="15"/>
  <c r="S64" i="15"/>
  <c r="S65" i="15"/>
  <c r="S66" i="15"/>
  <c r="S67" i="15"/>
  <c r="S68" i="15"/>
  <c r="S69" i="15"/>
  <c r="S70" i="15"/>
  <c r="AH70" i="15" s="1"/>
  <c r="AI70" i="15" s="1"/>
  <c r="S71" i="15"/>
  <c r="S72" i="15"/>
  <c r="S73" i="15"/>
  <c r="S74" i="15"/>
  <c r="S75" i="15"/>
  <c r="S76" i="15"/>
  <c r="S77" i="15"/>
  <c r="S78" i="15"/>
  <c r="AH78" i="15" s="1"/>
  <c r="AI78" i="15" s="1"/>
  <c r="S79" i="15"/>
  <c r="S80" i="15"/>
  <c r="S81" i="15"/>
  <c r="S82" i="15"/>
  <c r="S83" i="15"/>
  <c r="S84" i="15"/>
  <c r="S85" i="15"/>
  <c r="S86" i="15"/>
  <c r="AH86" i="15" s="1"/>
  <c r="AI86" i="15" s="1"/>
  <c r="S87" i="15"/>
  <c r="S88" i="15"/>
  <c r="S89" i="15"/>
  <c r="S90" i="15"/>
  <c r="S91" i="15"/>
  <c r="S92" i="15"/>
  <c r="S93" i="15"/>
  <c r="S94" i="15"/>
  <c r="AH94" i="15" s="1"/>
  <c r="AI94" i="15" s="1"/>
  <c r="S95" i="15"/>
  <c r="S96" i="15"/>
  <c r="S97" i="15"/>
  <c r="S98" i="15"/>
  <c r="S99" i="15"/>
  <c r="S100" i="15"/>
  <c r="S101" i="15"/>
  <c r="S102" i="15"/>
  <c r="AH102" i="15" s="1"/>
  <c r="AI102" i="15" s="1"/>
  <c r="S103" i="15"/>
  <c r="S104" i="15"/>
  <c r="S105" i="15"/>
  <c r="S106" i="15"/>
  <c r="S107" i="15"/>
  <c r="S108" i="15"/>
  <c r="S109" i="15"/>
  <c r="S110" i="15"/>
  <c r="AH110" i="15" s="1"/>
  <c r="AI110" i="15" s="1"/>
  <c r="S111" i="15"/>
  <c r="S112" i="15"/>
  <c r="S113" i="15"/>
  <c r="S114" i="15"/>
  <c r="S115" i="15"/>
  <c r="S116" i="15"/>
  <c r="S117" i="15"/>
  <c r="S118" i="15"/>
  <c r="AH118" i="15" s="1"/>
  <c r="AI118" i="15" s="1"/>
  <c r="S119" i="15"/>
  <c r="S120" i="15"/>
  <c r="S121" i="15"/>
  <c r="S122" i="15"/>
  <c r="S123" i="15"/>
  <c r="S124" i="15"/>
  <c r="S125" i="15"/>
  <c r="S126" i="15"/>
  <c r="AH126" i="15" s="1"/>
  <c r="AI126" i="15" s="1"/>
  <c r="S127" i="15"/>
  <c r="S128" i="15"/>
  <c r="S129" i="15"/>
  <c r="S130" i="15"/>
  <c r="S131" i="15"/>
  <c r="S132" i="15"/>
  <c r="S133" i="15"/>
  <c r="S134" i="15"/>
  <c r="AH134" i="15" s="1"/>
  <c r="AI134" i="15" s="1"/>
  <c r="S135" i="15"/>
  <c r="S136" i="15"/>
  <c r="S137" i="15"/>
  <c r="S138" i="15"/>
  <c r="S139" i="15"/>
  <c r="S140" i="15"/>
  <c r="S141" i="15"/>
  <c r="S142" i="15"/>
  <c r="AH142" i="15" s="1"/>
  <c r="AI142" i="15" s="1"/>
  <c r="S143" i="15"/>
  <c r="S144" i="15"/>
  <c r="S145" i="15"/>
  <c r="S146" i="15"/>
  <c r="S147" i="15"/>
  <c r="S148" i="15"/>
  <c r="S149" i="15"/>
  <c r="S150" i="15"/>
  <c r="AH150" i="15" s="1"/>
  <c r="AI150" i="15" s="1"/>
  <c r="S151" i="15"/>
  <c r="S152" i="15"/>
  <c r="S153" i="15"/>
  <c r="S154" i="15"/>
  <c r="S155" i="15"/>
  <c r="S156" i="15"/>
  <c r="S157" i="15"/>
  <c r="S158" i="15"/>
  <c r="AH158" i="15" s="1"/>
  <c r="AI158" i="15" s="1"/>
  <c r="S159" i="15"/>
  <c r="S160" i="15"/>
  <c r="S161" i="15"/>
  <c r="S162" i="15"/>
  <c r="S163" i="15"/>
  <c r="S164" i="15"/>
  <c r="S165" i="15"/>
  <c r="S166" i="15"/>
  <c r="AH166" i="15" s="1"/>
  <c r="AI166" i="15" s="1"/>
  <c r="S167" i="15"/>
  <c r="S168" i="15"/>
  <c r="S169" i="15"/>
  <c r="S170" i="15"/>
  <c r="S171" i="15"/>
  <c r="S172" i="15"/>
  <c r="S173" i="15"/>
  <c r="S174" i="15"/>
  <c r="AH174" i="15" s="1"/>
  <c r="AI174" i="15" s="1"/>
  <c r="S175" i="15"/>
  <c r="S176" i="15"/>
  <c r="S177" i="15"/>
  <c r="S178" i="15"/>
  <c r="S179" i="15"/>
  <c r="S180" i="15"/>
  <c r="S181" i="15"/>
  <c r="S182" i="15"/>
  <c r="AH182" i="15" s="1"/>
  <c r="AI182" i="15" s="1"/>
  <c r="S183" i="15"/>
  <c r="T183" i="15" s="1"/>
  <c r="S184" i="15"/>
  <c r="S185" i="15"/>
  <c r="T185" i="15" s="1"/>
  <c r="S186" i="15"/>
  <c r="T186" i="15" s="1"/>
  <c r="S187" i="15"/>
  <c r="T187" i="15" s="1"/>
  <c r="S188" i="15"/>
  <c r="T188" i="15" s="1"/>
  <c r="S189" i="15"/>
  <c r="T189" i="15" s="1"/>
  <c r="S190" i="15"/>
  <c r="T190" i="15" s="1"/>
  <c r="S191" i="15"/>
  <c r="T191" i="15" s="1"/>
  <c r="S192" i="15"/>
  <c r="T192" i="15" s="1"/>
  <c r="S193" i="15"/>
  <c r="T193" i="15" s="1"/>
  <c r="S194" i="15"/>
  <c r="T194" i="15" s="1"/>
  <c r="S195" i="15"/>
  <c r="T195" i="15" s="1"/>
  <c r="S196" i="15"/>
  <c r="T196" i="15" s="1"/>
  <c r="S197" i="15"/>
  <c r="T197" i="15" s="1"/>
  <c r="S198" i="15"/>
  <c r="T198" i="15" s="1"/>
  <c r="S199" i="15"/>
  <c r="T199" i="15" s="1"/>
  <c r="S200" i="15"/>
  <c r="T200" i="15" s="1"/>
  <c r="S201" i="15"/>
  <c r="T201" i="15" s="1"/>
  <c r="S202" i="15"/>
  <c r="T202" i="15" s="1"/>
  <c r="S203" i="15"/>
  <c r="T203" i="15" s="1"/>
  <c r="S204" i="15"/>
  <c r="T204" i="15" s="1"/>
  <c r="S205" i="15"/>
  <c r="T205" i="15" s="1"/>
  <c r="U205" i="15" s="1"/>
  <c r="S206" i="15"/>
  <c r="T206" i="15" s="1"/>
  <c r="S207" i="15"/>
  <c r="T207" i="15" s="1"/>
  <c r="S208" i="15"/>
  <c r="T208" i="15" s="1"/>
  <c r="S14" i="15"/>
  <c r="AH14" i="15" s="1"/>
  <c r="AG15" i="15"/>
  <c r="AG16" i="15"/>
  <c r="AG17" i="15"/>
  <c r="AG21" i="15"/>
  <c r="AG22" i="15"/>
  <c r="AG23" i="15"/>
  <c r="AG26" i="15"/>
  <c r="AG29" i="15"/>
  <c r="AG30" i="15"/>
  <c r="AG32" i="15"/>
  <c r="AG33" i="15"/>
  <c r="AG34" i="15"/>
  <c r="AG36" i="15"/>
  <c r="AG37" i="15"/>
  <c r="AG38" i="15"/>
  <c r="AG40" i="15"/>
  <c r="AG41" i="15"/>
  <c r="AG42" i="15"/>
  <c r="AG43" i="15"/>
  <c r="AG44" i="15"/>
  <c r="AG45" i="15"/>
  <c r="AG46" i="15"/>
  <c r="AG47" i="15"/>
  <c r="AG48" i="15"/>
  <c r="AG49" i="15"/>
  <c r="AG50" i="15"/>
  <c r="AG51" i="15"/>
  <c r="AG52" i="15"/>
  <c r="AG53" i="15"/>
  <c r="AG54" i="15"/>
  <c r="AG56" i="15"/>
  <c r="AG57" i="15"/>
  <c r="AG58" i="15"/>
  <c r="AG59" i="15"/>
  <c r="AG62" i="15"/>
  <c r="AG63" i="15"/>
  <c r="AG78" i="15"/>
  <c r="AG82" i="15"/>
  <c r="AG83" i="15"/>
  <c r="AG86" i="15"/>
  <c r="AG94" i="15"/>
  <c r="AG108" i="15"/>
  <c r="AG109" i="15"/>
  <c r="AG110" i="15"/>
  <c r="AG118" i="15"/>
  <c r="AG119" i="15"/>
  <c r="AG120" i="15"/>
  <c r="AG126" i="15"/>
  <c r="AG134" i="15"/>
  <c r="AG150" i="15"/>
  <c r="AG154" i="15"/>
  <c r="AG155" i="15"/>
  <c r="AG157" i="15"/>
  <c r="AG158" i="15"/>
  <c r="AG166" i="15"/>
  <c r="AG174" i="15"/>
  <c r="AG176" i="15"/>
  <c r="AG177" i="15"/>
  <c r="AG178" i="15"/>
  <c r="AG179" i="15"/>
  <c r="AG180" i="15"/>
  <c r="AG181" i="15"/>
  <c r="AG183" i="15"/>
  <c r="AG184" i="15"/>
  <c r="AG185" i="15"/>
  <c r="AG186" i="15"/>
  <c r="AG187" i="15"/>
  <c r="AG188" i="15"/>
  <c r="AG189" i="15"/>
  <c r="AG190" i="15"/>
  <c r="AG14" i="15"/>
  <c r="T60" i="15" l="1"/>
  <c r="T126" i="15"/>
  <c r="T30" i="15"/>
  <c r="T46" i="15"/>
  <c r="T28" i="15"/>
  <c r="T70" i="15"/>
  <c r="T182" i="15"/>
  <c r="T62" i="15"/>
  <c r="T166" i="15"/>
  <c r="AH201" i="15"/>
  <c r="AI201" i="15" s="1"/>
  <c r="AH193" i="15"/>
  <c r="AI193" i="15" s="1"/>
  <c r="T158" i="15"/>
  <c r="AH185" i="15"/>
  <c r="AI185" i="15" s="1"/>
  <c r="T134" i="15"/>
  <c r="T44" i="15"/>
  <c r="AH207" i="15"/>
  <c r="AI207" i="15" s="1"/>
  <c r="AH199" i="15"/>
  <c r="AI199" i="15" s="1"/>
  <c r="AH191" i="15"/>
  <c r="AI191" i="15" s="1"/>
  <c r="T102" i="15"/>
  <c r="T52" i="15"/>
  <c r="T36" i="15"/>
  <c r="T20" i="15"/>
  <c r="AH205" i="15"/>
  <c r="AI205" i="15" s="1"/>
  <c r="AH197" i="15"/>
  <c r="AI197" i="15" s="1"/>
  <c r="AH189" i="15"/>
  <c r="AI189" i="15" s="1"/>
  <c r="T150" i="15"/>
  <c r="T94" i="15"/>
  <c r="T54" i="15"/>
  <c r="T38" i="15"/>
  <c r="T22" i="15"/>
  <c r="AH203" i="15"/>
  <c r="AI203" i="15" s="1"/>
  <c r="AH195" i="15"/>
  <c r="AI195" i="15" s="1"/>
  <c r="AH187" i="15"/>
  <c r="AI187" i="15" s="1"/>
  <c r="T184" i="15"/>
  <c r="AH184" i="15"/>
  <c r="AI184" i="15" s="1"/>
  <c r="T156" i="15"/>
  <c r="AH156" i="15"/>
  <c r="AI156" i="15" s="1"/>
  <c r="T145" i="15"/>
  <c r="AH145" i="15"/>
  <c r="AI145" i="15" s="1"/>
  <c r="T131" i="15"/>
  <c r="AH131" i="15"/>
  <c r="AI131" i="15" s="1"/>
  <c r="T120" i="15"/>
  <c r="AH120" i="15"/>
  <c r="AI120" i="15" s="1"/>
  <c r="T92" i="15"/>
  <c r="AH92" i="15"/>
  <c r="AI92" i="15" s="1"/>
  <c r="T63" i="15"/>
  <c r="AH63" i="15"/>
  <c r="AI63" i="15" s="1"/>
  <c r="T39" i="15"/>
  <c r="AH39" i="15"/>
  <c r="AI39" i="15" s="1"/>
  <c r="T15" i="15"/>
  <c r="AH15" i="15"/>
  <c r="AI15" i="15" s="1"/>
  <c r="T180" i="15"/>
  <c r="AH180" i="15"/>
  <c r="AI180" i="15" s="1"/>
  <c r="T176" i="15"/>
  <c r="AH176" i="15"/>
  <c r="AI176" i="15" s="1"/>
  <c r="T173" i="15"/>
  <c r="AH173" i="15"/>
  <c r="AI173" i="15" s="1"/>
  <c r="T169" i="15"/>
  <c r="AH169" i="15"/>
  <c r="AI169" i="15" s="1"/>
  <c r="T162" i="15"/>
  <c r="AH162" i="15"/>
  <c r="AI162" i="15" s="1"/>
  <c r="T155" i="15"/>
  <c r="AH155" i="15"/>
  <c r="AI155" i="15" s="1"/>
  <c r="T151" i="15"/>
  <c r="AH151" i="15"/>
  <c r="AI151" i="15" s="1"/>
  <c r="T148" i="15"/>
  <c r="AH148" i="15"/>
  <c r="AI148" i="15" s="1"/>
  <c r="T144" i="15"/>
  <c r="AH144" i="15"/>
  <c r="AI144" i="15" s="1"/>
  <c r="T141" i="15"/>
  <c r="AH141" i="15"/>
  <c r="AI141" i="15" s="1"/>
  <c r="T137" i="15"/>
  <c r="AH137" i="15"/>
  <c r="AI137" i="15" s="1"/>
  <c r="T130" i="15"/>
  <c r="AH130" i="15"/>
  <c r="AI130" i="15" s="1"/>
  <c r="T123" i="15"/>
  <c r="AH123" i="15"/>
  <c r="AI123" i="15" s="1"/>
  <c r="T119" i="15"/>
  <c r="AH119" i="15"/>
  <c r="AI119" i="15" s="1"/>
  <c r="T116" i="15"/>
  <c r="AH116" i="15"/>
  <c r="AI116" i="15" s="1"/>
  <c r="T112" i="15"/>
  <c r="AH112" i="15"/>
  <c r="AI112" i="15" s="1"/>
  <c r="T109" i="15"/>
  <c r="AH109" i="15"/>
  <c r="AI109" i="15" s="1"/>
  <c r="T105" i="15"/>
  <c r="AH105" i="15"/>
  <c r="AI105" i="15" s="1"/>
  <c r="T98" i="15"/>
  <c r="AH98" i="15"/>
  <c r="AI98" i="15" s="1"/>
  <c r="T91" i="15"/>
  <c r="AH91" i="15"/>
  <c r="AI91" i="15" s="1"/>
  <c r="T87" i="15"/>
  <c r="AH87" i="15"/>
  <c r="AI87" i="15" s="1"/>
  <c r="T84" i="15"/>
  <c r="AH84" i="15"/>
  <c r="AI84" i="15" s="1"/>
  <c r="T80" i="15"/>
  <c r="AH80" i="15"/>
  <c r="AI80" i="15" s="1"/>
  <c r="T77" i="15"/>
  <c r="AH77" i="15"/>
  <c r="AI77" i="15" s="1"/>
  <c r="T73" i="15"/>
  <c r="AH73" i="15"/>
  <c r="AI73" i="15" s="1"/>
  <c r="T66" i="15"/>
  <c r="AH66" i="15"/>
  <c r="AI66" i="15" s="1"/>
  <c r="T57" i="15"/>
  <c r="AH57" i="15"/>
  <c r="AI57" i="15" s="1"/>
  <c r="T49" i="15"/>
  <c r="AH49" i="15"/>
  <c r="AI49" i="15" s="1"/>
  <c r="T41" i="15"/>
  <c r="AH41" i="15"/>
  <c r="AI41" i="15" s="1"/>
  <c r="T33" i="15"/>
  <c r="AH33" i="15"/>
  <c r="AI33" i="15" s="1"/>
  <c r="T25" i="15"/>
  <c r="AH25" i="15"/>
  <c r="AI25" i="15" s="1"/>
  <c r="T177" i="15"/>
  <c r="AH177" i="15"/>
  <c r="AI177" i="15" s="1"/>
  <c r="T163" i="15"/>
  <c r="AH163" i="15"/>
  <c r="AI163" i="15" s="1"/>
  <c r="T152" i="15"/>
  <c r="AH152" i="15"/>
  <c r="AI152" i="15" s="1"/>
  <c r="T127" i="15"/>
  <c r="AH127" i="15"/>
  <c r="AI127" i="15" s="1"/>
  <c r="T117" i="15"/>
  <c r="AH117" i="15"/>
  <c r="AI117" i="15" s="1"/>
  <c r="T106" i="15"/>
  <c r="AH106" i="15"/>
  <c r="AI106" i="15" s="1"/>
  <c r="T95" i="15"/>
  <c r="AH95" i="15"/>
  <c r="AI95" i="15" s="1"/>
  <c r="T85" i="15"/>
  <c r="AH85" i="15"/>
  <c r="AI85" i="15" s="1"/>
  <c r="T74" i="15"/>
  <c r="AH74" i="15"/>
  <c r="AI74" i="15" s="1"/>
  <c r="T31" i="15"/>
  <c r="AH31" i="15"/>
  <c r="AI31" i="15" s="1"/>
  <c r="T23" i="15"/>
  <c r="AH23" i="15"/>
  <c r="AI23" i="15" s="1"/>
  <c r="T179" i="15"/>
  <c r="AH179" i="15"/>
  <c r="AI179" i="15" s="1"/>
  <c r="T175" i="15"/>
  <c r="AH175" i="15"/>
  <c r="AI175" i="15" s="1"/>
  <c r="T172" i="15"/>
  <c r="AH172" i="15"/>
  <c r="AI172" i="15" s="1"/>
  <c r="T168" i="15"/>
  <c r="AH168" i="15"/>
  <c r="AI168" i="15" s="1"/>
  <c r="T165" i="15"/>
  <c r="AH165" i="15"/>
  <c r="AI165" i="15" s="1"/>
  <c r="T161" i="15"/>
  <c r="AH161" i="15"/>
  <c r="AI161" i="15" s="1"/>
  <c r="T154" i="15"/>
  <c r="AH154" i="15"/>
  <c r="AI154" i="15" s="1"/>
  <c r="T147" i="15"/>
  <c r="AH147" i="15"/>
  <c r="AI147" i="15" s="1"/>
  <c r="T143" i="15"/>
  <c r="AH143" i="15"/>
  <c r="AI143" i="15" s="1"/>
  <c r="T140" i="15"/>
  <c r="AH140" i="15"/>
  <c r="AI140" i="15" s="1"/>
  <c r="T136" i="15"/>
  <c r="AH136" i="15"/>
  <c r="AI136" i="15" s="1"/>
  <c r="T133" i="15"/>
  <c r="AH133" i="15"/>
  <c r="AI133" i="15" s="1"/>
  <c r="T129" i="15"/>
  <c r="AH129" i="15"/>
  <c r="AI129" i="15" s="1"/>
  <c r="T122" i="15"/>
  <c r="AH122" i="15"/>
  <c r="AI122" i="15" s="1"/>
  <c r="T118" i="15"/>
  <c r="T115" i="15"/>
  <c r="AH115" i="15"/>
  <c r="AI115" i="15" s="1"/>
  <c r="T111" i="15"/>
  <c r="AH111" i="15"/>
  <c r="AI111" i="15" s="1"/>
  <c r="T108" i="15"/>
  <c r="AH108" i="15"/>
  <c r="AI108" i="15" s="1"/>
  <c r="T104" i="15"/>
  <c r="AH104" i="15"/>
  <c r="AI104" i="15" s="1"/>
  <c r="T101" i="15"/>
  <c r="AH101" i="15"/>
  <c r="AI101" i="15" s="1"/>
  <c r="T97" i="15"/>
  <c r="AH97" i="15"/>
  <c r="AI97" i="15" s="1"/>
  <c r="T90" i="15"/>
  <c r="AH90" i="15"/>
  <c r="AI90" i="15" s="1"/>
  <c r="T86" i="15"/>
  <c r="T83" i="15"/>
  <c r="AH83" i="15"/>
  <c r="AI83" i="15" s="1"/>
  <c r="T79" i="15"/>
  <c r="AH79" i="15"/>
  <c r="AI79" i="15" s="1"/>
  <c r="T76" i="15"/>
  <c r="AH76" i="15"/>
  <c r="AI76" i="15" s="1"/>
  <c r="T72" i="15"/>
  <c r="AH72" i="15"/>
  <c r="AI72" i="15" s="1"/>
  <c r="T69" i="15"/>
  <c r="AH69" i="15"/>
  <c r="AI69" i="15" s="1"/>
  <c r="T65" i="15"/>
  <c r="AH65" i="15"/>
  <c r="AI65" i="15" s="1"/>
  <c r="T59" i="15"/>
  <c r="AH59" i="15"/>
  <c r="AI59" i="15" s="1"/>
  <c r="T56" i="15"/>
  <c r="T51" i="15"/>
  <c r="AH51" i="15"/>
  <c r="AI51" i="15" s="1"/>
  <c r="T48" i="15"/>
  <c r="T43" i="15"/>
  <c r="AH43" i="15"/>
  <c r="AI43" i="15" s="1"/>
  <c r="T40" i="15"/>
  <c r="T35" i="15"/>
  <c r="AH35" i="15"/>
  <c r="AI35" i="15" s="1"/>
  <c r="T32" i="15"/>
  <c r="T27" i="15"/>
  <c r="AH27" i="15"/>
  <c r="AI27" i="15" s="1"/>
  <c r="T24" i="15"/>
  <c r="T19" i="15"/>
  <c r="AH19" i="15"/>
  <c r="AI19" i="15" s="1"/>
  <c r="T16" i="15"/>
  <c r="AH208" i="15"/>
  <c r="AI208" i="15" s="1"/>
  <c r="AH206" i="15"/>
  <c r="AI206" i="15" s="1"/>
  <c r="AH204" i="15"/>
  <c r="AI204" i="15" s="1"/>
  <c r="AH202" i="15"/>
  <c r="AI202" i="15" s="1"/>
  <c r="AH200" i="15"/>
  <c r="AI200" i="15" s="1"/>
  <c r="AH198" i="15"/>
  <c r="AI198" i="15" s="1"/>
  <c r="AH196" i="15"/>
  <c r="AI196" i="15" s="1"/>
  <c r="AH194" i="15"/>
  <c r="AI194" i="15" s="1"/>
  <c r="AH192" i="15"/>
  <c r="AI192" i="15" s="1"/>
  <c r="AH190" i="15"/>
  <c r="AI190" i="15" s="1"/>
  <c r="AH188" i="15"/>
  <c r="AI188" i="15" s="1"/>
  <c r="AH186" i="15"/>
  <c r="AI186" i="15" s="1"/>
  <c r="T181" i="15"/>
  <c r="AH181" i="15"/>
  <c r="AI181" i="15" s="1"/>
  <c r="T170" i="15"/>
  <c r="AH170" i="15"/>
  <c r="AI170" i="15" s="1"/>
  <c r="T159" i="15"/>
  <c r="AH159" i="15"/>
  <c r="AI159" i="15" s="1"/>
  <c r="T149" i="15"/>
  <c r="AH149" i="15"/>
  <c r="AI149" i="15" s="1"/>
  <c r="T138" i="15"/>
  <c r="AH138" i="15"/>
  <c r="AI138" i="15" s="1"/>
  <c r="T124" i="15"/>
  <c r="AH124" i="15"/>
  <c r="AI124" i="15" s="1"/>
  <c r="T113" i="15"/>
  <c r="AH113" i="15"/>
  <c r="AI113" i="15" s="1"/>
  <c r="T99" i="15"/>
  <c r="AH99" i="15"/>
  <c r="AI99" i="15" s="1"/>
  <c r="T88" i="15"/>
  <c r="AH88" i="15"/>
  <c r="AI88" i="15" s="1"/>
  <c r="T81" i="15"/>
  <c r="AH81" i="15"/>
  <c r="AI81" i="15" s="1"/>
  <c r="T67" i="15"/>
  <c r="AH67" i="15"/>
  <c r="AI67" i="15" s="1"/>
  <c r="T55" i="15"/>
  <c r="AH55" i="15"/>
  <c r="AI55" i="15" s="1"/>
  <c r="T47" i="15"/>
  <c r="AH47" i="15"/>
  <c r="AI47" i="15" s="1"/>
  <c r="AI14" i="15"/>
  <c r="T178" i="15"/>
  <c r="AH178" i="15"/>
  <c r="AI178" i="15" s="1"/>
  <c r="T174" i="15"/>
  <c r="T171" i="15"/>
  <c r="AH171" i="15"/>
  <c r="AI171" i="15" s="1"/>
  <c r="T167" i="15"/>
  <c r="AH167" i="15"/>
  <c r="AI167" i="15" s="1"/>
  <c r="T164" i="15"/>
  <c r="AH164" i="15"/>
  <c r="AI164" i="15" s="1"/>
  <c r="T160" i="15"/>
  <c r="AH160" i="15"/>
  <c r="AI160" i="15" s="1"/>
  <c r="T157" i="15"/>
  <c r="AH157" i="15"/>
  <c r="AI157" i="15" s="1"/>
  <c r="T153" i="15"/>
  <c r="AH153" i="15"/>
  <c r="AI153" i="15" s="1"/>
  <c r="T146" i="15"/>
  <c r="AH146" i="15"/>
  <c r="AI146" i="15" s="1"/>
  <c r="T142" i="15"/>
  <c r="T139" i="15"/>
  <c r="AH139" i="15"/>
  <c r="AI139" i="15" s="1"/>
  <c r="T135" i="15"/>
  <c r="AH135" i="15"/>
  <c r="AI135" i="15" s="1"/>
  <c r="T132" i="15"/>
  <c r="AH132" i="15"/>
  <c r="AI132" i="15" s="1"/>
  <c r="T128" i="15"/>
  <c r="AH128" i="15"/>
  <c r="AI128" i="15" s="1"/>
  <c r="T125" i="15"/>
  <c r="AH125" i="15"/>
  <c r="AI125" i="15" s="1"/>
  <c r="T121" i="15"/>
  <c r="AH121" i="15"/>
  <c r="AI121" i="15" s="1"/>
  <c r="T114" i="15"/>
  <c r="AH114" i="15"/>
  <c r="AI114" i="15" s="1"/>
  <c r="T110" i="15"/>
  <c r="T107" i="15"/>
  <c r="AH107" i="15"/>
  <c r="AI107" i="15" s="1"/>
  <c r="T103" i="15"/>
  <c r="AH103" i="15"/>
  <c r="AI103" i="15" s="1"/>
  <c r="T100" i="15"/>
  <c r="AH100" i="15"/>
  <c r="AI100" i="15" s="1"/>
  <c r="T96" i="15"/>
  <c r="AH96" i="15"/>
  <c r="AI96" i="15" s="1"/>
  <c r="T93" i="15"/>
  <c r="AH93" i="15"/>
  <c r="AI93" i="15" s="1"/>
  <c r="T89" i="15"/>
  <c r="AH89" i="15"/>
  <c r="AI89" i="15" s="1"/>
  <c r="T82" i="15"/>
  <c r="AH82" i="15"/>
  <c r="AI82" i="15" s="1"/>
  <c r="T78" i="15"/>
  <c r="T75" i="15"/>
  <c r="AH75" i="15"/>
  <c r="AI75" i="15" s="1"/>
  <c r="T71" i="15"/>
  <c r="AH71" i="15"/>
  <c r="AI71" i="15" s="1"/>
  <c r="T68" i="15"/>
  <c r="AH68" i="15"/>
  <c r="AI68" i="15" s="1"/>
  <c r="T64" i="15"/>
  <c r="AH64" i="15"/>
  <c r="AI64" i="15" s="1"/>
  <c r="T61" i="15"/>
  <c r="AH61" i="15"/>
  <c r="AI61" i="15" s="1"/>
  <c r="T58" i="15"/>
  <c r="T53" i="15"/>
  <c r="AH53" i="15"/>
  <c r="AI53" i="15" s="1"/>
  <c r="T50" i="15"/>
  <c r="T45" i="15"/>
  <c r="AH45" i="15"/>
  <c r="AI45" i="15" s="1"/>
  <c r="T42" i="15"/>
  <c r="T37" i="15"/>
  <c r="AH37" i="15"/>
  <c r="AI37" i="15" s="1"/>
  <c r="T34" i="15"/>
  <c r="T29" i="15"/>
  <c r="AH29" i="15"/>
  <c r="AI29" i="15" s="1"/>
  <c r="T26" i="15"/>
  <c r="T21" i="15"/>
  <c r="AH21" i="15"/>
  <c r="AI21" i="15" s="1"/>
  <c r="T18" i="15"/>
  <c r="AH183" i="15"/>
  <c r="AI183" i="15" s="1"/>
  <c r="AH17" i="15"/>
  <c r="AI17" i="15" s="1"/>
  <c r="T14" i="15"/>
  <c r="AG164" i="15"/>
  <c r="AG103" i="15"/>
  <c r="AG140" i="15"/>
  <c r="AG76" i="15"/>
  <c r="AG121" i="15"/>
  <c r="AG68" i="15"/>
  <c r="AG24" i="15"/>
  <c r="AG204" i="15"/>
  <c r="AG196" i="15"/>
  <c r="AG137" i="15"/>
  <c r="AG172" i="15"/>
  <c r="AG153" i="15"/>
  <c r="AG132" i="15"/>
  <c r="AG115" i="15"/>
  <c r="AG90" i="15"/>
  <c r="AG65" i="15"/>
  <c r="AG161" i="15"/>
  <c r="AG95" i="15"/>
  <c r="AG169" i="15"/>
  <c r="AG148" i="15"/>
  <c r="AG129" i="15"/>
  <c r="AG106" i="15"/>
  <c r="AG81" i="15"/>
  <c r="AG60" i="15"/>
  <c r="AG138" i="15"/>
  <c r="AG205" i="15"/>
  <c r="AG124" i="15"/>
  <c r="AG117" i="15"/>
  <c r="AG113" i="15"/>
  <c r="AG127" i="15"/>
  <c r="AG66" i="15"/>
  <c r="AG18" i="15"/>
  <c r="AG156" i="15"/>
  <c r="AG152" i="15"/>
  <c r="AG149" i="15"/>
  <c r="AG145" i="15"/>
  <c r="AG84" i="15"/>
  <c r="AG80" i="15"/>
  <c r="AG77" i="15"/>
  <c r="AG73" i="15"/>
  <c r="AG197" i="15"/>
  <c r="AG105" i="15"/>
  <c r="AG201" i="15"/>
  <c r="AG142" i="15"/>
  <c r="AG131" i="15"/>
  <c r="AG70" i="15"/>
  <c r="AG182" i="15"/>
  <c r="AG170" i="15"/>
  <c r="AG163" i="15"/>
  <c r="AG159" i="15"/>
  <c r="AG102" i="15"/>
  <c r="AG98" i="15"/>
  <c r="AG91" i="15"/>
  <c r="AG87" i="15"/>
  <c r="AG193" i="15"/>
  <c r="AG206" i="15"/>
  <c r="AG203" i="15"/>
  <c r="AG198" i="15"/>
  <c r="AG195" i="15"/>
  <c r="AG171" i="15"/>
  <c r="AG147" i="15"/>
  <c r="AG139" i="15"/>
  <c r="AG123" i="15"/>
  <c r="AG112" i="15"/>
  <c r="AG100" i="15"/>
  <c r="AG97" i="15"/>
  <c r="AG92" i="15"/>
  <c r="AG89" i="15"/>
  <c r="AG75" i="15"/>
  <c r="AG67" i="15"/>
  <c r="AG39" i="15"/>
  <c r="AG31" i="15"/>
  <c r="AG208" i="15"/>
  <c r="AG200" i="15"/>
  <c r="AG192" i="15"/>
  <c r="AG173" i="15"/>
  <c r="AG168" i="15"/>
  <c r="AG165" i="15"/>
  <c r="AG160" i="15"/>
  <c r="AG144" i="15"/>
  <c r="AG141" i="15"/>
  <c r="AG136" i="15"/>
  <c r="AG133" i="15"/>
  <c r="AG128" i="15"/>
  <c r="AG125" i="15"/>
  <c r="AG114" i="15"/>
  <c r="AG111" i="15"/>
  <c r="AG107" i="15"/>
  <c r="AG99" i="15"/>
  <c r="AG72" i="15"/>
  <c r="AG69" i="15"/>
  <c r="AG64" i="15"/>
  <c r="AG61" i="15"/>
  <c r="AG55" i="15"/>
  <c r="AG28" i="15"/>
  <c r="AG25" i="15"/>
  <c r="AG20" i="15"/>
  <c r="AG207" i="15"/>
  <c r="AG202" i="15"/>
  <c r="AG199" i="15"/>
  <c r="AG194" i="15"/>
  <c r="AG191" i="15"/>
  <c r="AG175" i="15"/>
  <c r="AG167" i="15"/>
  <c r="AG162" i="15"/>
  <c r="AG151" i="15"/>
  <c r="AG146" i="15"/>
  <c r="AG143" i="15"/>
  <c r="AG135" i="15"/>
  <c r="AG130" i="15"/>
  <c r="AG122" i="15"/>
  <c r="AG116" i="15"/>
  <c r="AG104" i="15"/>
  <c r="AG101" i="15"/>
  <c r="AG96" i="15"/>
  <c r="AG93" i="15"/>
  <c r="AG88" i="15"/>
  <c r="AG85" i="15"/>
  <c r="AG79" i="15"/>
  <c r="AG74" i="15"/>
  <c r="AG71" i="15"/>
  <c r="AG35" i="15"/>
  <c r="AG27" i="15"/>
  <c r="AG19" i="15"/>
  <c r="AH209" i="15" l="1"/>
  <c r="E8" i="15" s="1"/>
  <c r="AI209" i="15"/>
  <c r="M403" i="24" l="1"/>
  <c r="K404" i="24"/>
  <c r="K355" i="24"/>
  <c r="K354" i="24" s="1"/>
  <c r="M354" i="24"/>
  <c r="K341" i="24"/>
  <c r="G340" i="24"/>
  <c r="K340" i="24" s="1"/>
  <c r="G339" i="24"/>
  <c r="K339" i="24" s="1"/>
  <c r="G338" i="24"/>
  <c r="K338" i="24" s="1"/>
  <c r="G337" i="24"/>
  <c r="K337" i="24" s="1"/>
  <c r="G336" i="24"/>
  <c r="K336" i="24" s="1"/>
  <c r="G335" i="24"/>
  <c r="K335" i="24" s="1"/>
  <c r="G334" i="24"/>
  <c r="K334" i="24" s="1"/>
  <c r="G333" i="24"/>
  <c r="K333" i="24" s="1"/>
  <c r="G332" i="24"/>
  <c r="K332" i="24" s="1"/>
  <c r="G331" i="24"/>
  <c r="K331" i="24" s="1"/>
  <c r="G330" i="24"/>
  <c r="K330" i="24" s="1"/>
  <c r="G329" i="24"/>
  <c r="K329" i="24" s="1"/>
  <c r="G328" i="24"/>
  <c r="K328" i="24" s="1"/>
  <c r="G327" i="24"/>
  <c r="K327" i="24" s="1"/>
  <c r="G326" i="24"/>
  <c r="K326" i="24" s="1"/>
  <c r="G325" i="24"/>
  <c r="K325" i="24" s="1"/>
  <c r="G324" i="24"/>
  <c r="K324" i="24" s="1"/>
  <c r="G323" i="24"/>
  <c r="K323" i="24" s="1"/>
  <c r="G322" i="24"/>
  <c r="K322" i="24" s="1"/>
  <c r="G321" i="24"/>
  <c r="K321" i="24" s="1"/>
  <c r="G320" i="24"/>
  <c r="K320" i="24" s="1"/>
  <c r="G319" i="24"/>
  <c r="K319" i="24" s="1"/>
  <c r="G318" i="24"/>
  <c r="K318" i="24" s="1"/>
  <c r="M343" i="24"/>
  <c r="G408" i="24"/>
  <c r="G401" i="24"/>
  <c r="G400" i="24"/>
  <c r="G399" i="24"/>
  <c r="G398" i="24"/>
  <c r="G397" i="24"/>
  <c r="G396" i="24"/>
  <c r="G395" i="24"/>
  <c r="G394" i="24"/>
  <c r="G393" i="24"/>
  <c r="G392" i="24"/>
  <c r="G391" i="24"/>
  <c r="G390" i="24"/>
  <c r="G389" i="24"/>
  <c r="G388" i="24"/>
  <c r="G387" i="24"/>
  <c r="G386" i="24"/>
  <c r="G385" i="24"/>
  <c r="G384" i="24"/>
  <c r="G383" i="24"/>
  <c r="G382" i="24"/>
  <c r="G381" i="24"/>
  <c r="G380" i="24"/>
  <c r="G379" i="24"/>
  <c r="G378" i="24"/>
  <c r="G377" i="24"/>
  <c r="G376" i="24"/>
  <c r="G375" i="24"/>
  <c r="G374" i="24"/>
  <c r="G373" i="24"/>
  <c r="G372" i="24"/>
  <c r="G359" i="24"/>
  <c r="G351" i="24"/>
  <c r="G350" i="24"/>
  <c r="G349" i="24"/>
  <c r="G348" i="24"/>
  <c r="G347" i="24"/>
  <c r="G346" i="24"/>
  <c r="G345" i="24"/>
  <c r="G412" i="24"/>
  <c r="G422" i="24"/>
  <c r="G427" i="24"/>
  <c r="K306" i="24"/>
  <c r="G312" i="24"/>
  <c r="G311" i="24"/>
  <c r="G310" i="24"/>
  <c r="G309" i="24"/>
  <c r="G308" i="24"/>
  <c r="G305" i="24"/>
  <c r="G304" i="24"/>
  <c r="G303" i="24"/>
  <c r="G302" i="24"/>
  <c r="G301" i="24"/>
  <c r="G300" i="24"/>
  <c r="G299" i="24"/>
  <c r="G298" i="24"/>
  <c r="G297" i="24"/>
  <c r="G296" i="24"/>
  <c r="G295" i="24"/>
  <c r="G294" i="24"/>
  <c r="G293" i="24"/>
  <c r="G292" i="24"/>
  <c r="G291" i="24"/>
  <c r="G290" i="24"/>
  <c r="G289" i="24"/>
  <c r="G288" i="24"/>
  <c r="G287" i="24"/>
  <c r="G286" i="24"/>
  <c r="G285" i="24"/>
  <c r="G284" i="24"/>
  <c r="G283" i="24"/>
  <c r="G282" i="24"/>
  <c r="G281" i="24"/>
  <c r="G280" i="24"/>
  <c r="G279" i="24"/>
  <c r="G278" i="24"/>
  <c r="G277" i="24"/>
  <c r="G276" i="24"/>
  <c r="M270" i="24"/>
  <c r="K271" i="24"/>
  <c r="G272" i="24"/>
  <c r="K272" i="24" s="1"/>
  <c r="K216" i="24"/>
  <c r="M216" i="24"/>
  <c r="G261" i="24"/>
  <c r="M207" i="24"/>
  <c r="K208" i="24"/>
  <c r="K210" i="24"/>
  <c r="K214" i="24"/>
  <c r="K213" i="24"/>
  <c r="G212" i="24"/>
  <c r="K212" i="24" s="1"/>
  <c r="K211" i="24"/>
  <c r="K108" i="24"/>
  <c r="M108" i="24"/>
  <c r="G187" i="24"/>
  <c r="G185" i="24"/>
  <c r="G183" i="24"/>
  <c r="G172" i="24"/>
  <c r="K207" i="24" l="1"/>
  <c r="K591" i="24" l="1"/>
  <c r="K590" i="24"/>
  <c r="K589" i="24"/>
  <c r="K588" i="24"/>
  <c r="K587" i="24"/>
  <c r="G580" i="24"/>
  <c r="K580" i="24" s="1"/>
  <c r="K579" i="24" s="1"/>
  <c r="M579" i="24"/>
  <c r="G548" i="24"/>
  <c r="K548" i="24" s="1"/>
  <c r="K547" i="24" s="1"/>
  <c r="G543" i="24"/>
  <c r="K543" i="24" s="1"/>
  <c r="K542" i="24" s="1"/>
  <c r="N541" i="24"/>
  <c r="N540" i="24"/>
  <c r="K537" i="24"/>
  <c r="K536" i="24" s="1"/>
  <c r="K534" i="24"/>
  <c r="K533" i="24" s="1"/>
  <c r="N532" i="24"/>
  <c r="N531" i="24"/>
  <c r="N529" i="24"/>
  <c r="N528" i="24"/>
  <c r="N526" i="24"/>
  <c r="N525" i="24"/>
  <c r="N523" i="24"/>
  <c r="N522" i="24"/>
  <c r="N520" i="24"/>
  <c r="N519" i="24"/>
  <c r="N517" i="24"/>
  <c r="N516" i="24"/>
  <c r="N514" i="24"/>
  <c r="N513" i="24"/>
  <c r="N511" i="24"/>
  <c r="N510" i="24"/>
  <c r="N508" i="24"/>
  <c r="N507" i="24"/>
  <c r="N505" i="24"/>
  <c r="N504" i="24"/>
  <c r="K504" i="24"/>
  <c r="K503" i="24" s="1"/>
  <c r="N502" i="24"/>
  <c r="N501" i="24"/>
  <c r="K500" i="24"/>
  <c r="N499" i="24"/>
  <c r="N498" i="24"/>
  <c r="G498" i="24"/>
  <c r="K498" i="24" s="1"/>
  <c r="K497" i="24" s="1"/>
  <c r="N496" i="24"/>
  <c r="N495" i="24"/>
  <c r="G495" i="24"/>
  <c r="K495" i="24" s="1"/>
  <c r="K494" i="24" s="1"/>
  <c r="N493" i="24"/>
  <c r="N492" i="24"/>
  <c r="G492" i="24"/>
  <c r="K492" i="24" s="1"/>
  <c r="K491" i="24" s="1"/>
  <c r="N490" i="24"/>
  <c r="N489" i="24"/>
  <c r="G489" i="24"/>
  <c r="K489" i="24" s="1"/>
  <c r="K488" i="24" s="1"/>
  <c r="N487" i="24"/>
  <c r="N486" i="24"/>
  <c r="G486" i="24"/>
  <c r="K486" i="24" s="1"/>
  <c r="K485" i="24" s="1"/>
  <c r="K483" i="24"/>
  <c r="K482" i="24"/>
  <c r="K481" i="24"/>
  <c r="K480" i="24"/>
  <c r="K479" i="24"/>
  <c r="M478" i="24"/>
  <c r="K477" i="24"/>
  <c r="K476" i="24" s="1"/>
  <c r="M476" i="24"/>
  <c r="M473" i="24"/>
  <c r="K473" i="24"/>
  <c r="M471" i="24"/>
  <c r="K471" i="24"/>
  <c r="M469" i="24"/>
  <c r="K469" i="24"/>
  <c r="K468" i="24"/>
  <c r="K467" i="24"/>
  <c r="K466" i="24"/>
  <c r="K465" i="24"/>
  <c r="K464" i="24"/>
  <c r="K463" i="24"/>
  <c r="M462" i="24"/>
  <c r="K461" i="24"/>
  <c r="K460" i="24" s="1"/>
  <c r="M460" i="24"/>
  <c r="K457" i="24"/>
  <c r="K456" i="24" s="1"/>
  <c r="M456" i="24"/>
  <c r="K454" i="24"/>
  <c r="K453" i="24" s="1"/>
  <c r="M453" i="24"/>
  <c r="K451" i="24"/>
  <c r="K450" i="24" s="1"/>
  <c r="M450" i="24"/>
  <c r="M446" i="24"/>
  <c r="K445" i="24"/>
  <c r="K444" i="24" s="1"/>
  <c r="M444" i="24"/>
  <c r="K443" i="24"/>
  <c r="M442" i="24"/>
  <c r="K442" i="24"/>
  <c r="K441" i="24"/>
  <c r="K440" i="24" s="1"/>
  <c r="M440" i="24"/>
  <c r="K439" i="24"/>
  <c r="K438" i="24" s="1"/>
  <c r="M438" i="24"/>
  <c r="K437" i="24"/>
  <c r="K436" i="24" s="1"/>
  <c r="M436" i="24"/>
  <c r="K435" i="24"/>
  <c r="K434" i="24" s="1"/>
  <c r="M434" i="24"/>
  <c r="K433" i="24"/>
  <c r="K432" i="24" s="1"/>
  <c r="M432" i="24"/>
  <c r="K431" i="24"/>
  <c r="K430" i="24" s="1"/>
  <c r="M430" i="24"/>
  <c r="K429" i="24"/>
  <c r="K428" i="24" s="1"/>
  <c r="M428" i="24"/>
  <c r="K427" i="24"/>
  <c r="K426" i="24" s="1"/>
  <c r="M426" i="24"/>
  <c r="K425" i="24"/>
  <c r="K424" i="24" s="1"/>
  <c r="M424" i="24"/>
  <c r="K423" i="24"/>
  <c r="K422" i="24"/>
  <c r="M421" i="24"/>
  <c r="K420" i="24"/>
  <c r="K419" i="24"/>
  <c r="M418" i="24"/>
  <c r="M416" i="24"/>
  <c r="K416" i="24"/>
  <c r="M413" i="24"/>
  <c r="K413" i="24"/>
  <c r="K412" i="24"/>
  <c r="K315" i="24"/>
  <c r="K314" i="24" s="1"/>
  <c r="M314" i="24"/>
  <c r="G313" i="24"/>
  <c r="K313" i="24" s="1"/>
  <c r="K312" i="24"/>
  <c r="K311" i="24"/>
  <c r="K310" i="24"/>
  <c r="K309" i="24"/>
  <c r="K308" i="24"/>
  <c r="K305" i="24"/>
  <c r="K304" i="24"/>
  <c r="K303" i="24"/>
  <c r="K302" i="24"/>
  <c r="K301" i="24"/>
  <c r="K300" i="24"/>
  <c r="K299" i="24"/>
  <c r="K298" i="24"/>
  <c r="K297" i="24"/>
  <c r="K296" i="24"/>
  <c r="K295" i="24"/>
  <c r="K294" i="24"/>
  <c r="K293" i="24"/>
  <c r="K292" i="24"/>
  <c r="K291" i="24"/>
  <c r="K290" i="24"/>
  <c r="K289" i="24"/>
  <c r="K288" i="24"/>
  <c r="K287" i="24"/>
  <c r="K286" i="24"/>
  <c r="K285" i="24"/>
  <c r="K284" i="24"/>
  <c r="K283" i="24"/>
  <c r="K282" i="24"/>
  <c r="K281" i="24"/>
  <c r="K280" i="24"/>
  <c r="K279" i="24"/>
  <c r="K278" i="24"/>
  <c r="K277" i="24"/>
  <c r="K276" i="24"/>
  <c r="M264" i="24"/>
  <c r="K264" i="24"/>
  <c r="L207" i="24"/>
  <c r="K206" i="24"/>
  <c r="K205" i="24"/>
  <c r="K204" i="24"/>
  <c r="K203" i="24"/>
  <c r="K202" i="24"/>
  <c r="K201" i="24"/>
  <c r="K200" i="24"/>
  <c r="M198" i="24"/>
  <c r="K197" i="24"/>
  <c r="K196" i="24"/>
  <c r="K195" i="24"/>
  <c r="K194" i="24"/>
  <c r="K193" i="24"/>
  <c r="K192" i="24"/>
  <c r="K191" i="24"/>
  <c r="M189" i="24"/>
  <c r="I105" i="24"/>
  <c r="K105" i="24" s="1"/>
  <c r="I104" i="24"/>
  <c r="K104" i="24" s="1"/>
  <c r="I103" i="24"/>
  <c r="K103" i="24" s="1"/>
  <c r="I102" i="24"/>
  <c r="K102" i="24" s="1"/>
  <c r="I101" i="24"/>
  <c r="K101" i="24" s="1"/>
  <c r="I100" i="24"/>
  <c r="K100" i="24" s="1"/>
  <c r="I99" i="24"/>
  <c r="K99" i="24" s="1"/>
  <c r="I98" i="24"/>
  <c r="K98" i="24" s="1"/>
  <c r="I97" i="24"/>
  <c r="K97" i="24" s="1"/>
  <c r="I96" i="24"/>
  <c r="K96" i="24" s="1"/>
  <c r="I95" i="24"/>
  <c r="K95" i="24" s="1"/>
  <c r="I94" i="24"/>
  <c r="G94" i="24"/>
  <c r="I93" i="24"/>
  <c r="K93" i="24" s="1"/>
  <c r="I92" i="24"/>
  <c r="K92" i="24" s="1"/>
  <c r="I91" i="24"/>
  <c r="K91" i="24" s="1"/>
  <c r="I90" i="24"/>
  <c r="K90" i="24" s="1"/>
  <c r="I89" i="24"/>
  <c r="K89" i="24" s="1"/>
  <c r="I88" i="24"/>
  <c r="K88" i="24" s="1"/>
  <c r="I87" i="24"/>
  <c r="K87" i="24" s="1"/>
  <c r="I86" i="24"/>
  <c r="K86" i="24" s="1"/>
  <c r="I85" i="24"/>
  <c r="K85" i="24" s="1"/>
  <c r="I84" i="24"/>
  <c r="K84" i="24" s="1"/>
  <c r="I83" i="24"/>
  <c r="K83" i="24" s="1"/>
  <c r="I82" i="24"/>
  <c r="K82" i="24" s="1"/>
  <c r="I81" i="24"/>
  <c r="K81" i="24" s="1"/>
  <c r="I80" i="24"/>
  <c r="K80" i="24" s="1"/>
  <c r="I79" i="24"/>
  <c r="K79" i="24" s="1"/>
  <c r="I78" i="24"/>
  <c r="K78" i="24" s="1"/>
  <c r="I77" i="24"/>
  <c r="K77" i="24" s="1"/>
  <c r="I76" i="24"/>
  <c r="G76" i="24"/>
  <c r="I75" i="24"/>
  <c r="K75" i="24" s="1"/>
  <c r="I74" i="24"/>
  <c r="K74" i="24" s="1"/>
  <c r="M72" i="24"/>
  <c r="J72" i="24"/>
  <c r="L71" i="24"/>
  <c r="G70" i="24"/>
  <c r="K68" i="24" s="1"/>
  <c r="M68" i="24"/>
  <c r="K67" i="24"/>
  <c r="K66" i="24"/>
  <c r="K65" i="24"/>
  <c r="K64" i="24"/>
  <c r="K63" i="24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2" i="24"/>
  <c r="K31" i="24"/>
  <c r="K30" i="24"/>
  <c r="K29" i="24"/>
  <c r="K28" i="24"/>
  <c r="K27" i="24"/>
  <c r="M25" i="24"/>
  <c r="K25" i="24"/>
  <c r="M24" i="24"/>
  <c r="K24" i="24"/>
  <c r="K22" i="24"/>
  <c r="K21" i="24" s="1"/>
  <c r="M21" i="24"/>
  <c r="K20" i="24"/>
  <c r="K19" i="24" s="1"/>
  <c r="M19" i="24"/>
  <c r="K18" i="24"/>
  <c r="K17" i="24" s="1"/>
  <c r="M17" i="24"/>
  <c r="M16" i="24"/>
  <c r="K16" i="24"/>
  <c r="M15" i="24"/>
  <c r="K15" i="24"/>
  <c r="M14" i="24"/>
  <c r="K14" i="24"/>
  <c r="D8" i="24"/>
  <c r="B8" i="24"/>
  <c r="V15" i="15"/>
  <c r="V16" i="15"/>
  <c r="V17" i="15"/>
  <c r="V18" i="15"/>
  <c r="V19" i="15"/>
  <c r="V21" i="15"/>
  <c r="V22" i="15"/>
  <c r="V23" i="15"/>
  <c r="V24" i="15"/>
  <c r="V26" i="15"/>
  <c r="V27" i="15"/>
  <c r="V28" i="15"/>
  <c r="V29" i="15"/>
  <c r="V30" i="15"/>
  <c r="V31" i="15"/>
  <c r="V32" i="15"/>
  <c r="V33" i="15"/>
  <c r="V34" i="15"/>
  <c r="V35" i="15"/>
  <c r="V36" i="15"/>
  <c r="V37" i="15"/>
  <c r="V38" i="15"/>
  <c r="V40" i="15"/>
  <c r="V41" i="15"/>
  <c r="V42" i="15"/>
  <c r="V43" i="15"/>
  <c r="V44" i="15"/>
  <c r="V45" i="15"/>
  <c r="V46" i="15"/>
  <c r="V47" i="15"/>
  <c r="V48" i="15"/>
  <c r="V49" i="15"/>
  <c r="V50" i="15"/>
  <c r="V51" i="15"/>
  <c r="V52" i="15"/>
  <c r="V53" i="15"/>
  <c r="V54" i="15"/>
  <c r="V56" i="15"/>
  <c r="V57" i="15"/>
  <c r="V58" i="15"/>
  <c r="V59" i="15"/>
  <c r="V61" i="15"/>
  <c r="V62" i="15"/>
  <c r="V63" i="15"/>
  <c r="V64" i="15"/>
  <c r="V66" i="15"/>
  <c r="V67" i="15"/>
  <c r="V68" i="15"/>
  <c r="V69" i="15"/>
  <c r="V70" i="15"/>
  <c r="V71" i="15"/>
  <c r="V72" i="15"/>
  <c r="V73" i="15"/>
  <c r="V75" i="15"/>
  <c r="V76" i="15"/>
  <c r="V77" i="15"/>
  <c r="V78" i="15"/>
  <c r="V79" i="15"/>
  <c r="V80" i="15"/>
  <c r="V82" i="15"/>
  <c r="V83" i="15"/>
  <c r="V84" i="15"/>
  <c r="V85" i="15"/>
  <c r="V86" i="15"/>
  <c r="V87" i="15"/>
  <c r="V88" i="15"/>
  <c r="V90" i="15"/>
  <c r="V91" i="15"/>
  <c r="V92" i="15"/>
  <c r="V93" i="15"/>
  <c r="V94" i="15"/>
  <c r="V95" i="15"/>
  <c r="V96" i="15"/>
  <c r="V97" i="15"/>
  <c r="V98" i="15"/>
  <c r="V99" i="15"/>
  <c r="V100" i="15"/>
  <c r="V101" i="15"/>
  <c r="V102" i="15"/>
  <c r="V103" i="15"/>
  <c r="V104" i="15"/>
  <c r="V105" i="15"/>
  <c r="V106" i="15"/>
  <c r="V107" i="15"/>
  <c r="V108" i="15"/>
  <c r="V109" i="15"/>
  <c r="V110" i="15"/>
  <c r="V111" i="15"/>
  <c r="V112" i="15"/>
  <c r="V113" i="15"/>
  <c r="V114" i="15"/>
  <c r="V115" i="15"/>
  <c r="V116" i="15"/>
  <c r="V117" i="15"/>
  <c r="V119" i="15"/>
  <c r="V120" i="15"/>
  <c r="V121" i="15"/>
  <c r="V122" i="15"/>
  <c r="V123" i="15"/>
  <c r="V124" i="15"/>
  <c r="V125" i="15"/>
  <c r="V126" i="15"/>
  <c r="V128" i="15"/>
  <c r="V129" i="15"/>
  <c r="V130" i="15"/>
  <c r="V131" i="15"/>
  <c r="V132" i="15"/>
  <c r="V133" i="15"/>
  <c r="V134" i="15"/>
  <c r="V135" i="15"/>
  <c r="V136" i="15"/>
  <c r="V138" i="15"/>
  <c r="V139" i="15"/>
  <c r="V140" i="15"/>
  <c r="V141" i="15"/>
  <c r="V142" i="15"/>
  <c r="V143" i="15"/>
  <c r="V144" i="15"/>
  <c r="V145" i="15"/>
  <c r="V146" i="15"/>
  <c r="V147" i="15"/>
  <c r="V148" i="15"/>
  <c r="V149" i="15"/>
  <c r="V150" i="15"/>
  <c r="V151" i="15"/>
  <c r="V152" i="15"/>
  <c r="V153" i="15"/>
  <c r="V154" i="15"/>
  <c r="V155" i="15"/>
  <c r="V156" i="15"/>
  <c r="V157" i="15"/>
  <c r="V158" i="15"/>
  <c r="V159" i="15"/>
  <c r="V161" i="15"/>
  <c r="V162" i="15"/>
  <c r="V163" i="15"/>
  <c r="V164" i="15"/>
  <c r="V165" i="15"/>
  <c r="V166" i="15"/>
  <c r="V167" i="15"/>
  <c r="V168" i="15"/>
  <c r="V169" i="15"/>
  <c r="V170" i="15"/>
  <c r="V171" i="15"/>
  <c r="V172" i="15"/>
  <c r="V174" i="15"/>
  <c r="V175" i="15"/>
  <c r="V176" i="15"/>
  <c r="V177" i="15"/>
  <c r="V178" i="15"/>
  <c r="V179" i="15"/>
  <c r="V180" i="15"/>
  <c r="V181" i="15"/>
  <c r="V182" i="15"/>
  <c r="V183" i="15"/>
  <c r="V184" i="15"/>
  <c r="V185" i="15"/>
  <c r="V186" i="15"/>
  <c r="V187" i="15"/>
  <c r="V188" i="15"/>
  <c r="V189" i="15"/>
  <c r="V190" i="15"/>
  <c r="V191" i="15"/>
  <c r="V192" i="15"/>
  <c r="V194" i="15"/>
  <c r="V195" i="15"/>
  <c r="V197" i="15"/>
  <c r="V198" i="15"/>
  <c r="V199" i="15"/>
  <c r="V200" i="15"/>
  <c r="V201" i="15"/>
  <c r="V202" i="15"/>
  <c r="V203" i="15"/>
  <c r="V204" i="15"/>
  <c r="V205" i="15"/>
  <c r="V206" i="15"/>
  <c r="V207" i="15"/>
  <c r="V208" i="15"/>
  <c r="V14" i="15"/>
  <c r="K274" i="24" l="1"/>
  <c r="K421" i="24"/>
  <c r="K76" i="24"/>
  <c r="G106" i="24"/>
  <c r="K106" i="24" s="1"/>
  <c r="K418" i="24"/>
  <c r="K478" i="24"/>
  <c r="K584" i="24"/>
  <c r="K462" i="24"/>
  <c r="K94" i="24"/>
  <c r="L270" i="24"/>
  <c r="N270" i="24" s="1"/>
  <c r="K189" i="24"/>
  <c r="K198" i="24"/>
  <c r="K273" i="24"/>
  <c r="N207" i="24"/>
  <c r="W196" i="15"/>
  <c r="X196" i="15"/>
  <c r="Y196" i="15"/>
  <c r="Z196" i="15"/>
  <c r="AA196" i="15"/>
  <c r="AB196" i="15"/>
  <c r="AC196" i="15"/>
  <c r="AD196" i="15"/>
  <c r="AE196" i="15"/>
  <c r="U197" i="15"/>
  <c r="W197" i="15"/>
  <c r="X197" i="15"/>
  <c r="Y197" i="15"/>
  <c r="Z197" i="15"/>
  <c r="AA197" i="15"/>
  <c r="AB197" i="15"/>
  <c r="AC197" i="15"/>
  <c r="AD197" i="15"/>
  <c r="AE197" i="15"/>
  <c r="AF197" i="15"/>
  <c r="U198" i="15"/>
  <c r="W198" i="15"/>
  <c r="X198" i="15"/>
  <c r="Y198" i="15"/>
  <c r="Z198" i="15"/>
  <c r="AA198" i="15"/>
  <c r="AB198" i="15"/>
  <c r="AC198" i="15"/>
  <c r="AD198" i="15"/>
  <c r="AE198" i="15"/>
  <c r="AF198" i="15"/>
  <c r="U199" i="15"/>
  <c r="W199" i="15"/>
  <c r="X199" i="15"/>
  <c r="Y199" i="15"/>
  <c r="Z199" i="15"/>
  <c r="AA199" i="15"/>
  <c r="AB199" i="15"/>
  <c r="AC199" i="15"/>
  <c r="AD199" i="15"/>
  <c r="AE199" i="15"/>
  <c r="AF199" i="15"/>
  <c r="U200" i="15"/>
  <c r="W200" i="15"/>
  <c r="X200" i="15"/>
  <c r="Y200" i="15"/>
  <c r="Z200" i="15"/>
  <c r="AA200" i="15"/>
  <c r="AB200" i="15"/>
  <c r="AC200" i="15"/>
  <c r="AD200" i="15"/>
  <c r="AE200" i="15"/>
  <c r="AF200" i="15"/>
  <c r="U201" i="15"/>
  <c r="W201" i="15"/>
  <c r="X201" i="15"/>
  <c r="Y201" i="15"/>
  <c r="Z201" i="15"/>
  <c r="AA201" i="15"/>
  <c r="AB201" i="15"/>
  <c r="AC201" i="15"/>
  <c r="AD201" i="15"/>
  <c r="AE201" i="15"/>
  <c r="AF201" i="15"/>
  <c r="U202" i="15"/>
  <c r="W202" i="15"/>
  <c r="X202" i="15"/>
  <c r="Y202" i="15"/>
  <c r="Z202" i="15"/>
  <c r="AA202" i="15"/>
  <c r="AB202" i="15"/>
  <c r="AC202" i="15"/>
  <c r="AD202" i="15"/>
  <c r="AE202" i="15"/>
  <c r="AF202" i="15"/>
  <c r="U203" i="15"/>
  <c r="W203" i="15"/>
  <c r="X203" i="15"/>
  <c r="Y203" i="15"/>
  <c r="Z203" i="15"/>
  <c r="AA203" i="15"/>
  <c r="AB203" i="15"/>
  <c r="AC203" i="15"/>
  <c r="AD203" i="15"/>
  <c r="AE203" i="15"/>
  <c r="AF203" i="15"/>
  <c r="U204" i="15"/>
  <c r="W204" i="15"/>
  <c r="X204" i="15"/>
  <c r="Y204" i="15"/>
  <c r="Z204" i="15"/>
  <c r="AA204" i="15"/>
  <c r="AB204" i="15"/>
  <c r="AC204" i="15"/>
  <c r="AD204" i="15"/>
  <c r="AE204" i="15"/>
  <c r="AF204" i="15"/>
  <c r="W205" i="15"/>
  <c r="X205" i="15"/>
  <c r="Y205" i="15"/>
  <c r="Z205" i="15"/>
  <c r="AA205" i="15"/>
  <c r="AB205" i="15"/>
  <c r="AC205" i="15"/>
  <c r="AD205" i="15"/>
  <c r="AE205" i="15"/>
  <c r="AF205" i="15"/>
  <c r="U206" i="15"/>
  <c r="W206" i="15"/>
  <c r="X206" i="15"/>
  <c r="Y206" i="15"/>
  <c r="Z206" i="15"/>
  <c r="AA206" i="15"/>
  <c r="AB206" i="15"/>
  <c r="AC206" i="15"/>
  <c r="AD206" i="15"/>
  <c r="AE206" i="15"/>
  <c r="AF206" i="15"/>
  <c r="U207" i="15"/>
  <c r="W207" i="15"/>
  <c r="X207" i="15"/>
  <c r="Y207" i="15"/>
  <c r="Z207" i="15"/>
  <c r="AA207" i="15"/>
  <c r="AB207" i="15"/>
  <c r="AC207" i="15"/>
  <c r="AD207" i="15"/>
  <c r="AE207" i="15"/>
  <c r="AF207" i="15"/>
  <c r="U208" i="15"/>
  <c r="W208" i="15"/>
  <c r="X208" i="15"/>
  <c r="Y208" i="15"/>
  <c r="Z208" i="15"/>
  <c r="AA208" i="15"/>
  <c r="AB208" i="15"/>
  <c r="AC208" i="15"/>
  <c r="AD208" i="15"/>
  <c r="AE208" i="15"/>
  <c r="AF208" i="15"/>
  <c r="AF15" i="15"/>
  <c r="AF16" i="15"/>
  <c r="AF17" i="15"/>
  <c r="AF18" i="15"/>
  <c r="AF19" i="15"/>
  <c r="AF20" i="15"/>
  <c r="AF21" i="15"/>
  <c r="AF22" i="15"/>
  <c r="AF23" i="15"/>
  <c r="AF24" i="15"/>
  <c r="AF25" i="15"/>
  <c r="AF26" i="15"/>
  <c r="AF27" i="15"/>
  <c r="AF28" i="15"/>
  <c r="AF29" i="15"/>
  <c r="AF30" i="15"/>
  <c r="AF31" i="15"/>
  <c r="AF32" i="15"/>
  <c r="AF33" i="15"/>
  <c r="AF34" i="15"/>
  <c r="AF35" i="15"/>
  <c r="AF36" i="15"/>
  <c r="AF37" i="15"/>
  <c r="AF38" i="15"/>
  <c r="AF39" i="15"/>
  <c r="AF40" i="15"/>
  <c r="AF41" i="15"/>
  <c r="AF42" i="15"/>
  <c r="AF43" i="15"/>
  <c r="AF44" i="15"/>
  <c r="AF45" i="15"/>
  <c r="AF46" i="15"/>
  <c r="AF47" i="15"/>
  <c r="AF48" i="15"/>
  <c r="AF49" i="15"/>
  <c r="AF50" i="15"/>
  <c r="AF51" i="15"/>
  <c r="AF52" i="15"/>
  <c r="AF53" i="15"/>
  <c r="AF54" i="15"/>
  <c r="AF55" i="15"/>
  <c r="AF56" i="15"/>
  <c r="AF57" i="15"/>
  <c r="AF58" i="15"/>
  <c r="AF59" i="15"/>
  <c r="AF60" i="15"/>
  <c r="AF61" i="15"/>
  <c r="AF62" i="15"/>
  <c r="AF63" i="15"/>
  <c r="AF64" i="15"/>
  <c r="AF65" i="15"/>
  <c r="AF66" i="15"/>
  <c r="AF67" i="15"/>
  <c r="AF68" i="15"/>
  <c r="AF69" i="15"/>
  <c r="AF70" i="15"/>
  <c r="AF71" i="15"/>
  <c r="AF72" i="15"/>
  <c r="AF73" i="15"/>
  <c r="AF74" i="15"/>
  <c r="AF75" i="15"/>
  <c r="AF76" i="15"/>
  <c r="AF77" i="15"/>
  <c r="AF78" i="15"/>
  <c r="AF79" i="15"/>
  <c r="AF80" i="15"/>
  <c r="AF81" i="15"/>
  <c r="AF82" i="15"/>
  <c r="AF83" i="15"/>
  <c r="AF84" i="15"/>
  <c r="AF85" i="15"/>
  <c r="AF86" i="15"/>
  <c r="AF87" i="15"/>
  <c r="AF88" i="15"/>
  <c r="AF89" i="15"/>
  <c r="AF90" i="15"/>
  <c r="AF91" i="15"/>
  <c r="AF92" i="15"/>
  <c r="AF93" i="15"/>
  <c r="AF94" i="15"/>
  <c r="AF95" i="15"/>
  <c r="AF96" i="15"/>
  <c r="AF97" i="15"/>
  <c r="AF98" i="15"/>
  <c r="AF99" i="15"/>
  <c r="AF100" i="15"/>
  <c r="AF101" i="15"/>
  <c r="AF102" i="15"/>
  <c r="AF103" i="15"/>
  <c r="AF104" i="15"/>
  <c r="AF105" i="15"/>
  <c r="AF106" i="15"/>
  <c r="AF107" i="15"/>
  <c r="AF108" i="15"/>
  <c r="AF109" i="15"/>
  <c r="AF110" i="15"/>
  <c r="AF111" i="15"/>
  <c r="AF112" i="15"/>
  <c r="AF113" i="15"/>
  <c r="AF114" i="15"/>
  <c r="AF115" i="15"/>
  <c r="AF116" i="15"/>
  <c r="AF117" i="15"/>
  <c r="AF118" i="15"/>
  <c r="AF119" i="15"/>
  <c r="AF120" i="15"/>
  <c r="AF121" i="15"/>
  <c r="AF122" i="15"/>
  <c r="AF123" i="15"/>
  <c r="AF124" i="15"/>
  <c r="AF125" i="15"/>
  <c r="AF126" i="15"/>
  <c r="AF127" i="15"/>
  <c r="AF128" i="15"/>
  <c r="AF129" i="15"/>
  <c r="AF130" i="15"/>
  <c r="AF131" i="15"/>
  <c r="AF132" i="15"/>
  <c r="AF133" i="15"/>
  <c r="AF134" i="15"/>
  <c r="AF135" i="15"/>
  <c r="AF136" i="15"/>
  <c r="AF137" i="15"/>
  <c r="AF138" i="15"/>
  <c r="AF139" i="15"/>
  <c r="AF140" i="15"/>
  <c r="AF141" i="15"/>
  <c r="AF142" i="15"/>
  <c r="AF143" i="15"/>
  <c r="AF144" i="15"/>
  <c r="AF145" i="15"/>
  <c r="AF146" i="15"/>
  <c r="AF147" i="15"/>
  <c r="AF148" i="15"/>
  <c r="AF149" i="15"/>
  <c r="AF150" i="15"/>
  <c r="AF151" i="15"/>
  <c r="AF152" i="15"/>
  <c r="AF153" i="15"/>
  <c r="AF154" i="15"/>
  <c r="AF155" i="15"/>
  <c r="AF156" i="15"/>
  <c r="AF157" i="15"/>
  <c r="AF158" i="15"/>
  <c r="AF159" i="15"/>
  <c r="AF160" i="15"/>
  <c r="AF161" i="15"/>
  <c r="AF162" i="15"/>
  <c r="AF163" i="15"/>
  <c r="AF164" i="15"/>
  <c r="AF165" i="15"/>
  <c r="AF166" i="15"/>
  <c r="AF167" i="15"/>
  <c r="AF168" i="15"/>
  <c r="AF169" i="15"/>
  <c r="AF170" i="15"/>
  <c r="AF171" i="15"/>
  <c r="AF172" i="15"/>
  <c r="AF173" i="15"/>
  <c r="AF174" i="15"/>
  <c r="AF175" i="15"/>
  <c r="AF176" i="15"/>
  <c r="AF177" i="15"/>
  <c r="AF178" i="15"/>
  <c r="AF179" i="15"/>
  <c r="AF180" i="15"/>
  <c r="AF181" i="15"/>
  <c r="AF182" i="15"/>
  <c r="AF183" i="15"/>
  <c r="AF184" i="15"/>
  <c r="AF185" i="15"/>
  <c r="AF186" i="15"/>
  <c r="AF187" i="15"/>
  <c r="AF188" i="15"/>
  <c r="AF189" i="15"/>
  <c r="AF190" i="15"/>
  <c r="AF191" i="15"/>
  <c r="AF192" i="15"/>
  <c r="AF193" i="15"/>
  <c r="AF194" i="15"/>
  <c r="AF195" i="15"/>
  <c r="AF14" i="15"/>
  <c r="J452" i="24"/>
  <c r="J453" i="24"/>
  <c r="L453" i="24" s="1"/>
  <c r="N453" i="24" s="1"/>
  <c r="J454" i="24"/>
  <c r="J455" i="24"/>
  <c r="J456" i="24"/>
  <c r="L456" i="24" s="1"/>
  <c r="N456" i="24" s="1"/>
  <c r="J457" i="24"/>
  <c r="J458" i="24"/>
  <c r="J485" i="24"/>
  <c r="L485" i="24" s="1"/>
  <c r="N485" i="24" s="1"/>
  <c r="J488" i="24"/>
  <c r="L488" i="24" s="1"/>
  <c r="N488" i="24" s="1"/>
  <c r="J491" i="24"/>
  <c r="L491" i="24" s="1"/>
  <c r="N491" i="24" s="1"/>
  <c r="J494" i="24"/>
  <c r="L494" i="24" s="1"/>
  <c r="N494" i="24" s="1"/>
  <c r="J497" i="24"/>
  <c r="L497" i="24" s="1"/>
  <c r="N497" i="24" s="1"/>
  <c r="J500" i="24"/>
  <c r="L500" i="24" s="1"/>
  <c r="N500" i="24" s="1"/>
  <c r="J503" i="24"/>
  <c r="L503" i="24" s="1"/>
  <c r="N503" i="24" s="1"/>
  <c r="J506" i="24"/>
  <c r="L506" i="24" s="1"/>
  <c r="N506" i="24" s="1"/>
  <c r="J509" i="24"/>
  <c r="L509" i="24" s="1"/>
  <c r="N509" i="24" s="1"/>
  <c r="J512" i="24"/>
  <c r="L512" i="24" s="1"/>
  <c r="N512" i="24" s="1"/>
  <c r="J515" i="24"/>
  <c r="L515" i="24" s="1"/>
  <c r="N515" i="24" s="1"/>
  <c r="J518" i="24"/>
  <c r="L518" i="24" s="1"/>
  <c r="N518" i="24" s="1"/>
  <c r="J521" i="24"/>
  <c r="L521" i="24" s="1"/>
  <c r="N521" i="24" s="1"/>
  <c r="J524" i="24"/>
  <c r="L524" i="24" s="1"/>
  <c r="N524" i="24" s="1"/>
  <c r="J527" i="24"/>
  <c r="L527" i="24" s="1"/>
  <c r="N527" i="24" s="1"/>
  <c r="J530" i="24"/>
  <c r="L530" i="24" s="1"/>
  <c r="N530" i="24" s="1"/>
  <c r="J539" i="24"/>
  <c r="L539" i="24" s="1"/>
  <c r="N539" i="24" s="1"/>
  <c r="J544" i="24"/>
  <c r="L544" i="24" s="1"/>
  <c r="J547" i="24"/>
  <c r="L547" i="24" s="1"/>
  <c r="AJ207" i="15" l="1"/>
  <c r="AJ203" i="15"/>
  <c r="AJ204" i="15"/>
  <c r="AJ200" i="15"/>
  <c r="AJ205" i="15"/>
  <c r="AJ201" i="15"/>
  <c r="J316" i="24"/>
  <c r="L316" i="24" s="1"/>
  <c r="N316" i="24" s="1"/>
  <c r="K72" i="24"/>
  <c r="L72" i="24" s="1"/>
  <c r="N72" i="24" s="1"/>
  <c r="AJ208" i="15"/>
  <c r="AJ206" i="15"/>
  <c r="AJ202" i="15"/>
  <c r="AJ199" i="15"/>
  <c r="AJ198" i="15"/>
  <c r="AJ197" i="15"/>
  <c r="E8" i="24" l="1"/>
  <c r="M418" i="22"/>
  <c r="M430" i="22"/>
  <c r="K431" i="22"/>
  <c r="K413" i="22"/>
  <c r="K412" i="22" s="1"/>
  <c r="P53" i="15" s="1"/>
  <c r="K409" i="22"/>
  <c r="K408" i="22" s="1"/>
  <c r="P51" i="15" s="1"/>
  <c r="AE51" i="15" s="1"/>
  <c r="M400" i="22"/>
  <c r="K401" i="22"/>
  <c r="K400" i="22" s="1"/>
  <c r="P47" i="15" s="1"/>
  <c r="K397" i="22"/>
  <c r="K396" i="22" s="1"/>
  <c r="P45" i="15" s="1"/>
  <c r="K391" i="22"/>
  <c r="G390" i="22"/>
  <c r="K390" i="22" s="1"/>
  <c r="K388" i="22"/>
  <c r="K387" i="22"/>
  <c r="M384" i="22"/>
  <c r="K384" i="22"/>
  <c r="P40" i="15" s="1"/>
  <c r="D8" i="23"/>
  <c r="B8" i="23"/>
  <c r="K559" i="22"/>
  <c r="K558" i="22"/>
  <c r="K557" i="22"/>
  <c r="K556" i="22"/>
  <c r="K555" i="22"/>
  <c r="G548" i="22"/>
  <c r="K548" i="22" s="1"/>
  <c r="K547" i="22" s="1"/>
  <c r="M547" i="22"/>
  <c r="G516" i="22"/>
  <c r="K516" i="22" s="1"/>
  <c r="K515" i="22" s="1"/>
  <c r="G511" i="22"/>
  <c r="K511" i="22" s="1"/>
  <c r="K510" i="22" s="1"/>
  <c r="N509" i="22"/>
  <c r="N508" i="22"/>
  <c r="K505" i="22"/>
  <c r="K504" i="22" s="1"/>
  <c r="K502" i="22"/>
  <c r="K501" i="22" s="1"/>
  <c r="N500" i="22"/>
  <c r="N499" i="22"/>
  <c r="N497" i="22"/>
  <c r="N496" i="22"/>
  <c r="N494" i="22"/>
  <c r="N493" i="22"/>
  <c r="N491" i="22"/>
  <c r="N490" i="22"/>
  <c r="N488" i="22"/>
  <c r="N487" i="22"/>
  <c r="N485" i="22"/>
  <c r="N484" i="22"/>
  <c r="N482" i="22"/>
  <c r="N481" i="22"/>
  <c r="N479" i="22"/>
  <c r="N478" i="22"/>
  <c r="N476" i="22"/>
  <c r="N475" i="22"/>
  <c r="N473" i="22"/>
  <c r="N472" i="22"/>
  <c r="K472" i="22"/>
  <c r="K471" i="22" s="1"/>
  <c r="N470" i="22"/>
  <c r="N469" i="22"/>
  <c r="K468" i="22"/>
  <c r="N467" i="22"/>
  <c r="N466" i="22"/>
  <c r="G466" i="22"/>
  <c r="K466" i="22" s="1"/>
  <c r="K465" i="22" s="1"/>
  <c r="N464" i="22"/>
  <c r="N463" i="22"/>
  <c r="G463" i="22"/>
  <c r="K463" i="22" s="1"/>
  <c r="K462" i="22" s="1"/>
  <c r="N461" i="22"/>
  <c r="N460" i="22"/>
  <c r="G460" i="22"/>
  <c r="K460" i="22" s="1"/>
  <c r="K459" i="22" s="1"/>
  <c r="N458" i="22"/>
  <c r="N457" i="22"/>
  <c r="G457" i="22"/>
  <c r="K457" i="22" s="1"/>
  <c r="K456" i="22" s="1"/>
  <c r="N455" i="22"/>
  <c r="N454" i="22"/>
  <c r="G454" i="22"/>
  <c r="K454" i="22" s="1"/>
  <c r="K453" i="22" s="1"/>
  <c r="K451" i="22"/>
  <c r="K450" i="22"/>
  <c r="K449" i="22"/>
  <c r="K448" i="22"/>
  <c r="K447" i="22"/>
  <c r="M446" i="22"/>
  <c r="K445" i="22"/>
  <c r="K444" i="22" s="1"/>
  <c r="M444" i="22"/>
  <c r="M441" i="22"/>
  <c r="K441" i="22"/>
  <c r="M439" i="22"/>
  <c r="K439" i="22"/>
  <c r="M437" i="22"/>
  <c r="K437" i="22"/>
  <c r="K436" i="22"/>
  <c r="K435" i="22"/>
  <c r="K434" i="22"/>
  <c r="K433" i="22"/>
  <c r="K432" i="22"/>
  <c r="K429" i="22"/>
  <c r="K428" i="22" s="1"/>
  <c r="P82" i="15" s="1"/>
  <c r="AE82" i="15" s="1"/>
  <c r="M428" i="22"/>
  <c r="K425" i="22"/>
  <c r="M424" i="22"/>
  <c r="K422" i="22"/>
  <c r="K421" i="22" s="1"/>
  <c r="M421" i="22"/>
  <c r="K419" i="22"/>
  <c r="K418" i="22" s="1"/>
  <c r="P56" i="15" s="1"/>
  <c r="AE56" i="15" s="1"/>
  <c r="M414" i="22"/>
  <c r="M412" i="22"/>
  <c r="M410" i="22"/>
  <c r="M408" i="22"/>
  <c r="K407" i="22"/>
  <c r="K406" i="22" s="1"/>
  <c r="P50" i="15" s="1"/>
  <c r="M406" i="22"/>
  <c r="K405" i="22"/>
  <c r="K404" i="22" s="1"/>
  <c r="P49" i="15" s="1"/>
  <c r="AE49" i="15" s="1"/>
  <c r="M404" i="22"/>
  <c r="K403" i="22"/>
  <c r="K402" i="22" s="1"/>
  <c r="P48" i="15" s="1"/>
  <c r="M402" i="22"/>
  <c r="K399" i="22"/>
  <c r="K398" i="22" s="1"/>
  <c r="P46" i="15" s="1"/>
  <c r="M398" i="22"/>
  <c r="M396" i="22"/>
  <c r="G395" i="22"/>
  <c r="K395" i="22" s="1"/>
  <c r="K394" i="22" s="1"/>
  <c r="M394" i="22"/>
  <c r="K393" i="22"/>
  <c r="K392" i="22" s="1"/>
  <c r="P43" i="15" s="1"/>
  <c r="M392" i="22"/>
  <c r="M389" i="22"/>
  <c r="M386" i="22"/>
  <c r="M381" i="22"/>
  <c r="K381" i="22"/>
  <c r="G380" i="22"/>
  <c r="K380" i="22" s="1"/>
  <c r="G379" i="22"/>
  <c r="K379" i="22" s="1"/>
  <c r="G378" i="22"/>
  <c r="K378" i="22" s="1"/>
  <c r="G377" i="22"/>
  <c r="K377" i="22" s="1"/>
  <c r="G376" i="22"/>
  <c r="K376" i="22" s="1"/>
  <c r="G375" i="22"/>
  <c r="K375" i="22" s="1"/>
  <c r="G374" i="22"/>
  <c r="K374" i="22" s="1"/>
  <c r="G373" i="22"/>
  <c r="K373" i="22" s="1"/>
  <c r="G372" i="22"/>
  <c r="K372" i="22" s="1"/>
  <c r="G371" i="22"/>
  <c r="K371" i="22" s="1"/>
  <c r="G370" i="22"/>
  <c r="K370" i="22" s="1"/>
  <c r="G369" i="22"/>
  <c r="K369" i="22" s="1"/>
  <c r="G368" i="22"/>
  <c r="K368" i="22" s="1"/>
  <c r="G367" i="22"/>
  <c r="K367" i="22" s="1"/>
  <c r="G366" i="22"/>
  <c r="K366" i="22" s="1"/>
  <c r="G365" i="22"/>
  <c r="K365" i="22" s="1"/>
  <c r="G364" i="22"/>
  <c r="K364" i="22" s="1"/>
  <c r="G363" i="22"/>
  <c r="K363" i="22" s="1"/>
  <c r="G362" i="22"/>
  <c r="K362" i="22" s="1"/>
  <c r="G361" i="22"/>
  <c r="K361" i="22" s="1"/>
  <c r="G360" i="22"/>
  <c r="K360" i="22" s="1"/>
  <c r="G359" i="22"/>
  <c r="K359" i="22" s="1"/>
  <c r="G358" i="22"/>
  <c r="K358" i="22" s="1"/>
  <c r="G357" i="22"/>
  <c r="K357" i="22" s="1"/>
  <c r="G356" i="22"/>
  <c r="K356" i="22" s="1"/>
  <c r="G355" i="22"/>
  <c r="K355" i="22" s="1"/>
  <c r="G354" i="22"/>
  <c r="K354" i="22" s="1"/>
  <c r="G353" i="22"/>
  <c r="K353" i="22" s="1"/>
  <c r="G352" i="22"/>
  <c r="K352" i="22" s="1"/>
  <c r="G351" i="22"/>
  <c r="K351" i="22" s="1"/>
  <c r="K349" i="22"/>
  <c r="K348" i="22"/>
  <c r="K347" i="22"/>
  <c r="K346" i="22"/>
  <c r="K345" i="22"/>
  <c r="K344" i="22"/>
  <c r="K343" i="22"/>
  <c r="M340" i="22"/>
  <c r="K340" i="22"/>
  <c r="G338" i="22"/>
  <c r="K338" i="22" s="1"/>
  <c r="G337" i="22"/>
  <c r="K337" i="22" s="1"/>
  <c r="G336" i="22"/>
  <c r="K336" i="22" s="1"/>
  <c r="G335" i="22"/>
  <c r="K335" i="22" s="1"/>
  <c r="G334" i="22"/>
  <c r="K334" i="22" s="1"/>
  <c r="G333" i="22"/>
  <c r="K333" i="22" s="1"/>
  <c r="G332" i="22"/>
  <c r="K332" i="22" s="1"/>
  <c r="M330" i="22"/>
  <c r="K330" i="22"/>
  <c r="G329" i="22"/>
  <c r="K329" i="22" s="1"/>
  <c r="G328" i="22"/>
  <c r="K328" i="22" s="1"/>
  <c r="G327" i="22"/>
  <c r="K327" i="22" s="1"/>
  <c r="G326" i="22"/>
  <c r="K326" i="22" s="1"/>
  <c r="G325" i="22"/>
  <c r="K325" i="22" s="1"/>
  <c r="G324" i="22"/>
  <c r="K324" i="22" s="1"/>
  <c r="G323" i="22"/>
  <c r="K323" i="22" s="1"/>
  <c r="G322" i="22"/>
  <c r="K322" i="22" s="1"/>
  <c r="G321" i="22"/>
  <c r="K321" i="22" s="1"/>
  <c r="G320" i="22"/>
  <c r="K320" i="22" s="1"/>
  <c r="G319" i="22"/>
  <c r="K319" i="22" s="1"/>
  <c r="G318" i="22"/>
  <c r="K318" i="22" s="1"/>
  <c r="G317" i="22"/>
  <c r="K317" i="22" s="1"/>
  <c r="G316" i="22"/>
  <c r="K316" i="22" s="1"/>
  <c r="G315" i="22"/>
  <c r="K315" i="22" s="1"/>
  <c r="G314" i="22"/>
  <c r="K314" i="22" s="1"/>
  <c r="G313" i="22"/>
  <c r="K313" i="22" s="1"/>
  <c r="G312" i="22"/>
  <c r="K312" i="22" s="1"/>
  <c r="G311" i="22"/>
  <c r="K311" i="22" s="1"/>
  <c r="G310" i="22"/>
  <c r="K310" i="22" s="1"/>
  <c r="G309" i="22"/>
  <c r="K309" i="22" s="1"/>
  <c r="G308" i="22"/>
  <c r="K308" i="22" s="1"/>
  <c r="G307" i="22"/>
  <c r="K307" i="22" s="1"/>
  <c r="M304" i="22"/>
  <c r="K303" i="22"/>
  <c r="K302" i="22" s="1"/>
  <c r="M302" i="22"/>
  <c r="G301" i="22"/>
  <c r="K301" i="22" s="1"/>
  <c r="G300" i="22"/>
  <c r="K300" i="22" s="1"/>
  <c r="G299" i="22"/>
  <c r="K299" i="22" s="1"/>
  <c r="G298" i="22"/>
  <c r="K298" i="22" s="1"/>
  <c r="G297" i="22"/>
  <c r="K297" i="22" s="1"/>
  <c r="G296" i="22"/>
  <c r="K296" i="22" s="1"/>
  <c r="G295" i="22"/>
  <c r="K295" i="22" s="1"/>
  <c r="G293" i="22"/>
  <c r="K293" i="22" s="1"/>
  <c r="G292" i="22"/>
  <c r="K292" i="22" s="1"/>
  <c r="G291" i="22"/>
  <c r="K291" i="22" s="1"/>
  <c r="G290" i="22"/>
  <c r="K290" i="22" s="1"/>
  <c r="G289" i="22"/>
  <c r="K289" i="22" s="1"/>
  <c r="G288" i="22"/>
  <c r="K288" i="22" s="1"/>
  <c r="G287" i="22"/>
  <c r="K287" i="22" s="1"/>
  <c r="G286" i="22"/>
  <c r="K286" i="22" s="1"/>
  <c r="G285" i="22"/>
  <c r="K285" i="22" s="1"/>
  <c r="G284" i="22"/>
  <c r="K284" i="22" s="1"/>
  <c r="G283" i="22"/>
  <c r="K283" i="22" s="1"/>
  <c r="G282" i="22"/>
  <c r="K282" i="22" s="1"/>
  <c r="G281" i="22"/>
  <c r="K281" i="22" s="1"/>
  <c r="G280" i="22"/>
  <c r="K280" i="22" s="1"/>
  <c r="G279" i="22"/>
  <c r="K279" i="22" s="1"/>
  <c r="G278" i="22"/>
  <c r="K278" i="22" s="1"/>
  <c r="G277" i="22"/>
  <c r="K277" i="22" s="1"/>
  <c r="G276" i="22"/>
  <c r="K276" i="22" s="1"/>
  <c r="G275" i="22"/>
  <c r="K275" i="22" s="1"/>
  <c r="G274" i="22"/>
  <c r="K274" i="22" s="1"/>
  <c r="G273" i="22"/>
  <c r="K273" i="22" s="1"/>
  <c r="G272" i="22"/>
  <c r="K272" i="22" s="1"/>
  <c r="G271" i="22"/>
  <c r="K271" i="22" s="1"/>
  <c r="G270" i="22"/>
  <c r="K270" i="22" s="1"/>
  <c r="G269" i="22"/>
  <c r="K269" i="22" s="1"/>
  <c r="G268" i="22"/>
  <c r="K268" i="22" s="1"/>
  <c r="G267" i="22"/>
  <c r="K267" i="22" s="1"/>
  <c r="G266" i="22"/>
  <c r="K266" i="22" s="1"/>
  <c r="G265" i="22"/>
  <c r="K265" i="22" s="1"/>
  <c r="G264" i="22"/>
  <c r="K264" i="22" s="1"/>
  <c r="M262" i="22"/>
  <c r="K262" i="22"/>
  <c r="G261" i="22"/>
  <c r="K260" i="22" s="1"/>
  <c r="M260" i="22"/>
  <c r="M257" i="22"/>
  <c r="K257" i="22"/>
  <c r="K256" i="22"/>
  <c r="K255" i="22"/>
  <c r="K254" i="22"/>
  <c r="K253" i="22"/>
  <c r="K252" i="22"/>
  <c r="K251" i="22"/>
  <c r="K250" i="22"/>
  <c r="K248" i="22"/>
  <c r="K247" i="22"/>
  <c r="K246" i="22"/>
  <c r="K245" i="22"/>
  <c r="K244" i="22"/>
  <c r="K243" i="22"/>
  <c r="K242" i="22"/>
  <c r="K241" i="22"/>
  <c r="K240" i="22"/>
  <c r="K239" i="22"/>
  <c r="K238" i="22"/>
  <c r="K237" i="22"/>
  <c r="K236" i="22"/>
  <c r="K235" i="22"/>
  <c r="K234" i="22"/>
  <c r="K233" i="22"/>
  <c r="K232" i="22"/>
  <c r="K231" i="22"/>
  <c r="K230" i="22"/>
  <c r="K229" i="22"/>
  <c r="K228" i="22"/>
  <c r="K227" i="22"/>
  <c r="K226" i="22"/>
  <c r="K225" i="22"/>
  <c r="K224" i="22"/>
  <c r="K223" i="22"/>
  <c r="K222" i="22"/>
  <c r="K221" i="22"/>
  <c r="K220" i="22"/>
  <c r="K219" i="22"/>
  <c r="K218" i="22"/>
  <c r="K216" i="22"/>
  <c r="K215" i="22"/>
  <c r="K214" i="22"/>
  <c r="K213" i="22"/>
  <c r="K212" i="22"/>
  <c r="K211" i="22"/>
  <c r="K210" i="22"/>
  <c r="M208" i="22"/>
  <c r="K208" i="22"/>
  <c r="G207" i="22"/>
  <c r="K207" i="22" s="1"/>
  <c r="G206" i="22"/>
  <c r="K206" i="22" s="1"/>
  <c r="G205" i="22"/>
  <c r="K205" i="22" s="1"/>
  <c r="G204" i="22"/>
  <c r="K204" i="22" s="1"/>
  <c r="G203" i="22"/>
  <c r="K203" i="22" s="1"/>
  <c r="G202" i="22"/>
  <c r="K202" i="22" s="1"/>
  <c r="G201" i="22"/>
  <c r="K201" i="22" s="1"/>
  <c r="G178" i="22"/>
  <c r="G177" i="22"/>
  <c r="G176" i="22"/>
  <c r="G175" i="22"/>
  <c r="G174" i="22"/>
  <c r="K174" i="22" s="1"/>
  <c r="M172" i="22"/>
  <c r="K172" i="22"/>
  <c r="K171" i="22"/>
  <c r="K170" i="22"/>
  <c r="K169" i="22"/>
  <c r="K168" i="22"/>
  <c r="K167" i="22"/>
  <c r="K166" i="22"/>
  <c r="K165" i="22"/>
  <c r="M163" i="22"/>
  <c r="K162" i="22"/>
  <c r="K161" i="22"/>
  <c r="K160" i="22"/>
  <c r="K159" i="22"/>
  <c r="K158" i="22"/>
  <c r="K157" i="22"/>
  <c r="K156" i="22"/>
  <c r="M154" i="22"/>
  <c r="K153" i="22"/>
  <c r="K152" i="22"/>
  <c r="K151" i="22"/>
  <c r="K150" i="22"/>
  <c r="K149" i="22"/>
  <c r="K148" i="22"/>
  <c r="K147" i="22"/>
  <c r="K146" i="22"/>
  <c r="K145" i="22"/>
  <c r="K144" i="22"/>
  <c r="K143" i="22"/>
  <c r="K142" i="22"/>
  <c r="K141" i="22"/>
  <c r="K140" i="22"/>
  <c r="K139" i="22"/>
  <c r="K138" i="22"/>
  <c r="K137" i="22"/>
  <c r="K136" i="22"/>
  <c r="K135" i="22"/>
  <c r="K134" i="22"/>
  <c r="K133" i="22"/>
  <c r="K132" i="22"/>
  <c r="K131" i="22"/>
  <c r="K130" i="22"/>
  <c r="K129" i="22"/>
  <c r="K128" i="22"/>
  <c r="K127" i="22"/>
  <c r="K126" i="22"/>
  <c r="K125" i="22"/>
  <c r="K124" i="22"/>
  <c r="K123" i="22"/>
  <c r="K122" i="22"/>
  <c r="K121" i="22"/>
  <c r="K120" i="22"/>
  <c r="K119" i="22"/>
  <c r="K118" i="22"/>
  <c r="K117" i="22"/>
  <c r="K116" i="22"/>
  <c r="K115" i="22"/>
  <c r="K114" i="22"/>
  <c r="K113" i="22"/>
  <c r="K112" i="22"/>
  <c r="K111" i="22"/>
  <c r="K110" i="22"/>
  <c r="M108" i="22"/>
  <c r="I105" i="22"/>
  <c r="K105" i="22" s="1"/>
  <c r="I104" i="22"/>
  <c r="K104" i="22" s="1"/>
  <c r="I103" i="22"/>
  <c r="K103" i="22" s="1"/>
  <c r="I102" i="22"/>
  <c r="K102" i="22" s="1"/>
  <c r="I101" i="22"/>
  <c r="K101" i="22" s="1"/>
  <c r="I100" i="22"/>
  <c r="K100" i="22" s="1"/>
  <c r="I99" i="22"/>
  <c r="K99" i="22" s="1"/>
  <c r="I98" i="22"/>
  <c r="K98" i="22" s="1"/>
  <c r="I97" i="22"/>
  <c r="K97" i="22" s="1"/>
  <c r="I96" i="22"/>
  <c r="K96" i="22" s="1"/>
  <c r="I95" i="22"/>
  <c r="K95" i="22" s="1"/>
  <c r="I94" i="22"/>
  <c r="G94" i="22"/>
  <c r="I93" i="22"/>
  <c r="K93" i="22" s="1"/>
  <c r="I92" i="22"/>
  <c r="K92" i="22" s="1"/>
  <c r="I91" i="22"/>
  <c r="K91" i="22" s="1"/>
  <c r="I90" i="22"/>
  <c r="K90" i="22" s="1"/>
  <c r="I89" i="22"/>
  <c r="K89" i="22" s="1"/>
  <c r="I88" i="22"/>
  <c r="K88" i="22" s="1"/>
  <c r="I87" i="22"/>
  <c r="K87" i="22" s="1"/>
  <c r="I86" i="22"/>
  <c r="K86" i="22" s="1"/>
  <c r="I85" i="22"/>
  <c r="K85" i="22" s="1"/>
  <c r="I84" i="22"/>
  <c r="K84" i="22" s="1"/>
  <c r="I83" i="22"/>
  <c r="K83" i="22" s="1"/>
  <c r="I82" i="22"/>
  <c r="K82" i="22" s="1"/>
  <c r="I81" i="22"/>
  <c r="K81" i="22" s="1"/>
  <c r="I80" i="22"/>
  <c r="K80" i="22" s="1"/>
  <c r="I79" i="22"/>
  <c r="K79" i="22" s="1"/>
  <c r="I78" i="22"/>
  <c r="K78" i="22" s="1"/>
  <c r="I77" i="22"/>
  <c r="K77" i="22" s="1"/>
  <c r="I76" i="22"/>
  <c r="G76" i="22"/>
  <c r="I75" i="22"/>
  <c r="K75" i="22" s="1"/>
  <c r="I74" i="22"/>
  <c r="K74" i="22" s="1"/>
  <c r="M72" i="22"/>
  <c r="J72" i="22"/>
  <c r="L71" i="22"/>
  <c r="G70" i="22"/>
  <c r="K68" i="22" s="1"/>
  <c r="M68" i="22"/>
  <c r="K67" i="22"/>
  <c r="K66" i="22"/>
  <c r="K65" i="22"/>
  <c r="K64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M25" i="22"/>
  <c r="K25" i="22"/>
  <c r="M24" i="22"/>
  <c r="K24" i="22"/>
  <c r="K22" i="22"/>
  <c r="K21" i="22" s="1"/>
  <c r="M21" i="22"/>
  <c r="K20" i="22"/>
  <c r="K19" i="22" s="1"/>
  <c r="M19" i="22"/>
  <c r="K18" i="22"/>
  <c r="K17" i="22" s="1"/>
  <c r="M17" i="22"/>
  <c r="M16" i="22"/>
  <c r="K16" i="22"/>
  <c r="M15" i="22"/>
  <c r="K15" i="22"/>
  <c r="M14" i="22"/>
  <c r="K14" i="22"/>
  <c r="D8" i="22"/>
  <c r="B8" i="22"/>
  <c r="G454" i="20"/>
  <c r="G451" i="20"/>
  <c r="G404" i="20"/>
  <c r="K404" i="20" s="1"/>
  <c r="G387" i="20"/>
  <c r="K387" i="20" s="1"/>
  <c r="K386" i="20" s="1"/>
  <c r="O42" i="15" s="1"/>
  <c r="G385" i="20"/>
  <c r="K385" i="20" s="1"/>
  <c r="K384" i="20" s="1"/>
  <c r="O41" i="15" s="1"/>
  <c r="G403" i="20"/>
  <c r="K403" i="20" s="1"/>
  <c r="J489" i="20"/>
  <c r="K415" i="20"/>
  <c r="K414" i="20" s="1"/>
  <c r="O56" i="15" s="1"/>
  <c r="AD56" i="15" s="1"/>
  <c r="N451" i="20"/>
  <c r="N452" i="20"/>
  <c r="N454" i="20"/>
  <c r="N455" i="20"/>
  <c r="N457" i="20"/>
  <c r="N458" i="20"/>
  <c r="N460" i="20"/>
  <c r="N461" i="20"/>
  <c r="N463" i="20"/>
  <c r="N464" i="20"/>
  <c r="N466" i="20"/>
  <c r="N467" i="20"/>
  <c r="N469" i="20"/>
  <c r="N470" i="20"/>
  <c r="N472" i="20"/>
  <c r="N473" i="20"/>
  <c r="N475" i="20"/>
  <c r="N476" i="20"/>
  <c r="N478" i="20"/>
  <c r="N479" i="20"/>
  <c r="N481" i="20"/>
  <c r="N482" i="20"/>
  <c r="N484" i="20"/>
  <c r="N485" i="20"/>
  <c r="N487" i="20"/>
  <c r="N488" i="20"/>
  <c r="N490" i="20"/>
  <c r="N491" i="20"/>
  <c r="N493" i="20"/>
  <c r="N494" i="20"/>
  <c r="N496" i="20"/>
  <c r="N497" i="20"/>
  <c r="N505" i="20"/>
  <c r="N506" i="20"/>
  <c r="M443" i="20"/>
  <c r="M438" i="20"/>
  <c r="M436" i="20"/>
  <c r="M434" i="20"/>
  <c r="M441" i="20"/>
  <c r="K438" i="20"/>
  <c r="O110" i="15" s="1"/>
  <c r="K434" i="20"/>
  <c r="O108" i="15" s="1"/>
  <c r="G428" i="20"/>
  <c r="K428" i="20" s="1"/>
  <c r="K429" i="20"/>
  <c r="K430" i="20"/>
  <c r="K431" i="20"/>
  <c r="K432" i="20"/>
  <c r="K445" i="20"/>
  <c r="K446" i="20"/>
  <c r="K447" i="20"/>
  <c r="K448" i="20"/>
  <c r="K444" i="20"/>
  <c r="K442" i="20"/>
  <c r="K441" i="20" s="1"/>
  <c r="O119" i="15" s="1"/>
  <c r="G508" i="20"/>
  <c r="K508" i="20" s="1"/>
  <c r="K507" i="20" s="1"/>
  <c r="O157" i="15" s="1"/>
  <c r="K502" i="20"/>
  <c r="K501" i="20" s="1"/>
  <c r="O155" i="15" s="1"/>
  <c r="K499" i="20"/>
  <c r="K498" i="20" s="1"/>
  <c r="O154" i="15" s="1"/>
  <c r="AD15" i="15"/>
  <c r="AE15" i="15"/>
  <c r="AD16" i="15"/>
  <c r="AE16" i="15"/>
  <c r="AD17" i="15"/>
  <c r="AE17" i="15"/>
  <c r="AD18" i="15"/>
  <c r="AE18" i="15"/>
  <c r="AD19" i="15"/>
  <c r="AE19" i="15"/>
  <c r="AD20" i="15"/>
  <c r="AE20" i="15"/>
  <c r="AD21" i="15"/>
  <c r="AE21" i="15"/>
  <c r="AD22" i="15"/>
  <c r="AE22" i="15"/>
  <c r="AD23" i="15"/>
  <c r="AE23" i="15"/>
  <c r="AD24" i="15"/>
  <c r="AE24" i="15"/>
  <c r="AD25" i="15"/>
  <c r="AE25" i="15"/>
  <c r="AD26" i="15"/>
  <c r="AE26" i="15"/>
  <c r="AD27" i="15"/>
  <c r="AE27" i="15"/>
  <c r="AD28" i="15"/>
  <c r="AE28" i="15"/>
  <c r="AD29" i="15"/>
  <c r="AE29" i="15"/>
  <c r="AD30" i="15"/>
  <c r="AE30" i="15"/>
  <c r="AD31" i="15"/>
  <c r="AE31" i="15"/>
  <c r="AD32" i="15"/>
  <c r="AE32" i="15"/>
  <c r="AD33" i="15"/>
  <c r="AE33" i="15"/>
  <c r="AD34" i="15"/>
  <c r="AE34" i="15"/>
  <c r="AD35" i="15"/>
  <c r="AE35" i="15"/>
  <c r="AD36" i="15"/>
  <c r="AE36" i="15"/>
  <c r="AD37" i="15"/>
  <c r="AE37" i="15"/>
  <c r="AD38" i="15"/>
  <c r="AE38" i="15"/>
  <c r="AD39" i="15"/>
  <c r="AE39" i="15"/>
  <c r="AD40" i="15"/>
  <c r="AD43" i="15"/>
  <c r="AD44" i="15"/>
  <c r="AE44" i="15"/>
  <c r="AD45" i="15"/>
  <c r="AD46" i="15"/>
  <c r="AD47" i="15"/>
  <c r="AD48" i="15"/>
  <c r="AD49" i="15"/>
  <c r="AD50" i="15"/>
  <c r="AD53" i="15"/>
  <c r="AD54" i="15"/>
  <c r="AE54" i="15"/>
  <c r="AD55" i="15"/>
  <c r="AE55" i="15"/>
  <c r="AD57" i="15"/>
  <c r="AE57" i="15"/>
  <c r="AD58" i="15"/>
  <c r="AE58" i="15"/>
  <c r="AD59" i="15"/>
  <c r="AE59" i="15"/>
  <c r="AD60" i="15"/>
  <c r="AE60" i="15"/>
  <c r="AD61" i="15"/>
  <c r="AE61" i="15"/>
  <c r="AD62" i="15"/>
  <c r="AE62" i="15"/>
  <c r="AD63" i="15"/>
  <c r="AE63" i="15"/>
  <c r="AD64" i="15"/>
  <c r="AE64" i="15"/>
  <c r="AD65" i="15"/>
  <c r="AE65" i="15"/>
  <c r="AD66" i="15"/>
  <c r="AE66" i="15"/>
  <c r="AD67" i="15"/>
  <c r="AE67" i="15"/>
  <c r="AD68" i="15"/>
  <c r="AE68" i="15"/>
  <c r="AD69" i="15"/>
  <c r="AE69" i="15"/>
  <c r="AD70" i="15"/>
  <c r="AE70" i="15"/>
  <c r="AD71" i="15"/>
  <c r="AE71" i="15"/>
  <c r="AD72" i="15"/>
  <c r="AE72" i="15"/>
  <c r="AD73" i="15"/>
  <c r="AE73" i="15"/>
  <c r="AD74" i="15"/>
  <c r="AE74" i="15"/>
  <c r="AD75" i="15"/>
  <c r="AE75" i="15"/>
  <c r="AD76" i="15"/>
  <c r="AE76" i="15"/>
  <c r="AD77" i="15"/>
  <c r="AE77" i="15"/>
  <c r="AD78" i="15"/>
  <c r="AE78" i="15"/>
  <c r="AD79" i="15"/>
  <c r="AE79" i="15"/>
  <c r="AD80" i="15"/>
  <c r="AE80" i="15"/>
  <c r="AD81" i="15"/>
  <c r="AE81" i="15"/>
  <c r="AD84" i="15"/>
  <c r="AE84" i="15"/>
  <c r="AD85" i="15"/>
  <c r="AE85" i="15"/>
  <c r="AD86" i="15"/>
  <c r="AE86" i="15"/>
  <c r="AD87" i="15"/>
  <c r="AE87" i="15"/>
  <c r="AD88" i="15"/>
  <c r="AE88" i="15"/>
  <c r="AD89" i="15"/>
  <c r="AE89" i="15"/>
  <c r="AD90" i="15"/>
  <c r="AE90" i="15"/>
  <c r="AD91" i="15"/>
  <c r="AE91" i="15"/>
  <c r="AD92" i="15"/>
  <c r="AE92" i="15"/>
  <c r="AD93" i="15"/>
  <c r="AE93" i="15"/>
  <c r="AD94" i="15"/>
  <c r="AE94" i="15"/>
  <c r="AD95" i="15"/>
  <c r="AE95" i="15"/>
  <c r="AD96" i="15"/>
  <c r="AE96" i="15"/>
  <c r="AD97" i="15"/>
  <c r="AE97" i="15"/>
  <c r="AD98" i="15"/>
  <c r="AE98" i="15"/>
  <c r="AD99" i="15"/>
  <c r="AE99" i="15"/>
  <c r="AD100" i="15"/>
  <c r="AE100" i="15"/>
  <c r="AD101" i="15"/>
  <c r="AE101" i="15"/>
  <c r="AD102" i="15"/>
  <c r="AE102" i="15"/>
  <c r="AD103" i="15"/>
  <c r="AE103" i="15"/>
  <c r="AD104" i="15"/>
  <c r="AE104" i="15"/>
  <c r="AD105" i="15"/>
  <c r="AE105" i="15"/>
  <c r="AD106" i="15"/>
  <c r="AE106" i="15"/>
  <c r="AD107" i="15"/>
  <c r="AE107" i="15"/>
  <c r="AE108" i="15"/>
  <c r="AE109" i="15"/>
  <c r="AE110" i="15"/>
  <c r="AD111" i="15"/>
  <c r="AE111" i="15"/>
  <c r="AD112" i="15"/>
  <c r="AE112" i="15"/>
  <c r="AD113" i="15"/>
  <c r="AE113" i="15"/>
  <c r="AD114" i="15"/>
  <c r="AE114" i="15"/>
  <c r="AD115" i="15"/>
  <c r="AE115" i="15"/>
  <c r="AD116" i="15"/>
  <c r="AE116" i="15"/>
  <c r="AD117" i="15"/>
  <c r="AE117" i="15"/>
  <c r="AD118" i="15"/>
  <c r="AE118" i="15"/>
  <c r="AE119" i="15"/>
  <c r="AE120" i="15"/>
  <c r="AD121" i="15"/>
  <c r="AE121" i="15"/>
  <c r="AD122" i="15"/>
  <c r="AE122" i="15"/>
  <c r="AD123" i="15"/>
  <c r="AE123" i="15"/>
  <c r="AD124" i="15"/>
  <c r="AE124" i="15"/>
  <c r="AD125" i="15"/>
  <c r="AE125" i="15"/>
  <c r="AD126" i="15"/>
  <c r="AE126" i="15"/>
  <c r="AD127" i="15"/>
  <c r="AE127" i="15"/>
  <c r="AD128" i="15"/>
  <c r="AE128" i="15"/>
  <c r="AD129" i="15"/>
  <c r="AE129" i="15"/>
  <c r="AD130" i="15"/>
  <c r="AE130" i="15"/>
  <c r="AD131" i="15"/>
  <c r="AE131" i="15"/>
  <c r="AD132" i="15"/>
  <c r="AE132" i="15"/>
  <c r="AD133" i="15"/>
  <c r="AE133" i="15"/>
  <c r="AD134" i="15"/>
  <c r="AE134" i="15"/>
  <c r="AD135" i="15"/>
  <c r="AE135" i="15"/>
  <c r="AD136" i="15"/>
  <c r="AE136" i="15"/>
  <c r="AD137" i="15"/>
  <c r="AE137" i="15"/>
  <c r="AD138" i="15"/>
  <c r="AE138" i="15"/>
  <c r="AD139" i="15"/>
  <c r="AE139" i="15"/>
  <c r="AD140" i="15"/>
  <c r="AE140" i="15"/>
  <c r="AD141" i="15"/>
  <c r="AE141" i="15"/>
  <c r="AD142" i="15"/>
  <c r="AE142" i="15"/>
  <c r="AD143" i="15"/>
  <c r="AE143" i="15"/>
  <c r="AD144" i="15"/>
  <c r="AE144" i="15"/>
  <c r="AD145" i="15"/>
  <c r="AE145" i="15"/>
  <c r="AD146" i="15"/>
  <c r="AE146" i="15"/>
  <c r="AD147" i="15"/>
  <c r="AE147" i="15"/>
  <c r="AD148" i="15"/>
  <c r="AE148" i="15"/>
  <c r="AD149" i="15"/>
  <c r="AE149" i="15"/>
  <c r="AD150" i="15"/>
  <c r="AE150" i="15"/>
  <c r="AD151" i="15"/>
  <c r="AE151" i="15"/>
  <c r="AD152" i="15"/>
  <c r="AE152" i="15"/>
  <c r="AD153" i="15"/>
  <c r="AE153" i="15"/>
  <c r="AE154" i="15"/>
  <c r="AE155" i="15"/>
  <c r="AD156" i="15"/>
  <c r="AE156" i="15"/>
  <c r="AE157" i="15"/>
  <c r="AD158" i="15"/>
  <c r="AE158" i="15"/>
  <c r="AD159" i="15"/>
  <c r="AE159" i="15"/>
  <c r="AD160" i="15"/>
  <c r="AE160" i="15"/>
  <c r="AD161" i="15"/>
  <c r="AE161" i="15"/>
  <c r="AD162" i="15"/>
  <c r="AE162" i="15"/>
  <c r="AD163" i="15"/>
  <c r="AE163" i="15"/>
  <c r="AD164" i="15"/>
  <c r="AE164" i="15"/>
  <c r="AD165" i="15"/>
  <c r="AE165" i="15"/>
  <c r="AD166" i="15"/>
  <c r="AE166" i="15"/>
  <c r="AD167" i="15"/>
  <c r="AE167" i="15"/>
  <c r="AD168" i="15"/>
  <c r="AE168" i="15"/>
  <c r="AD169" i="15"/>
  <c r="AE169" i="15"/>
  <c r="AD170" i="15"/>
  <c r="AE170" i="15"/>
  <c r="AD171" i="15"/>
  <c r="AE171" i="15"/>
  <c r="AD172" i="15"/>
  <c r="AE172" i="15"/>
  <c r="AD173" i="15"/>
  <c r="AE173" i="15"/>
  <c r="AD174" i="15"/>
  <c r="AE174" i="15"/>
  <c r="AD175" i="15"/>
  <c r="AE175" i="15"/>
  <c r="AD176" i="15"/>
  <c r="AE176" i="15"/>
  <c r="AD177" i="15"/>
  <c r="AE177" i="15"/>
  <c r="AD178" i="15"/>
  <c r="AE178" i="15"/>
  <c r="AD179" i="15"/>
  <c r="AE179" i="15"/>
  <c r="AD180" i="15"/>
  <c r="AE180" i="15"/>
  <c r="AD181" i="15"/>
  <c r="AE181" i="15"/>
  <c r="AD182" i="15"/>
  <c r="AE182" i="15"/>
  <c r="AD183" i="15"/>
  <c r="AE183" i="15"/>
  <c r="AD184" i="15"/>
  <c r="AE184" i="15"/>
  <c r="AD185" i="15"/>
  <c r="AE185" i="15"/>
  <c r="AD186" i="15"/>
  <c r="AE186" i="15"/>
  <c r="AD187" i="15"/>
  <c r="AE187" i="15"/>
  <c r="AD188" i="15"/>
  <c r="AE188" i="15"/>
  <c r="AD189" i="15"/>
  <c r="AE189" i="15"/>
  <c r="AD190" i="15"/>
  <c r="AE190" i="15"/>
  <c r="AD191" i="15"/>
  <c r="AE191" i="15"/>
  <c r="AD192" i="15"/>
  <c r="AE192" i="15"/>
  <c r="AD193" i="15"/>
  <c r="AE193" i="15"/>
  <c r="AD194" i="15"/>
  <c r="AE194" i="15"/>
  <c r="AD195" i="15"/>
  <c r="AE195" i="15"/>
  <c r="AE14" i="15"/>
  <c r="AD14" i="15"/>
  <c r="AC14" i="15"/>
  <c r="J416" i="20"/>
  <c r="J423" i="22"/>
  <c r="J426" i="22"/>
  <c r="J471" i="20"/>
  <c r="J477" i="22"/>
  <c r="L477" i="22" s="1"/>
  <c r="N477" i="22" s="1"/>
  <c r="J477" i="20"/>
  <c r="J483" i="22"/>
  <c r="L483" i="22" s="1"/>
  <c r="N483" i="22" s="1"/>
  <c r="J486" i="22"/>
  <c r="L486" i="22" s="1"/>
  <c r="N486" i="22" s="1"/>
  <c r="J489" i="22"/>
  <c r="L489" i="22" s="1"/>
  <c r="N489" i="22" s="1"/>
  <c r="J492" i="22"/>
  <c r="L492" i="22" s="1"/>
  <c r="N492" i="22" s="1"/>
  <c r="J495" i="22"/>
  <c r="L495" i="22" s="1"/>
  <c r="N495" i="22" s="1"/>
  <c r="J495" i="20"/>
  <c r="J504" i="20"/>
  <c r="J512" i="22"/>
  <c r="L512" i="22" s="1"/>
  <c r="D8" i="21"/>
  <c r="B8" i="21"/>
  <c r="K557" i="20"/>
  <c r="K556" i="20"/>
  <c r="K555" i="20"/>
  <c r="K554" i="20"/>
  <c r="K553" i="20"/>
  <c r="G546" i="20"/>
  <c r="K546" i="20" s="1"/>
  <c r="K545" i="20" s="1"/>
  <c r="M545" i="20"/>
  <c r="G514" i="20"/>
  <c r="K514" i="20" s="1"/>
  <c r="K513" i="20" s="1"/>
  <c r="K469" i="20"/>
  <c r="K468" i="20" s="1"/>
  <c r="K465" i="20"/>
  <c r="J465" i="20" s="1"/>
  <c r="G463" i="20"/>
  <c r="K463" i="20" s="1"/>
  <c r="K462" i="20" s="1"/>
  <c r="J462" i="20" s="1"/>
  <c r="G460" i="20"/>
  <c r="K460" i="20" s="1"/>
  <c r="K459" i="20" s="1"/>
  <c r="J459" i="20" s="1"/>
  <c r="G457" i="20"/>
  <c r="K457" i="20" s="1"/>
  <c r="K456" i="20" s="1"/>
  <c r="J456" i="20" s="1"/>
  <c r="K454" i="20"/>
  <c r="K453" i="20" s="1"/>
  <c r="K451" i="20"/>
  <c r="K450" i="20" s="1"/>
  <c r="K436" i="20"/>
  <c r="O109" i="15" s="1"/>
  <c r="K433" i="20"/>
  <c r="K425" i="20"/>
  <c r="K424" i="20" s="1"/>
  <c r="O82" i="15" s="1"/>
  <c r="M424" i="20"/>
  <c r="K421" i="20"/>
  <c r="K420" i="20" s="1"/>
  <c r="J420" i="20" s="1"/>
  <c r="M420" i="20"/>
  <c r="K418" i="20"/>
  <c r="K417" i="20" s="1"/>
  <c r="M417" i="20"/>
  <c r="M410" i="20"/>
  <c r="M408" i="20"/>
  <c r="M406" i="20"/>
  <c r="K405" i="20"/>
  <c r="M402" i="20"/>
  <c r="K401" i="20"/>
  <c r="K400" i="20" s="1"/>
  <c r="M400" i="20"/>
  <c r="K399" i="20"/>
  <c r="K398" i="20" s="1"/>
  <c r="M398" i="20"/>
  <c r="K397" i="20"/>
  <c r="K396" i="20" s="1"/>
  <c r="M396" i="20"/>
  <c r="G395" i="20"/>
  <c r="K395" i="20" s="1"/>
  <c r="K394" i="20" s="1"/>
  <c r="M394" i="20"/>
  <c r="G393" i="20"/>
  <c r="K393" i="20" s="1"/>
  <c r="K392" i="20" s="1"/>
  <c r="M392" i="20"/>
  <c r="G391" i="20"/>
  <c r="K391" i="20" s="1"/>
  <c r="K390" i="20" s="1"/>
  <c r="M390" i="20"/>
  <c r="G389" i="20"/>
  <c r="K389" i="20" s="1"/>
  <c r="K388" i="20" s="1"/>
  <c r="M388" i="20"/>
  <c r="M386" i="20"/>
  <c r="M384" i="20"/>
  <c r="M381" i="20"/>
  <c r="K381" i="20"/>
  <c r="G380" i="20"/>
  <c r="K380" i="20" s="1"/>
  <c r="G379" i="20"/>
  <c r="K379" i="20" s="1"/>
  <c r="G378" i="20"/>
  <c r="K378" i="20" s="1"/>
  <c r="G377" i="20"/>
  <c r="K377" i="20" s="1"/>
  <c r="G376" i="20"/>
  <c r="K376" i="20" s="1"/>
  <c r="G375" i="20"/>
  <c r="K375" i="20" s="1"/>
  <c r="G374" i="20"/>
  <c r="K374" i="20" s="1"/>
  <c r="G373" i="20"/>
  <c r="K373" i="20" s="1"/>
  <c r="G372" i="20"/>
  <c r="K372" i="20" s="1"/>
  <c r="G371" i="20"/>
  <c r="K371" i="20" s="1"/>
  <c r="G370" i="20"/>
  <c r="K370" i="20" s="1"/>
  <c r="G369" i="20"/>
  <c r="K369" i="20" s="1"/>
  <c r="G368" i="20"/>
  <c r="K368" i="20" s="1"/>
  <c r="G367" i="20"/>
  <c r="K367" i="20" s="1"/>
  <c r="G366" i="20"/>
  <c r="K366" i="20" s="1"/>
  <c r="G365" i="20"/>
  <c r="K365" i="20" s="1"/>
  <c r="G364" i="20"/>
  <c r="K364" i="20" s="1"/>
  <c r="G363" i="20"/>
  <c r="K363" i="20" s="1"/>
  <c r="G362" i="20"/>
  <c r="K362" i="20" s="1"/>
  <c r="G361" i="20"/>
  <c r="K361" i="20" s="1"/>
  <c r="G360" i="20"/>
  <c r="K360" i="20" s="1"/>
  <c r="G359" i="20"/>
  <c r="K359" i="20" s="1"/>
  <c r="G358" i="20"/>
  <c r="K358" i="20" s="1"/>
  <c r="G357" i="20"/>
  <c r="K357" i="20" s="1"/>
  <c r="G356" i="20"/>
  <c r="K356" i="20" s="1"/>
  <c r="G355" i="20"/>
  <c r="K355" i="20" s="1"/>
  <c r="G354" i="20"/>
  <c r="K354" i="20" s="1"/>
  <c r="G353" i="20"/>
  <c r="K353" i="20" s="1"/>
  <c r="G352" i="20"/>
  <c r="K352" i="20" s="1"/>
  <c r="G351" i="20"/>
  <c r="K351" i="20" s="1"/>
  <c r="K349" i="20"/>
  <c r="K348" i="20"/>
  <c r="K347" i="20"/>
  <c r="K346" i="20"/>
  <c r="K345" i="20"/>
  <c r="K344" i="20"/>
  <c r="K343" i="20"/>
  <c r="M340" i="20"/>
  <c r="K340" i="20"/>
  <c r="G338" i="20"/>
  <c r="K338" i="20" s="1"/>
  <c r="G337" i="20"/>
  <c r="K337" i="20" s="1"/>
  <c r="G336" i="20"/>
  <c r="K336" i="20" s="1"/>
  <c r="G335" i="20"/>
  <c r="K335" i="20" s="1"/>
  <c r="G334" i="20"/>
  <c r="K334" i="20" s="1"/>
  <c r="G333" i="20"/>
  <c r="K333" i="20" s="1"/>
  <c r="G332" i="20"/>
  <c r="K332" i="20" s="1"/>
  <c r="M330" i="20"/>
  <c r="K330" i="20"/>
  <c r="G329" i="20"/>
  <c r="K329" i="20" s="1"/>
  <c r="G328" i="20"/>
  <c r="K328" i="20" s="1"/>
  <c r="G327" i="20"/>
  <c r="K327" i="20" s="1"/>
  <c r="G326" i="20"/>
  <c r="K326" i="20" s="1"/>
  <c r="G325" i="20"/>
  <c r="K325" i="20" s="1"/>
  <c r="G324" i="20"/>
  <c r="K324" i="20" s="1"/>
  <c r="G323" i="20"/>
  <c r="K323" i="20" s="1"/>
  <c r="G322" i="20"/>
  <c r="K322" i="20" s="1"/>
  <c r="G321" i="20"/>
  <c r="K321" i="20" s="1"/>
  <c r="G320" i="20"/>
  <c r="K320" i="20" s="1"/>
  <c r="G319" i="20"/>
  <c r="K319" i="20" s="1"/>
  <c r="G318" i="20"/>
  <c r="K318" i="20" s="1"/>
  <c r="G317" i="20"/>
  <c r="K317" i="20" s="1"/>
  <c r="G316" i="20"/>
  <c r="K316" i="20" s="1"/>
  <c r="G315" i="20"/>
  <c r="K315" i="20" s="1"/>
  <c r="G314" i="20"/>
  <c r="K314" i="20" s="1"/>
  <c r="G313" i="20"/>
  <c r="K313" i="20" s="1"/>
  <c r="G312" i="20"/>
  <c r="K312" i="20" s="1"/>
  <c r="G311" i="20"/>
  <c r="K311" i="20" s="1"/>
  <c r="G310" i="20"/>
  <c r="K310" i="20" s="1"/>
  <c r="G309" i="20"/>
  <c r="K309" i="20" s="1"/>
  <c r="G308" i="20"/>
  <c r="K308" i="20" s="1"/>
  <c r="G307" i="20"/>
  <c r="K307" i="20" s="1"/>
  <c r="M304" i="20"/>
  <c r="K303" i="20"/>
  <c r="K302" i="20" s="1"/>
  <c r="M302" i="20"/>
  <c r="G301" i="20"/>
  <c r="K301" i="20" s="1"/>
  <c r="G300" i="20"/>
  <c r="K300" i="20" s="1"/>
  <c r="G299" i="20"/>
  <c r="K299" i="20" s="1"/>
  <c r="G298" i="20"/>
  <c r="K298" i="20" s="1"/>
  <c r="G297" i="20"/>
  <c r="K297" i="20" s="1"/>
  <c r="G296" i="20"/>
  <c r="K296" i="20" s="1"/>
  <c r="G295" i="20"/>
  <c r="K295" i="20" s="1"/>
  <c r="G293" i="20"/>
  <c r="K293" i="20" s="1"/>
  <c r="G292" i="20"/>
  <c r="K292" i="20" s="1"/>
  <c r="G291" i="20"/>
  <c r="K291" i="20" s="1"/>
  <c r="G290" i="20"/>
  <c r="K290" i="20" s="1"/>
  <c r="G289" i="20"/>
  <c r="K289" i="20" s="1"/>
  <c r="G288" i="20"/>
  <c r="K288" i="20" s="1"/>
  <c r="G287" i="20"/>
  <c r="K287" i="20" s="1"/>
  <c r="G286" i="20"/>
  <c r="K286" i="20" s="1"/>
  <c r="G285" i="20"/>
  <c r="K285" i="20" s="1"/>
  <c r="G284" i="20"/>
  <c r="K284" i="20" s="1"/>
  <c r="G283" i="20"/>
  <c r="K283" i="20" s="1"/>
  <c r="G282" i="20"/>
  <c r="K282" i="20" s="1"/>
  <c r="G281" i="20"/>
  <c r="K281" i="20" s="1"/>
  <c r="G280" i="20"/>
  <c r="K280" i="20" s="1"/>
  <c r="G279" i="20"/>
  <c r="K279" i="20" s="1"/>
  <c r="G278" i="20"/>
  <c r="K278" i="20" s="1"/>
  <c r="G277" i="20"/>
  <c r="K277" i="20" s="1"/>
  <c r="G276" i="20"/>
  <c r="K276" i="20" s="1"/>
  <c r="G275" i="20"/>
  <c r="K275" i="20" s="1"/>
  <c r="G274" i="20"/>
  <c r="K274" i="20" s="1"/>
  <c r="G273" i="20"/>
  <c r="K273" i="20" s="1"/>
  <c r="G272" i="20"/>
  <c r="K272" i="20" s="1"/>
  <c r="G271" i="20"/>
  <c r="K271" i="20" s="1"/>
  <c r="G270" i="20"/>
  <c r="K270" i="20" s="1"/>
  <c r="G269" i="20"/>
  <c r="K269" i="20" s="1"/>
  <c r="G268" i="20"/>
  <c r="K268" i="20" s="1"/>
  <c r="G267" i="20"/>
  <c r="K267" i="20" s="1"/>
  <c r="G266" i="20"/>
  <c r="K266" i="20" s="1"/>
  <c r="G265" i="20"/>
  <c r="K265" i="20" s="1"/>
  <c r="G264" i="20"/>
  <c r="K264" i="20" s="1"/>
  <c r="M262" i="20"/>
  <c r="K262" i="20"/>
  <c r="G261" i="20"/>
  <c r="K260" i="20" s="1"/>
  <c r="M260" i="20"/>
  <c r="M257" i="20"/>
  <c r="K257" i="20"/>
  <c r="K256" i="20"/>
  <c r="K255" i="20"/>
  <c r="K254" i="20"/>
  <c r="K253" i="20"/>
  <c r="K252" i="20"/>
  <c r="K251" i="20"/>
  <c r="K250" i="20"/>
  <c r="K248" i="20"/>
  <c r="K247" i="20"/>
  <c r="K246" i="20"/>
  <c r="K245" i="20"/>
  <c r="K244" i="20"/>
  <c r="K243" i="20"/>
  <c r="K242" i="20"/>
  <c r="K241" i="20"/>
  <c r="K240" i="20"/>
  <c r="K239" i="20"/>
  <c r="K238" i="20"/>
  <c r="K237" i="20"/>
  <c r="K236" i="20"/>
  <c r="K235" i="20"/>
  <c r="K234" i="20"/>
  <c r="K233" i="20"/>
  <c r="K232" i="20"/>
  <c r="K231" i="20"/>
  <c r="K230" i="20"/>
  <c r="K229" i="20"/>
  <c r="K228" i="20"/>
  <c r="K227" i="20"/>
  <c r="K226" i="20"/>
  <c r="K225" i="20"/>
  <c r="K224" i="20"/>
  <c r="K223" i="20"/>
  <c r="K222" i="20"/>
  <c r="K221" i="20"/>
  <c r="K220" i="20"/>
  <c r="K219" i="20"/>
  <c r="K218" i="20"/>
  <c r="K216" i="20"/>
  <c r="K215" i="20"/>
  <c r="K214" i="20"/>
  <c r="K213" i="20"/>
  <c r="K212" i="20"/>
  <c r="K211" i="20"/>
  <c r="K210" i="20"/>
  <c r="M208" i="20"/>
  <c r="K208" i="20"/>
  <c r="G207" i="20"/>
  <c r="K207" i="20" s="1"/>
  <c r="G206" i="20"/>
  <c r="K206" i="20" s="1"/>
  <c r="G205" i="20"/>
  <c r="K205" i="20" s="1"/>
  <c r="G204" i="20"/>
  <c r="K204" i="20" s="1"/>
  <c r="G203" i="20"/>
  <c r="K203" i="20" s="1"/>
  <c r="G202" i="20"/>
  <c r="K202" i="20" s="1"/>
  <c r="G201" i="20"/>
  <c r="K201" i="20" s="1"/>
  <c r="G178" i="20"/>
  <c r="G177" i="20"/>
  <c r="G176" i="20"/>
  <c r="G175" i="20"/>
  <c r="G174" i="20"/>
  <c r="K174" i="20" s="1"/>
  <c r="M172" i="20"/>
  <c r="K172" i="20"/>
  <c r="K171" i="20"/>
  <c r="K170" i="20"/>
  <c r="K169" i="20"/>
  <c r="K168" i="20"/>
  <c r="K167" i="20"/>
  <c r="K166" i="20"/>
  <c r="K165" i="20"/>
  <c r="M163" i="20"/>
  <c r="K162" i="20"/>
  <c r="K161" i="20"/>
  <c r="K160" i="20"/>
  <c r="K159" i="20"/>
  <c r="K158" i="20"/>
  <c r="K157" i="20"/>
  <c r="K156" i="20"/>
  <c r="M154" i="20"/>
  <c r="K153" i="20"/>
  <c r="K152" i="20"/>
  <c r="K151" i="20"/>
  <c r="K150" i="20"/>
  <c r="K149" i="20"/>
  <c r="K148" i="20"/>
  <c r="K147" i="20"/>
  <c r="K146" i="20"/>
  <c r="K145" i="20"/>
  <c r="K144" i="20"/>
  <c r="K143" i="20"/>
  <c r="K142" i="20"/>
  <c r="K141" i="20"/>
  <c r="K140" i="20"/>
  <c r="K139" i="20"/>
  <c r="K138" i="20"/>
  <c r="K137" i="20"/>
  <c r="K136" i="20"/>
  <c r="K135" i="20"/>
  <c r="K134" i="20"/>
  <c r="K133" i="20"/>
  <c r="K132" i="20"/>
  <c r="K131" i="20"/>
  <c r="K130" i="20"/>
  <c r="K129" i="20"/>
  <c r="K128" i="20"/>
  <c r="K127" i="20"/>
  <c r="K126" i="20"/>
  <c r="K125" i="20"/>
  <c r="K124" i="20"/>
  <c r="K123" i="20"/>
  <c r="K122" i="20"/>
  <c r="K121" i="20"/>
  <c r="K120" i="20"/>
  <c r="K119" i="20"/>
  <c r="K118" i="20"/>
  <c r="K117" i="20"/>
  <c r="K116" i="20"/>
  <c r="K115" i="20"/>
  <c r="K114" i="20"/>
  <c r="K113" i="20"/>
  <c r="K112" i="20"/>
  <c r="K111" i="20"/>
  <c r="K110" i="20"/>
  <c r="M108" i="20"/>
  <c r="I105" i="20"/>
  <c r="K105" i="20" s="1"/>
  <c r="I104" i="20"/>
  <c r="K104" i="20" s="1"/>
  <c r="I103" i="20"/>
  <c r="K103" i="20" s="1"/>
  <c r="I102" i="20"/>
  <c r="K102" i="20" s="1"/>
  <c r="I101" i="20"/>
  <c r="K101" i="20" s="1"/>
  <c r="I100" i="20"/>
  <c r="K100" i="20" s="1"/>
  <c r="I99" i="20"/>
  <c r="K99" i="20" s="1"/>
  <c r="I98" i="20"/>
  <c r="K98" i="20" s="1"/>
  <c r="I97" i="20"/>
  <c r="K97" i="20" s="1"/>
  <c r="I96" i="20"/>
  <c r="K96" i="20" s="1"/>
  <c r="I95" i="20"/>
  <c r="K95" i="20" s="1"/>
  <c r="I94" i="20"/>
  <c r="G94" i="20"/>
  <c r="I93" i="20"/>
  <c r="K93" i="20" s="1"/>
  <c r="I92" i="20"/>
  <c r="K92" i="20" s="1"/>
  <c r="I91" i="20"/>
  <c r="K91" i="20" s="1"/>
  <c r="I90" i="20"/>
  <c r="K90" i="20" s="1"/>
  <c r="I89" i="20"/>
  <c r="K89" i="20" s="1"/>
  <c r="I88" i="20"/>
  <c r="K88" i="20" s="1"/>
  <c r="I87" i="20"/>
  <c r="K87" i="20" s="1"/>
  <c r="I86" i="20"/>
  <c r="K86" i="20" s="1"/>
  <c r="I85" i="20"/>
  <c r="K85" i="20" s="1"/>
  <c r="I84" i="20"/>
  <c r="K84" i="20" s="1"/>
  <c r="I83" i="20"/>
  <c r="K83" i="20" s="1"/>
  <c r="I82" i="20"/>
  <c r="K82" i="20" s="1"/>
  <c r="I81" i="20"/>
  <c r="K81" i="20" s="1"/>
  <c r="I80" i="20"/>
  <c r="K80" i="20" s="1"/>
  <c r="I79" i="20"/>
  <c r="K79" i="20" s="1"/>
  <c r="I78" i="20"/>
  <c r="K78" i="20" s="1"/>
  <c r="I77" i="20"/>
  <c r="K77" i="20" s="1"/>
  <c r="I76" i="20"/>
  <c r="G76" i="20"/>
  <c r="I75" i="20"/>
  <c r="K75" i="20" s="1"/>
  <c r="I74" i="20"/>
  <c r="K74" i="20" s="1"/>
  <c r="M72" i="20"/>
  <c r="J72" i="20"/>
  <c r="L71" i="20"/>
  <c r="G70" i="20"/>
  <c r="K68" i="20" s="1"/>
  <c r="M68" i="20"/>
  <c r="K67" i="20"/>
  <c r="K66" i="20"/>
  <c r="K65" i="20"/>
  <c r="K64" i="20"/>
  <c r="K63" i="20"/>
  <c r="K62" i="20"/>
  <c r="K61" i="20"/>
  <c r="K60" i="20"/>
  <c r="K59" i="20"/>
  <c r="K58" i="20"/>
  <c r="K57" i="20"/>
  <c r="K56" i="20"/>
  <c r="K55" i="20"/>
  <c r="K54" i="20"/>
  <c r="K53" i="20"/>
  <c r="K52" i="20"/>
  <c r="K51" i="20"/>
  <c r="K50" i="20"/>
  <c r="K49" i="20"/>
  <c r="K48" i="20"/>
  <c r="K47" i="20"/>
  <c r="K46" i="20"/>
  <c r="K45" i="20"/>
  <c r="K44" i="20"/>
  <c r="K43" i="20"/>
  <c r="K42" i="20"/>
  <c r="K41" i="20"/>
  <c r="K40" i="20"/>
  <c r="K39" i="20"/>
  <c r="K38" i="20"/>
  <c r="K37" i="20"/>
  <c r="K36" i="20"/>
  <c r="K35" i="20"/>
  <c r="K34" i="20"/>
  <c r="K33" i="20"/>
  <c r="K32" i="20"/>
  <c r="K31" i="20"/>
  <c r="K30" i="20"/>
  <c r="K29" i="20"/>
  <c r="K28" i="20"/>
  <c r="K27" i="20"/>
  <c r="M25" i="20"/>
  <c r="K25" i="20"/>
  <c r="M24" i="20"/>
  <c r="K24" i="20"/>
  <c r="K22" i="20"/>
  <c r="K21" i="20" s="1"/>
  <c r="M21" i="20"/>
  <c r="K20" i="20"/>
  <c r="K19" i="20" s="1"/>
  <c r="M19" i="20"/>
  <c r="K18" i="20"/>
  <c r="K17" i="20" s="1"/>
  <c r="M17" i="20"/>
  <c r="M16" i="20"/>
  <c r="K16" i="20"/>
  <c r="M15" i="20"/>
  <c r="K15" i="20"/>
  <c r="M14" i="20"/>
  <c r="K14" i="20"/>
  <c r="D8" i="20"/>
  <c r="B8" i="20"/>
  <c r="B8" i="19"/>
  <c r="D8" i="19"/>
  <c r="B8" i="18"/>
  <c r="D8" i="18"/>
  <c r="G513" i="18"/>
  <c r="G507" i="18"/>
  <c r="K507" i="18" s="1"/>
  <c r="K506" i="18" s="1"/>
  <c r="G501" i="18"/>
  <c r="K501" i="18" s="1"/>
  <c r="K500" i="18" s="1"/>
  <c r="G498" i="18"/>
  <c r="G462" i="18"/>
  <c r="K462" i="18" s="1"/>
  <c r="K461" i="18" s="1"/>
  <c r="G459" i="18"/>
  <c r="G456" i="18"/>
  <c r="G453" i="18"/>
  <c r="K453" i="18" s="1"/>
  <c r="K452" i="18" s="1"/>
  <c r="G450" i="18"/>
  <c r="K450" i="18" s="1"/>
  <c r="K449" i="18" s="1"/>
  <c r="K513" i="18"/>
  <c r="K512" i="18" s="1"/>
  <c r="K498" i="18"/>
  <c r="K497" i="18" s="1"/>
  <c r="K467" i="18"/>
  <c r="K468" i="18"/>
  <c r="K464" i="18"/>
  <c r="K459" i="18"/>
  <c r="K458" i="18" s="1"/>
  <c r="K456" i="18"/>
  <c r="K455" i="18" s="1"/>
  <c r="M432" i="18"/>
  <c r="K435" i="18"/>
  <c r="K436" i="18"/>
  <c r="K437" i="18"/>
  <c r="K438" i="18"/>
  <c r="K439" i="18"/>
  <c r="K440" i="18"/>
  <c r="K441" i="18"/>
  <c r="K442" i="18"/>
  <c r="K443" i="18"/>
  <c r="K444" i="18"/>
  <c r="K445" i="18"/>
  <c r="K446" i="18"/>
  <c r="K447" i="18"/>
  <c r="K434" i="18"/>
  <c r="K432" i="18" s="1"/>
  <c r="M421" i="18"/>
  <c r="K422" i="18"/>
  <c r="K421" i="18" s="1"/>
  <c r="N82" i="15" s="1"/>
  <c r="M417" i="18"/>
  <c r="K418" i="18"/>
  <c r="K417" i="18" s="1"/>
  <c r="N63" i="15" s="1"/>
  <c r="K405" i="18"/>
  <c r="K406" i="18"/>
  <c r="J460" i="24" l="1"/>
  <c r="L460" i="24" s="1"/>
  <c r="N460" i="24" s="1"/>
  <c r="J507" i="20"/>
  <c r="J533" i="24"/>
  <c r="L533" i="24" s="1"/>
  <c r="N533" i="24" s="1"/>
  <c r="J536" i="24"/>
  <c r="L536" i="24" s="1"/>
  <c r="N536" i="24" s="1"/>
  <c r="J436" i="20"/>
  <c r="J473" i="24"/>
  <c r="L473" i="24" s="1"/>
  <c r="N473" i="24" s="1"/>
  <c r="J492" i="20"/>
  <c r="J422" i="20"/>
  <c r="J471" i="22"/>
  <c r="L471" i="22" s="1"/>
  <c r="N471" i="22" s="1"/>
  <c r="J507" i="22"/>
  <c r="L507" i="22" s="1"/>
  <c r="N507" i="22" s="1"/>
  <c r="J468" i="20"/>
  <c r="J421" i="20"/>
  <c r="J420" i="22"/>
  <c r="J456" i="22"/>
  <c r="L456" i="22" s="1"/>
  <c r="N456" i="22" s="1"/>
  <c r="J480" i="22"/>
  <c r="L480" i="22" s="1"/>
  <c r="N480" i="22" s="1"/>
  <c r="J486" i="20"/>
  <c r="J419" i="20"/>
  <c r="J465" i="22"/>
  <c r="L465" i="22" s="1"/>
  <c r="N465" i="22" s="1"/>
  <c r="J450" i="20"/>
  <c r="J483" i="20"/>
  <c r="J421" i="22"/>
  <c r="L421" i="22" s="1"/>
  <c r="N421" i="22" s="1"/>
  <c r="J474" i="22"/>
  <c r="L474" i="22" s="1"/>
  <c r="N474" i="22" s="1"/>
  <c r="J498" i="22"/>
  <c r="L498" i="22" s="1"/>
  <c r="N498" i="22" s="1"/>
  <c r="J480" i="20"/>
  <c r="J459" i="22"/>
  <c r="L459" i="22" s="1"/>
  <c r="N459" i="22" s="1"/>
  <c r="J468" i="22"/>
  <c r="L468" i="22" s="1"/>
  <c r="N468" i="22" s="1"/>
  <c r="J515" i="22"/>
  <c r="L515" i="22" s="1"/>
  <c r="J474" i="20"/>
  <c r="J425" i="22"/>
  <c r="J453" i="22"/>
  <c r="L453" i="22" s="1"/>
  <c r="N453" i="22" s="1"/>
  <c r="J501" i="22"/>
  <c r="L501" i="22" s="1"/>
  <c r="N501" i="22" s="1"/>
  <c r="J462" i="22"/>
  <c r="L462" i="22" s="1"/>
  <c r="N462" i="22" s="1"/>
  <c r="AE53" i="15"/>
  <c r="AE48" i="15"/>
  <c r="AE50" i="15"/>
  <c r="AE47" i="15"/>
  <c r="AE45" i="15"/>
  <c r="J422" i="22"/>
  <c r="AE46" i="15"/>
  <c r="K386" i="22"/>
  <c r="P41" i="15" s="1"/>
  <c r="AE41" i="15" s="1"/>
  <c r="K389" i="22"/>
  <c r="P42" i="15" s="1"/>
  <c r="AE42" i="15" s="1"/>
  <c r="AE43" i="15"/>
  <c r="AE40" i="15"/>
  <c r="G106" i="22"/>
  <c r="K106" i="22" s="1"/>
  <c r="K94" i="22"/>
  <c r="K108" i="22"/>
  <c r="L108" i="22" s="1"/>
  <c r="N108" i="22" s="1"/>
  <c r="K261" i="22"/>
  <c r="K430" i="22"/>
  <c r="P83" i="15" s="1"/>
  <c r="AE83" i="15" s="1"/>
  <c r="K424" i="22"/>
  <c r="J424" i="22" s="1"/>
  <c r="L424" i="22" s="1"/>
  <c r="N424" i="22" s="1"/>
  <c r="J208" i="22"/>
  <c r="L208" i="22" s="1"/>
  <c r="N208" i="22" s="1"/>
  <c r="K304" i="22"/>
  <c r="L304" i="22" s="1"/>
  <c r="N304" i="22" s="1"/>
  <c r="K163" i="22"/>
  <c r="K552" i="22"/>
  <c r="K154" i="22"/>
  <c r="K446" i="22"/>
  <c r="K76" i="22"/>
  <c r="J453" i="20"/>
  <c r="K402" i="20"/>
  <c r="G407" i="20" s="1"/>
  <c r="AD110" i="15"/>
  <c r="AD42" i="15"/>
  <c r="AD108" i="15"/>
  <c r="J418" i="20"/>
  <c r="K443" i="20"/>
  <c r="O120" i="15" s="1"/>
  <c r="J417" i="20"/>
  <c r="L417" i="20" s="1"/>
  <c r="N417" i="20" s="1"/>
  <c r="AD41" i="15"/>
  <c r="AD109" i="15"/>
  <c r="K427" i="20"/>
  <c r="O83" i="15" s="1"/>
  <c r="AD82" i="15"/>
  <c r="AD119" i="15"/>
  <c r="AD154" i="15"/>
  <c r="J498" i="20"/>
  <c r="AD155" i="15"/>
  <c r="AD157" i="15"/>
  <c r="K76" i="20"/>
  <c r="K261" i="20"/>
  <c r="K94" i="20"/>
  <c r="K154" i="20"/>
  <c r="K550" i="20"/>
  <c r="K163" i="20"/>
  <c r="K108" i="20"/>
  <c r="L108" i="20" s="1"/>
  <c r="N108" i="20" s="1"/>
  <c r="J208" i="20"/>
  <c r="L208" i="20" s="1"/>
  <c r="N208" i="20" s="1"/>
  <c r="L462" i="20"/>
  <c r="N462" i="20" s="1"/>
  <c r="K304" i="20"/>
  <c r="L304" i="20" s="1"/>
  <c r="N304" i="20" s="1"/>
  <c r="G106" i="20"/>
  <c r="K106" i="20" s="1"/>
  <c r="AC119" i="15"/>
  <c r="M386" i="18"/>
  <c r="K387" i="18"/>
  <c r="K386" i="18" s="1"/>
  <c r="AC42" i="15" s="1"/>
  <c r="K556" i="18"/>
  <c r="K555" i="18"/>
  <c r="K554" i="18"/>
  <c r="K553" i="18"/>
  <c r="K552" i="18"/>
  <c r="G545" i="18"/>
  <c r="K545" i="18" s="1"/>
  <c r="K544" i="18" s="1"/>
  <c r="M544" i="18"/>
  <c r="M429" i="18"/>
  <c r="K429" i="18"/>
  <c r="M427" i="18"/>
  <c r="K427" i="18"/>
  <c r="K426" i="18"/>
  <c r="K425" i="18" s="1"/>
  <c r="L425" i="18" s="1"/>
  <c r="M425" i="18"/>
  <c r="K424" i="18"/>
  <c r="K415" i="18"/>
  <c r="M414" i="18"/>
  <c r="K412" i="18"/>
  <c r="K411" i="18" s="1"/>
  <c r="L411" i="18" s="1"/>
  <c r="M411" i="18"/>
  <c r="K410" i="18"/>
  <c r="K409" i="18" s="1"/>
  <c r="M409" i="18"/>
  <c r="M407" i="18"/>
  <c r="K404" i="18"/>
  <c r="M403" i="18"/>
  <c r="K402" i="18"/>
  <c r="K401" i="18" s="1"/>
  <c r="M401" i="18"/>
  <c r="K400" i="18"/>
  <c r="K399" i="18" s="1"/>
  <c r="M399" i="18"/>
  <c r="K398" i="18"/>
  <c r="K397" i="18" s="1"/>
  <c r="M397" i="18"/>
  <c r="G396" i="18"/>
  <c r="K396" i="18" s="1"/>
  <c r="K395" i="18" s="1"/>
  <c r="M395" i="18"/>
  <c r="G394" i="18"/>
  <c r="K394" i="18" s="1"/>
  <c r="K393" i="18" s="1"/>
  <c r="M393" i="18"/>
  <c r="G392" i="18"/>
  <c r="K392" i="18" s="1"/>
  <c r="K391" i="18" s="1"/>
  <c r="M391" i="18"/>
  <c r="G390" i="18"/>
  <c r="K390" i="18" s="1"/>
  <c r="K389" i="18" s="1"/>
  <c r="M389" i="18"/>
  <c r="K385" i="18"/>
  <c r="M384" i="18"/>
  <c r="K384" i="18"/>
  <c r="M381" i="18"/>
  <c r="K381" i="18"/>
  <c r="G380" i="18"/>
  <c r="K380" i="18" s="1"/>
  <c r="G379" i="18"/>
  <c r="K379" i="18" s="1"/>
  <c r="G378" i="18"/>
  <c r="K378" i="18" s="1"/>
  <c r="G377" i="18"/>
  <c r="K377" i="18" s="1"/>
  <c r="G376" i="18"/>
  <c r="K376" i="18" s="1"/>
  <c r="G375" i="18"/>
  <c r="K375" i="18" s="1"/>
  <c r="G374" i="18"/>
  <c r="K374" i="18" s="1"/>
  <c r="G373" i="18"/>
  <c r="K373" i="18" s="1"/>
  <c r="G372" i="18"/>
  <c r="K372" i="18" s="1"/>
  <c r="G371" i="18"/>
  <c r="K371" i="18" s="1"/>
  <c r="G370" i="18"/>
  <c r="K370" i="18" s="1"/>
  <c r="G369" i="18"/>
  <c r="K369" i="18" s="1"/>
  <c r="G368" i="18"/>
  <c r="K368" i="18" s="1"/>
  <c r="G367" i="18"/>
  <c r="K367" i="18" s="1"/>
  <c r="G366" i="18"/>
  <c r="K366" i="18" s="1"/>
  <c r="G365" i="18"/>
  <c r="K365" i="18" s="1"/>
  <c r="G364" i="18"/>
  <c r="K364" i="18" s="1"/>
  <c r="G363" i="18"/>
  <c r="K363" i="18" s="1"/>
  <c r="G362" i="18"/>
  <c r="K362" i="18" s="1"/>
  <c r="G361" i="18"/>
  <c r="K361" i="18" s="1"/>
  <c r="G360" i="18"/>
  <c r="K360" i="18" s="1"/>
  <c r="G359" i="18"/>
  <c r="K359" i="18" s="1"/>
  <c r="G358" i="18"/>
  <c r="K358" i="18" s="1"/>
  <c r="G357" i="18"/>
  <c r="K357" i="18" s="1"/>
  <c r="G356" i="18"/>
  <c r="K356" i="18" s="1"/>
  <c r="G355" i="18"/>
  <c r="K355" i="18" s="1"/>
  <c r="G354" i="18"/>
  <c r="K354" i="18" s="1"/>
  <c r="G353" i="18"/>
  <c r="K353" i="18" s="1"/>
  <c r="G352" i="18"/>
  <c r="K352" i="18" s="1"/>
  <c r="G351" i="18"/>
  <c r="K351" i="18" s="1"/>
  <c r="K349" i="18"/>
  <c r="K348" i="18"/>
  <c r="K347" i="18"/>
  <c r="K346" i="18"/>
  <c r="K345" i="18"/>
  <c r="K344" i="18"/>
  <c r="K343" i="18"/>
  <c r="M340" i="18"/>
  <c r="K340" i="18"/>
  <c r="G338" i="18"/>
  <c r="K338" i="18" s="1"/>
  <c r="G337" i="18"/>
  <c r="K337" i="18" s="1"/>
  <c r="G336" i="18"/>
  <c r="K336" i="18" s="1"/>
  <c r="G335" i="18"/>
  <c r="K335" i="18" s="1"/>
  <c r="G334" i="18"/>
  <c r="K334" i="18" s="1"/>
  <c r="G333" i="18"/>
  <c r="K333" i="18" s="1"/>
  <c r="G332" i="18"/>
  <c r="K332" i="18" s="1"/>
  <c r="M330" i="18"/>
  <c r="K330" i="18"/>
  <c r="G329" i="18"/>
  <c r="K329" i="18" s="1"/>
  <c r="G328" i="18"/>
  <c r="K328" i="18" s="1"/>
  <c r="G327" i="18"/>
  <c r="K327" i="18" s="1"/>
  <c r="G326" i="18"/>
  <c r="K326" i="18" s="1"/>
  <c r="G325" i="18"/>
  <c r="K325" i="18" s="1"/>
  <c r="G324" i="18"/>
  <c r="K324" i="18" s="1"/>
  <c r="G323" i="18"/>
  <c r="K323" i="18" s="1"/>
  <c r="G322" i="18"/>
  <c r="K322" i="18" s="1"/>
  <c r="G321" i="18"/>
  <c r="K321" i="18" s="1"/>
  <c r="G320" i="18"/>
  <c r="K320" i="18" s="1"/>
  <c r="G319" i="18"/>
  <c r="K319" i="18" s="1"/>
  <c r="G318" i="18"/>
  <c r="K318" i="18" s="1"/>
  <c r="G317" i="18"/>
  <c r="K317" i="18" s="1"/>
  <c r="G316" i="18"/>
  <c r="K316" i="18" s="1"/>
  <c r="G315" i="18"/>
  <c r="K315" i="18" s="1"/>
  <c r="G314" i="18"/>
  <c r="K314" i="18" s="1"/>
  <c r="G313" i="18"/>
  <c r="K313" i="18" s="1"/>
  <c r="G312" i="18"/>
  <c r="K312" i="18" s="1"/>
  <c r="G311" i="18"/>
  <c r="K311" i="18" s="1"/>
  <c r="G310" i="18"/>
  <c r="K310" i="18" s="1"/>
  <c r="G309" i="18"/>
  <c r="K309" i="18" s="1"/>
  <c r="G308" i="18"/>
  <c r="K308" i="18" s="1"/>
  <c r="G307" i="18"/>
  <c r="K307" i="18" s="1"/>
  <c r="M304" i="18"/>
  <c r="K303" i="18"/>
  <c r="K302" i="18" s="1"/>
  <c r="M302" i="18"/>
  <c r="G301" i="18"/>
  <c r="K301" i="18" s="1"/>
  <c r="G300" i="18"/>
  <c r="K300" i="18" s="1"/>
  <c r="G299" i="18"/>
  <c r="K299" i="18" s="1"/>
  <c r="G298" i="18"/>
  <c r="K298" i="18" s="1"/>
  <c r="G297" i="18"/>
  <c r="K297" i="18" s="1"/>
  <c r="G296" i="18"/>
  <c r="K296" i="18" s="1"/>
  <c r="G295" i="18"/>
  <c r="K295" i="18" s="1"/>
  <c r="G293" i="18"/>
  <c r="K293" i="18" s="1"/>
  <c r="G292" i="18"/>
  <c r="K292" i="18" s="1"/>
  <c r="G291" i="18"/>
  <c r="K291" i="18" s="1"/>
  <c r="G290" i="18"/>
  <c r="K290" i="18" s="1"/>
  <c r="G289" i="18"/>
  <c r="K289" i="18" s="1"/>
  <c r="G288" i="18"/>
  <c r="K288" i="18" s="1"/>
  <c r="G287" i="18"/>
  <c r="K287" i="18" s="1"/>
  <c r="G286" i="18"/>
  <c r="K286" i="18" s="1"/>
  <c r="G285" i="18"/>
  <c r="K285" i="18" s="1"/>
  <c r="G284" i="18"/>
  <c r="K284" i="18" s="1"/>
  <c r="G283" i="18"/>
  <c r="K283" i="18" s="1"/>
  <c r="G282" i="18"/>
  <c r="K282" i="18" s="1"/>
  <c r="G281" i="18"/>
  <c r="K281" i="18" s="1"/>
  <c r="G280" i="18"/>
  <c r="K280" i="18" s="1"/>
  <c r="G279" i="18"/>
  <c r="K279" i="18" s="1"/>
  <c r="G278" i="18"/>
  <c r="K278" i="18" s="1"/>
  <c r="G277" i="18"/>
  <c r="K277" i="18" s="1"/>
  <c r="G276" i="18"/>
  <c r="K276" i="18" s="1"/>
  <c r="G275" i="18"/>
  <c r="K275" i="18" s="1"/>
  <c r="G274" i="18"/>
  <c r="K274" i="18" s="1"/>
  <c r="G273" i="18"/>
  <c r="K273" i="18" s="1"/>
  <c r="G272" i="18"/>
  <c r="K272" i="18" s="1"/>
  <c r="G271" i="18"/>
  <c r="K271" i="18" s="1"/>
  <c r="G270" i="18"/>
  <c r="K270" i="18" s="1"/>
  <c r="G269" i="18"/>
  <c r="K269" i="18" s="1"/>
  <c r="G268" i="18"/>
  <c r="K268" i="18" s="1"/>
  <c r="G267" i="18"/>
  <c r="K267" i="18" s="1"/>
  <c r="G266" i="18"/>
  <c r="K266" i="18" s="1"/>
  <c r="G265" i="18"/>
  <c r="K265" i="18" s="1"/>
  <c r="G264" i="18"/>
  <c r="K264" i="18" s="1"/>
  <c r="M262" i="18"/>
  <c r="K262" i="18"/>
  <c r="G261" i="18"/>
  <c r="K260" i="18" s="1"/>
  <c r="M260" i="18"/>
  <c r="M257" i="18"/>
  <c r="K257" i="18"/>
  <c r="K256" i="18"/>
  <c r="K255" i="18"/>
  <c r="K254" i="18"/>
  <c r="K253" i="18"/>
  <c r="K252" i="18"/>
  <c r="K251" i="18"/>
  <c r="K250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6" i="18"/>
  <c r="K215" i="18"/>
  <c r="K214" i="18"/>
  <c r="K213" i="18"/>
  <c r="K212" i="18"/>
  <c r="K211" i="18"/>
  <c r="K210" i="18"/>
  <c r="M208" i="18"/>
  <c r="K208" i="18"/>
  <c r="G207" i="18"/>
  <c r="K207" i="18" s="1"/>
  <c r="G206" i="18"/>
  <c r="K206" i="18" s="1"/>
  <c r="G205" i="18"/>
  <c r="K205" i="18" s="1"/>
  <c r="G204" i="18"/>
  <c r="K204" i="18" s="1"/>
  <c r="G203" i="18"/>
  <c r="K203" i="18" s="1"/>
  <c r="G202" i="18"/>
  <c r="K202" i="18" s="1"/>
  <c r="G201" i="18"/>
  <c r="K201" i="18" s="1"/>
  <c r="G178" i="18"/>
  <c r="G177" i="18"/>
  <c r="G176" i="18"/>
  <c r="G175" i="18"/>
  <c r="G174" i="18"/>
  <c r="K174" i="18" s="1"/>
  <c r="M172" i="18"/>
  <c r="K172" i="18"/>
  <c r="K171" i="18"/>
  <c r="K170" i="18"/>
  <c r="K169" i="18"/>
  <c r="K168" i="18"/>
  <c r="K167" i="18"/>
  <c r="K166" i="18"/>
  <c r="K165" i="18"/>
  <c r="M163" i="18"/>
  <c r="K162" i="18"/>
  <c r="K161" i="18"/>
  <c r="K160" i="18"/>
  <c r="K159" i="18"/>
  <c r="K158" i="18"/>
  <c r="K157" i="18"/>
  <c r="K156" i="18"/>
  <c r="M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M108" i="18"/>
  <c r="I105" i="18"/>
  <c r="K105" i="18" s="1"/>
  <c r="I104" i="18"/>
  <c r="K104" i="18" s="1"/>
  <c r="I103" i="18"/>
  <c r="K103" i="18" s="1"/>
  <c r="I102" i="18"/>
  <c r="K102" i="18" s="1"/>
  <c r="I101" i="18"/>
  <c r="K101" i="18" s="1"/>
  <c r="I100" i="18"/>
  <c r="K100" i="18" s="1"/>
  <c r="I99" i="18"/>
  <c r="K99" i="18" s="1"/>
  <c r="I98" i="18"/>
  <c r="K98" i="18" s="1"/>
  <c r="I97" i="18"/>
  <c r="K97" i="18" s="1"/>
  <c r="I96" i="18"/>
  <c r="K96" i="18" s="1"/>
  <c r="I95" i="18"/>
  <c r="K95" i="18" s="1"/>
  <c r="I94" i="18"/>
  <c r="G94" i="18"/>
  <c r="I93" i="18"/>
  <c r="K93" i="18" s="1"/>
  <c r="I92" i="18"/>
  <c r="K92" i="18" s="1"/>
  <c r="I91" i="18"/>
  <c r="K91" i="18" s="1"/>
  <c r="I90" i="18"/>
  <c r="K90" i="18" s="1"/>
  <c r="I89" i="18"/>
  <c r="K89" i="18" s="1"/>
  <c r="I88" i="18"/>
  <c r="K88" i="18" s="1"/>
  <c r="I87" i="18"/>
  <c r="K87" i="18" s="1"/>
  <c r="I86" i="18"/>
  <c r="K86" i="18" s="1"/>
  <c r="I85" i="18"/>
  <c r="K85" i="18" s="1"/>
  <c r="I84" i="18"/>
  <c r="K84" i="18" s="1"/>
  <c r="I83" i="18"/>
  <c r="K83" i="18" s="1"/>
  <c r="I82" i="18"/>
  <c r="K82" i="18" s="1"/>
  <c r="I81" i="18"/>
  <c r="K81" i="18" s="1"/>
  <c r="I80" i="18"/>
  <c r="K80" i="18" s="1"/>
  <c r="I79" i="18"/>
  <c r="K79" i="18" s="1"/>
  <c r="I78" i="18"/>
  <c r="K78" i="18" s="1"/>
  <c r="I77" i="18"/>
  <c r="K77" i="18" s="1"/>
  <c r="I76" i="18"/>
  <c r="G76" i="18"/>
  <c r="I75" i="18"/>
  <c r="K75" i="18" s="1"/>
  <c r="I74" i="18"/>
  <c r="K74" i="18" s="1"/>
  <c r="M72" i="18"/>
  <c r="J72" i="18"/>
  <c r="L71" i="18"/>
  <c r="G70" i="18"/>
  <c r="K68" i="18" s="1"/>
  <c r="M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M25" i="18"/>
  <c r="K25" i="18"/>
  <c r="M24" i="18"/>
  <c r="K24" i="18"/>
  <c r="K22" i="18"/>
  <c r="K21" i="18" s="1"/>
  <c r="M21" i="18"/>
  <c r="K20" i="18"/>
  <c r="K19" i="18" s="1"/>
  <c r="M19" i="18"/>
  <c r="K18" i="18"/>
  <c r="K17" i="18" s="1"/>
  <c r="M17" i="18"/>
  <c r="M16" i="18"/>
  <c r="K16" i="18"/>
  <c r="M15" i="18"/>
  <c r="K15" i="18"/>
  <c r="M14" i="18"/>
  <c r="K14" i="18"/>
  <c r="AC15" i="15"/>
  <c r="AC16" i="15"/>
  <c r="AC17" i="15"/>
  <c r="AC18" i="15"/>
  <c r="AC19" i="15"/>
  <c r="AC20" i="15"/>
  <c r="AC21" i="15"/>
  <c r="AC22" i="15"/>
  <c r="AC23" i="15"/>
  <c r="AC24" i="15"/>
  <c r="AC25" i="15"/>
  <c r="AC26" i="15"/>
  <c r="AC27" i="15"/>
  <c r="AC28" i="15"/>
  <c r="AC29" i="15"/>
  <c r="AC30" i="15"/>
  <c r="AC31" i="15"/>
  <c r="AC32" i="15"/>
  <c r="AC33" i="15"/>
  <c r="AC34" i="15"/>
  <c r="AC35" i="15"/>
  <c r="AC36" i="15"/>
  <c r="AC37" i="15"/>
  <c r="AC38" i="15"/>
  <c r="AC39" i="15"/>
  <c r="AC40" i="15"/>
  <c r="AC43" i="15"/>
  <c r="AC44" i="15"/>
  <c r="AC45" i="15"/>
  <c r="AC46" i="15"/>
  <c r="AC47" i="15"/>
  <c r="AC48" i="15"/>
  <c r="AC49" i="15"/>
  <c r="AC50" i="15"/>
  <c r="AC53" i="15"/>
  <c r="AC54" i="15"/>
  <c r="AC55" i="15"/>
  <c r="AC56" i="15"/>
  <c r="AC57" i="15"/>
  <c r="AC58" i="15"/>
  <c r="AC59" i="15"/>
  <c r="AC60" i="15"/>
  <c r="AC61" i="15"/>
  <c r="AC62" i="15"/>
  <c r="AC63" i="15"/>
  <c r="AC64" i="15"/>
  <c r="AC65" i="15"/>
  <c r="AC66" i="15"/>
  <c r="AC67" i="15"/>
  <c r="AC68" i="15"/>
  <c r="AC69" i="15"/>
  <c r="AC70" i="15"/>
  <c r="AC71" i="15"/>
  <c r="AC72" i="15"/>
  <c r="AC73" i="15"/>
  <c r="AC74" i="15"/>
  <c r="AC75" i="15"/>
  <c r="AC76" i="15"/>
  <c r="AC77" i="15"/>
  <c r="AC78" i="15"/>
  <c r="AC79" i="15"/>
  <c r="AC80" i="15"/>
  <c r="AC81" i="15"/>
  <c r="AC82" i="15"/>
  <c r="AC83" i="15"/>
  <c r="AC84" i="15"/>
  <c r="AC85" i="15"/>
  <c r="AC86" i="15"/>
  <c r="AC87" i="15"/>
  <c r="AC88" i="15"/>
  <c r="AC89" i="15"/>
  <c r="AC90" i="15"/>
  <c r="AC91" i="15"/>
  <c r="AC92" i="15"/>
  <c r="AC93" i="15"/>
  <c r="AC94" i="15"/>
  <c r="AC95" i="15"/>
  <c r="AC96" i="15"/>
  <c r="AC97" i="15"/>
  <c r="AC98" i="15"/>
  <c r="AC99" i="15"/>
  <c r="AC100" i="15"/>
  <c r="AC101" i="15"/>
  <c r="AC102" i="15"/>
  <c r="AC103" i="15"/>
  <c r="AC104" i="15"/>
  <c r="AC105" i="15"/>
  <c r="AC106" i="15"/>
  <c r="AC107" i="15"/>
  <c r="AC108" i="15"/>
  <c r="AC109" i="15"/>
  <c r="AC110" i="15"/>
  <c r="AC111" i="15"/>
  <c r="AC112" i="15"/>
  <c r="AC113" i="15"/>
  <c r="AC114" i="15"/>
  <c r="AC115" i="15"/>
  <c r="AC116" i="15"/>
  <c r="AC117" i="15"/>
  <c r="AC118" i="15"/>
  <c r="AC120" i="15"/>
  <c r="AC121" i="15"/>
  <c r="AC122" i="15"/>
  <c r="AC123" i="15"/>
  <c r="AC124" i="15"/>
  <c r="AC125" i="15"/>
  <c r="AC126" i="15"/>
  <c r="AC127" i="15"/>
  <c r="AC128" i="15"/>
  <c r="AC129" i="15"/>
  <c r="AC130" i="15"/>
  <c r="AC131" i="15"/>
  <c r="AC132" i="15"/>
  <c r="AC133" i="15"/>
  <c r="AC134" i="15"/>
  <c r="AC135" i="15"/>
  <c r="AC136" i="15"/>
  <c r="AC137" i="15"/>
  <c r="AC138" i="15"/>
  <c r="AC139" i="15"/>
  <c r="AC140" i="15"/>
  <c r="AC141" i="15"/>
  <c r="AC142" i="15"/>
  <c r="AC143" i="15"/>
  <c r="AC144" i="15"/>
  <c r="AC145" i="15"/>
  <c r="AC146" i="15"/>
  <c r="AC147" i="15"/>
  <c r="AC148" i="15"/>
  <c r="AC149" i="15"/>
  <c r="AC150" i="15"/>
  <c r="AC151" i="15"/>
  <c r="AC152" i="15"/>
  <c r="AC153" i="15"/>
  <c r="AC154" i="15"/>
  <c r="AC155" i="15"/>
  <c r="AC156" i="15"/>
  <c r="AC157" i="15"/>
  <c r="AC158" i="15"/>
  <c r="AC159" i="15"/>
  <c r="AC160" i="15"/>
  <c r="AC161" i="15"/>
  <c r="AC162" i="15"/>
  <c r="AC163" i="15"/>
  <c r="AC164" i="15"/>
  <c r="AC165" i="15"/>
  <c r="AC166" i="15"/>
  <c r="AC167" i="15"/>
  <c r="AC168" i="15"/>
  <c r="AC169" i="15"/>
  <c r="AC170" i="15"/>
  <c r="AC171" i="15"/>
  <c r="AC172" i="15"/>
  <c r="AC173" i="15"/>
  <c r="AC174" i="15"/>
  <c r="AC175" i="15"/>
  <c r="AC176" i="15"/>
  <c r="AC177" i="15"/>
  <c r="AC178" i="15"/>
  <c r="AC179" i="15"/>
  <c r="AC180" i="15"/>
  <c r="AC181" i="15"/>
  <c r="AC182" i="15"/>
  <c r="AC183" i="15"/>
  <c r="AC184" i="15"/>
  <c r="AC185" i="15"/>
  <c r="AC186" i="15"/>
  <c r="AC187" i="15"/>
  <c r="AC188" i="15"/>
  <c r="AC189" i="15"/>
  <c r="AC190" i="15"/>
  <c r="AC191" i="15"/>
  <c r="AC192" i="15"/>
  <c r="AC193" i="15"/>
  <c r="AC194" i="15"/>
  <c r="AC195" i="15"/>
  <c r="AB14" i="15"/>
  <c r="G387" i="16"/>
  <c r="G389" i="16"/>
  <c r="G411" i="16"/>
  <c r="G401" i="16"/>
  <c r="G385" i="16"/>
  <c r="K385" i="16" s="1"/>
  <c r="K402" i="16"/>
  <c r="J438" i="20" l="1"/>
  <c r="J439" i="22"/>
  <c r="L439" i="22" s="1"/>
  <c r="N439" i="22" s="1"/>
  <c r="J471" i="24"/>
  <c r="L471" i="24" s="1"/>
  <c r="N471" i="24" s="1"/>
  <c r="J389" i="22"/>
  <c r="L389" i="22" s="1"/>
  <c r="N389" i="22" s="1"/>
  <c r="J501" i="20"/>
  <c r="L501" i="20" s="1"/>
  <c r="N501" i="20" s="1"/>
  <c r="J542" i="24"/>
  <c r="L542" i="24" s="1"/>
  <c r="N542" i="24" s="1"/>
  <c r="O51" i="15"/>
  <c r="AD51" i="15" s="1"/>
  <c r="J441" i="20"/>
  <c r="L441" i="20" s="1"/>
  <c r="N441" i="20" s="1"/>
  <c r="J476" i="24"/>
  <c r="L476" i="24" s="1"/>
  <c r="N476" i="24" s="1"/>
  <c r="J444" i="22"/>
  <c r="L444" i="22" s="1"/>
  <c r="N444" i="22" s="1"/>
  <c r="AD83" i="15"/>
  <c r="AD120" i="15"/>
  <c r="J504" i="22"/>
  <c r="L504" i="22" s="1"/>
  <c r="N504" i="22" s="1"/>
  <c r="J510" i="22"/>
  <c r="L510" i="22" s="1"/>
  <c r="N510" i="22" s="1"/>
  <c r="J441" i="22"/>
  <c r="L441" i="22" s="1"/>
  <c r="N441" i="22" s="1"/>
  <c r="J424" i="20"/>
  <c r="J428" i="22"/>
  <c r="L428" i="22" s="1"/>
  <c r="N428" i="22" s="1"/>
  <c r="K72" i="22"/>
  <c r="L72" i="22" s="1"/>
  <c r="N72" i="22" s="1"/>
  <c r="K410" i="22"/>
  <c r="K411" i="22"/>
  <c r="K72" i="20"/>
  <c r="L72" i="20" s="1"/>
  <c r="N72" i="20" s="1"/>
  <c r="K406" i="20"/>
  <c r="K407" i="20"/>
  <c r="N41" i="15"/>
  <c r="AC41" i="15" s="1"/>
  <c r="K403" i="18"/>
  <c r="N51" i="15" s="1"/>
  <c r="AC51" i="15" s="1"/>
  <c r="K414" i="18"/>
  <c r="L414" i="18" s="1"/>
  <c r="N414" i="18" s="1"/>
  <c r="K549" i="18"/>
  <c r="K94" i="18"/>
  <c r="N425" i="18"/>
  <c r="K163" i="18"/>
  <c r="J208" i="18"/>
  <c r="L208" i="18" s="1"/>
  <c r="N208" i="18" s="1"/>
  <c r="K108" i="18"/>
  <c r="L108" i="18" s="1"/>
  <c r="N108" i="18" s="1"/>
  <c r="K154" i="18"/>
  <c r="K76" i="18"/>
  <c r="N411" i="18"/>
  <c r="K304" i="18"/>
  <c r="L304" i="18" s="1"/>
  <c r="N304" i="18" s="1"/>
  <c r="G106" i="18"/>
  <c r="K106" i="18" s="1"/>
  <c r="K261" i="18"/>
  <c r="K389" i="16"/>
  <c r="K388" i="16" s="1"/>
  <c r="M44" i="15" s="1"/>
  <c r="G391" i="16"/>
  <c r="K391" i="16" s="1"/>
  <c r="K390" i="16" s="1"/>
  <c r="G393" i="16"/>
  <c r="K393" i="16" s="1"/>
  <c r="K392" i="16" s="1"/>
  <c r="M46" i="15" s="1"/>
  <c r="AB46" i="15" s="1"/>
  <c r="AB15" i="15"/>
  <c r="AB16" i="15"/>
  <c r="AB17" i="15"/>
  <c r="AB18" i="15"/>
  <c r="AB19" i="15"/>
  <c r="AB20" i="15"/>
  <c r="AB21" i="15"/>
  <c r="AB22" i="15"/>
  <c r="AB23" i="15"/>
  <c r="AB24" i="15"/>
  <c r="AB25" i="15"/>
  <c r="AB26" i="15"/>
  <c r="AB27" i="15"/>
  <c r="AB28" i="15"/>
  <c r="AB29" i="15"/>
  <c r="AB30" i="15"/>
  <c r="AB31" i="15"/>
  <c r="AB32" i="15"/>
  <c r="AB33" i="15"/>
  <c r="AB34" i="15"/>
  <c r="AB35" i="15"/>
  <c r="AB36" i="15"/>
  <c r="AB37" i="15"/>
  <c r="AB38" i="15"/>
  <c r="AB39" i="15"/>
  <c r="AB40" i="15"/>
  <c r="AB42" i="15"/>
  <c r="AB47" i="15"/>
  <c r="AB55" i="15"/>
  <c r="AB56" i="15"/>
  <c r="AB57" i="15"/>
  <c r="AB58" i="15"/>
  <c r="AB59" i="15"/>
  <c r="AB61" i="15"/>
  <c r="AB63" i="15"/>
  <c r="AB64" i="15"/>
  <c r="AB66" i="15"/>
  <c r="AB67" i="15"/>
  <c r="AB68" i="15"/>
  <c r="AB69" i="15"/>
  <c r="AB70" i="15"/>
  <c r="AB71" i="15"/>
  <c r="AB72" i="15"/>
  <c r="AB73" i="15"/>
  <c r="AB74" i="15"/>
  <c r="AB75" i="15"/>
  <c r="AB76" i="15"/>
  <c r="AB77" i="15"/>
  <c r="AB78" i="15"/>
  <c r="AB79" i="15"/>
  <c r="AB80" i="15"/>
  <c r="AB81" i="15"/>
  <c r="AB82" i="15"/>
  <c r="AB83" i="15"/>
  <c r="AB84" i="15"/>
  <c r="AB85" i="15"/>
  <c r="AB86" i="15"/>
  <c r="AB87" i="15"/>
  <c r="AB88" i="15"/>
  <c r="AB89" i="15"/>
  <c r="AB90" i="15"/>
  <c r="AB91" i="15"/>
  <c r="AB92" i="15"/>
  <c r="AB93" i="15"/>
  <c r="AB94" i="15"/>
  <c r="AB95" i="15"/>
  <c r="AB96" i="15"/>
  <c r="AB97" i="15"/>
  <c r="AB98" i="15"/>
  <c r="AB99" i="15"/>
  <c r="AB100" i="15"/>
  <c r="AB101" i="15"/>
  <c r="AB102" i="15"/>
  <c r="AB103" i="15"/>
  <c r="AB104" i="15"/>
  <c r="AB105" i="15"/>
  <c r="AB106" i="15"/>
  <c r="AB107" i="15"/>
  <c r="AB109" i="15"/>
  <c r="AB110" i="15"/>
  <c r="AB111" i="15"/>
  <c r="AB112" i="15"/>
  <c r="AB113" i="15"/>
  <c r="AB114" i="15"/>
  <c r="AB115" i="15"/>
  <c r="AB116" i="15"/>
  <c r="AB117" i="15"/>
  <c r="AB118" i="15"/>
  <c r="AB119" i="15"/>
  <c r="AB120" i="15"/>
  <c r="AB121" i="15"/>
  <c r="AB122" i="15"/>
  <c r="AB123" i="15"/>
  <c r="AB124" i="15"/>
  <c r="AB125" i="15"/>
  <c r="AB126" i="15"/>
  <c r="AB127" i="15"/>
  <c r="AB128" i="15"/>
  <c r="AB129" i="15"/>
  <c r="AB130" i="15"/>
  <c r="AB131" i="15"/>
  <c r="AB132" i="15"/>
  <c r="AB133" i="15"/>
  <c r="AB134" i="15"/>
  <c r="AB135" i="15"/>
  <c r="AB136" i="15"/>
  <c r="AB137" i="15"/>
  <c r="AB138" i="15"/>
  <c r="AB139" i="15"/>
  <c r="AB140" i="15"/>
  <c r="AB141" i="15"/>
  <c r="AB142" i="15"/>
  <c r="AB143" i="15"/>
  <c r="AB144" i="15"/>
  <c r="AB145" i="15"/>
  <c r="AB146" i="15"/>
  <c r="AB147" i="15"/>
  <c r="AB148" i="15"/>
  <c r="AB149" i="15"/>
  <c r="AB150" i="15"/>
  <c r="AB151" i="15"/>
  <c r="AB152" i="15"/>
  <c r="AB153" i="15"/>
  <c r="AB154" i="15"/>
  <c r="AB155" i="15"/>
  <c r="AB156" i="15"/>
  <c r="AB157" i="15"/>
  <c r="AB158" i="15"/>
  <c r="AB159" i="15"/>
  <c r="AB160" i="15"/>
  <c r="AB161" i="15"/>
  <c r="AB162" i="15"/>
  <c r="AB163" i="15"/>
  <c r="AB164" i="15"/>
  <c r="AB165" i="15"/>
  <c r="AB166" i="15"/>
  <c r="AB167" i="15"/>
  <c r="AB168" i="15"/>
  <c r="AB169" i="15"/>
  <c r="AB170" i="15"/>
  <c r="AB171" i="15"/>
  <c r="AB172" i="15"/>
  <c r="AB173" i="15"/>
  <c r="AB174" i="15"/>
  <c r="AB175" i="15"/>
  <c r="AB176" i="15"/>
  <c r="AB177" i="15"/>
  <c r="AB178" i="15"/>
  <c r="AB179" i="15"/>
  <c r="AB180" i="15"/>
  <c r="AB181" i="15"/>
  <c r="AB182" i="15"/>
  <c r="AB183" i="15"/>
  <c r="AB184" i="15"/>
  <c r="AB185" i="15"/>
  <c r="AB186" i="15"/>
  <c r="AB187" i="15"/>
  <c r="AB188" i="15"/>
  <c r="AB189" i="15"/>
  <c r="AB191" i="15"/>
  <c r="AB192" i="15"/>
  <c r="AB193" i="15"/>
  <c r="AB194" i="15"/>
  <c r="AB195" i="15"/>
  <c r="G421" i="16"/>
  <c r="K421" i="16" s="1"/>
  <c r="K420" i="16" s="1"/>
  <c r="K414" i="16"/>
  <c r="K413" i="16" s="1"/>
  <c r="K411" i="16"/>
  <c r="K410" i="16" s="1"/>
  <c r="K408" i="16"/>
  <c r="K407" i="16" s="1"/>
  <c r="L407" i="16" s="1"/>
  <c r="K406" i="16"/>
  <c r="K405" i="16" s="1"/>
  <c r="L405" i="16" s="1"/>
  <c r="K401" i="16"/>
  <c r="K400" i="16" s="1"/>
  <c r="M51" i="15" s="1"/>
  <c r="AB51" i="15" s="1"/>
  <c r="K399" i="16"/>
  <c r="K398" i="16" s="1"/>
  <c r="K397" i="16"/>
  <c r="K396" i="16" s="1"/>
  <c r="K395" i="16"/>
  <c r="K394" i="16" s="1"/>
  <c r="K387" i="16"/>
  <c r="K386" i="16" s="1"/>
  <c r="M43" i="15" s="1"/>
  <c r="K384" i="16"/>
  <c r="M41" i="15" s="1"/>
  <c r="K432" i="16"/>
  <c r="K431" i="16"/>
  <c r="K430" i="16"/>
  <c r="K429" i="16"/>
  <c r="K428" i="16"/>
  <c r="M420" i="16"/>
  <c r="M417" i="16"/>
  <c r="K417" i="16"/>
  <c r="M415" i="16"/>
  <c r="K415" i="16"/>
  <c r="M413" i="16"/>
  <c r="K412" i="16"/>
  <c r="M410" i="16"/>
  <c r="M407" i="16"/>
  <c r="M405" i="16"/>
  <c r="M403" i="16"/>
  <c r="M400" i="16"/>
  <c r="M398" i="16"/>
  <c r="M396" i="16"/>
  <c r="M394" i="16"/>
  <c r="M392" i="16"/>
  <c r="M390" i="16"/>
  <c r="M388" i="16"/>
  <c r="M386" i="16"/>
  <c r="M384" i="16"/>
  <c r="M381" i="16"/>
  <c r="K381" i="16"/>
  <c r="G380" i="16"/>
  <c r="K380" i="16" s="1"/>
  <c r="G379" i="16"/>
  <c r="K379" i="16" s="1"/>
  <c r="G378" i="16"/>
  <c r="K378" i="16" s="1"/>
  <c r="G377" i="16"/>
  <c r="K377" i="16" s="1"/>
  <c r="G376" i="16"/>
  <c r="K376" i="16" s="1"/>
  <c r="G375" i="16"/>
  <c r="K375" i="16" s="1"/>
  <c r="G374" i="16"/>
  <c r="K374" i="16" s="1"/>
  <c r="G373" i="16"/>
  <c r="K373" i="16" s="1"/>
  <c r="G372" i="16"/>
  <c r="K372" i="16" s="1"/>
  <c r="G371" i="16"/>
  <c r="K371" i="16" s="1"/>
  <c r="G370" i="16"/>
  <c r="K370" i="16" s="1"/>
  <c r="G369" i="16"/>
  <c r="K369" i="16" s="1"/>
  <c r="G368" i="16"/>
  <c r="K368" i="16" s="1"/>
  <c r="G367" i="16"/>
  <c r="K367" i="16" s="1"/>
  <c r="G366" i="16"/>
  <c r="K366" i="16" s="1"/>
  <c r="G365" i="16"/>
  <c r="K365" i="16" s="1"/>
  <c r="G364" i="16"/>
  <c r="K364" i="16" s="1"/>
  <c r="G363" i="16"/>
  <c r="K363" i="16" s="1"/>
  <c r="G362" i="16"/>
  <c r="K362" i="16" s="1"/>
  <c r="G361" i="16"/>
  <c r="K361" i="16" s="1"/>
  <c r="G360" i="16"/>
  <c r="K360" i="16" s="1"/>
  <c r="G359" i="16"/>
  <c r="K359" i="16" s="1"/>
  <c r="G358" i="16"/>
  <c r="K358" i="16" s="1"/>
  <c r="G357" i="16"/>
  <c r="K357" i="16" s="1"/>
  <c r="G356" i="16"/>
  <c r="K356" i="16" s="1"/>
  <c r="G355" i="16"/>
  <c r="K355" i="16" s="1"/>
  <c r="G354" i="16"/>
  <c r="K354" i="16" s="1"/>
  <c r="G353" i="16"/>
  <c r="K353" i="16" s="1"/>
  <c r="G352" i="16"/>
  <c r="K352" i="16" s="1"/>
  <c r="G351" i="16"/>
  <c r="K351" i="16" s="1"/>
  <c r="K349" i="16"/>
  <c r="K348" i="16"/>
  <c r="K347" i="16"/>
  <c r="K346" i="16"/>
  <c r="K345" i="16"/>
  <c r="K344" i="16"/>
  <c r="K343" i="16"/>
  <c r="M340" i="16"/>
  <c r="K340" i="16"/>
  <c r="G338" i="16"/>
  <c r="K338" i="16" s="1"/>
  <c r="G337" i="16"/>
  <c r="K337" i="16" s="1"/>
  <c r="G336" i="16"/>
  <c r="K336" i="16" s="1"/>
  <c r="G335" i="16"/>
  <c r="K335" i="16" s="1"/>
  <c r="G334" i="16"/>
  <c r="K334" i="16" s="1"/>
  <c r="G333" i="16"/>
  <c r="K333" i="16" s="1"/>
  <c r="G332" i="16"/>
  <c r="K332" i="16" s="1"/>
  <c r="M330" i="16"/>
  <c r="K330" i="16"/>
  <c r="G329" i="16"/>
  <c r="K329" i="16" s="1"/>
  <c r="G328" i="16"/>
  <c r="K328" i="16" s="1"/>
  <c r="G327" i="16"/>
  <c r="K327" i="16" s="1"/>
  <c r="G326" i="16"/>
  <c r="K326" i="16" s="1"/>
  <c r="G325" i="16"/>
  <c r="K325" i="16" s="1"/>
  <c r="G324" i="16"/>
  <c r="K324" i="16" s="1"/>
  <c r="G323" i="16"/>
  <c r="K323" i="16" s="1"/>
  <c r="G322" i="16"/>
  <c r="K322" i="16" s="1"/>
  <c r="G321" i="16"/>
  <c r="K321" i="16" s="1"/>
  <c r="G320" i="16"/>
  <c r="K320" i="16" s="1"/>
  <c r="G319" i="16"/>
  <c r="K319" i="16" s="1"/>
  <c r="G318" i="16"/>
  <c r="K318" i="16" s="1"/>
  <c r="G317" i="16"/>
  <c r="K317" i="16" s="1"/>
  <c r="G316" i="16"/>
  <c r="K316" i="16" s="1"/>
  <c r="G315" i="16"/>
  <c r="K315" i="16" s="1"/>
  <c r="G314" i="16"/>
  <c r="K314" i="16" s="1"/>
  <c r="G313" i="16"/>
  <c r="K313" i="16" s="1"/>
  <c r="G312" i="16"/>
  <c r="K312" i="16" s="1"/>
  <c r="G311" i="16"/>
  <c r="K311" i="16" s="1"/>
  <c r="G310" i="16"/>
  <c r="K310" i="16" s="1"/>
  <c r="G309" i="16"/>
  <c r="K309" i="16" s="1"/>
  <c r="G308" i="16"/>
  <c r="K308" i="16" s="1"/>
  <c r="G307" i="16"/>
  <c r="K307" i="16" s="1"/>
  <c r="M304" i="16"/>
  <c r="K303" i="16"/>
  <c r="K302" i="16" s="1"/>
  <c r="M302" i="16"/>
  <c r="G301" i="16"/>
  <c r="K301" i="16" s="1"/>
  <c r="G300" i="16"/>
  <c r="K300" i="16" s="1"/>
  <c r="G299" i="16"/>
  <c r="K299" i="16" s="1"/>
  <c r="G298" i="16"/>
  <c r="K298" i="16" s="1"/>
  <c r="G297" i="16"/>
  <c r="K297" i="16" s="1"/>
  <c r="G296" i="16"/>
  <c r="K296" i="16" s="1"/>
  <c r="G295" i="16"/>
  <c r="K295" i="16" s="1"/>
  <c r="G293" i="16"/>
  <c r="K293" i="16" s="1"/>
  <c r="G292" i="16"/>
  <c r="K292" i="16" s="1"/>
  <c r="G291" i="16"/>
  <c r="K291" i="16" s="1"/>
  <c r="G290" i="16"/>
  <c r="K290" i="16" s="1"/>
  <c r="G289" i="16"/>
  <c r="K289" i="16" s="1"/>
  <c r="G288" i="16"/>
  <c r="K288" i="16" s="1"/>
  <c r="G287" i="16"/>
  <c r="K287" i="16" s="1"/>
  <c r="G286" i="16"/>
  <c r="K286" i="16" s="1"/>
  <c r="G285" i="16"/>
  <c r="K285" i="16" s="1"/>
  <c r="G284" i="16"/>
  <c r="K284" i="16" s="1"/>
  <c r="G283" i="16"/>
  <c r="K283" i="16" s="1"/>
  <c r="G282" i="16"/>
  <c r="K282" i="16" s="1"/>
  <c r="G281" i="16"/>
  <c r="K281" i="16" s="1"/>
  <c r="G280" i="16"/>
  <c r="K280" i="16" s="1"/>
  <c r="G279" i="16"/>
  <c r="K279" i="16" s="1"/>
  <c r="G278" i="16"/>
  <c r="K278" i="16" s="1"/>
  <c r="G277" i="16"/>
  <c r="K277" i="16" s="1"/>
  <c r="G276" i="16"/>
  <c r="K276" i="16" s="1"/>
  <c r="G275" i="16"/>
  <c r="K275" i="16" s="1"/>
  <c r="G274" i="16"/>
  <c r="K274" i="16" s="1"/>
  <c r="G273" i="16"/>
  <c r="K273" i="16" s="1"/>
  <c r="G272" i="16"/>
  <c r="K272" i="16" s="1"/>
  <c r="G271" i="16"/>
  <c r="K271" i="16" s="1"/>
  <c r="G270" i="16"/>
  <c r="K270" i="16" s="1"/>
  <c r="G269" i="16"/>
  <c r="K269" i="16" s="1"/>
  <c r="G268" i="16"/>
  <c r="K268" i="16" s="1"/>
  <c r="G267" i="16"/>
  <c r="K267" i="16" s="1"/>
  <c r="G266" i="16"/>
  <c r="K266" i="16" s="1"/>
  <c r="G265" i="16"/>
  <c r="K265" i="16" s="1"/>
  <c r="G264" i="16"/>
  <c r="K264" i="16" s="1"/>
  <c r="M262" i="16"/>
  <c r="K262" i="16"/>
  <c r="G261" i="16"/>
  <c r="M260" i="16"/>
  <c r="M257" i="16"/>
  <c r="K257" i="16"/>
  <c r="K256" i="16"/>
  <c r="K255" i="16"/>
  <c r="K254" i="16"/>
  <c r="K253" i="16"/>
  <c r="K252" i="16"/>
  <c r="K251" i="16"/>
  <c r="K250" i="16"/>
  <c r="K248" i="16"/>
  <c r="K247" i="16"/>
  <c r="K246" i="16"/>
  <c r="K245" i="16"/>
  <c r="K244" i="16"/>
  <c r="K243" i="16"/>
  <c r="K242" i="16"/>
  <c r="K241" i="16"/>
  <c r="K240" i="16"/>
  <c r="K239" i="16"/>
  <c r="K238" i="16"/>
  <c r="K237" i="16"/>
  <c r="K236" i="16"/>
  <c r="K235" i="16"/>
  <c r="K234" i="16"/>
  <c r="K233" i="16"/>
  <c r="K232" i="16"/>
  <c r="K231" i="16"/>
  <c r="K230" i="16"/>
  <c r="K229" i="16"/>
  <c r="K228" i="16"/>
  <c r="K227" i="16"/>
  <c r="K226" i="16"/>
  <c r="K225" i="16"/>
  <c r="K224" i="16"/>
  <c r="K223" i="16"/>
  <c r="K222" i="16"/>
  <c r="K221" i="16"/>
  <c r="K220" i="16"/>
  <c r="K219" i="16"/>
  <c r="K218" i="16"/>
  <c r="K216" i="16"/>
  <c r="K215" i="16"/>
  <c r="K214" i="16"/>
  <c r="K213" i="16"/>
  <c r="K212" i="16"/>
  <c r="K211" i="16"/>
  <c r="K210" i="16"/>
  <c r="M208" i="16"/>
  <c r="K208" i="16"/>
  <c r="G207" i="16"/>
  <c r="K207" i="16" s="1"/>
  <c r="G206" i="16"/>
  <c r="K206" i="16" s="1"/>
  <c r="G205" i="16"/>
  <c r="K205" i="16" s="1"/>
  <c r="G204" i="16"/>
  <c r="K204" i="16" s="1"/>
  <c r="G203" i="16"/>
  <c r="K203" i="16" s="1"/>
  <c r="G202" i="16"/>
  <c r="K202" i="16" s="1"/>
  <c r="G201" i="16"/>
  <c r="K201" i="16" s="1"/>
  <c r="G178" i="16"/>
  <c r="G177" i="16"/>
  <c r="G176" i="16"/>
  <c r="G175" i="16"/>
  <c r="G174" i="16"/>
  <c r="K174" i="16" s="1"/>
  <c r="M172" i="16"/>
  <c r="K172" i="16"/>
  <c r="K171" i="16"/>
  <c r="K170" i="16"/>
  <c r="K169" i="16"/>
  <c r="K168" i="16"/>
  <c r="K167" i="16"/>
  <c r="K166" i="16"/>
  <c r="K165" i="16"/>
  <c r="M163" i="16"/>
  <c r="K162" i="16"/>
  <c r="K161" i="16"/>
  <c r="K160" i="16"/>
  <c r="K159" i="16"/>
  <c r="K158" i="16"/>
  <c r="K157" i="16"/>
  <c r="K156" i="16"/>
  <c r="M154" i="16"/>
  <c r="K153" i="16"/>
  <c r="K152" i="16"/>
  <c r="K151" i="16"/>
  <c r="K150" i="16"/>
  <c r="K149" i="16"/>
  <c r="K148" i="16"/>
  <c r="K147" i="16"/>
  <c r="K146" i="16"/>
  <c r="K145" i="16"/>
  <c r="K144" i="16"/>
  <c r="K143" i="16"/>
  <c r="K142" i="16"/>
  <c r="K141" i="16"/>
  <c r="K140" i="16"/>
  <c r="K139" i="16"/>
  <c r="K138" i="16"/>
  <c r="K137" i="16"/>
  <c r="K136" i="16"/>
  <c r="K135" i="16"/>
  <c r="K134" i="16"/>
  <c r="K133" i="16"/>
  <c r="K132" i="16"/>
  <c r="K131" i="16"/>
  <c r="K130" i="16"/>
  <c r="K129" i="16"/>
  <c r="K128" i="16"/>
  <c r="K127" i="16"/>
  <c r="K126" i="16"/>
  <c r="K125" i="16"/>
  <c r="K124" i="16"/>
  <c r="K123" i="16"/>
  <c r="K122" i="16"/>
  <c r="K121" i="16"/>
  <c r="K120" i="16"/>
  <c r="K119" i="16"/>
  <c r="K118" i="16"/>
  <c r="K117" i="16"/>
  <c r="K116" i="16"/>
  <c r="K115" i="16"/>
  <c r="K114" i="16"/>
  <c r="K113" i="16"/>
  <c r="K112" i="16"/>
  <c r="K111" i="16"/>
  <c r="K110" i="16"/>
  <c r="M108" i="16"/>
  <c r="I105" i="16"/>
  <c r="K105" i="16" s="1"/>
  <c r="I104" i="16"/>
  <c r="K104" i="16" s="1"/>
  <c r="I103" i="16"/>
  <c r="K103" i="16" s="1"/>
  <c r="I102" i="16"/>
  <c r="K102" i="16" s="1"/>
  <c r="I101" i="16"/>
  <c r="K101" i="16" s="1"/>
  <c r="I100" i="16"/>
  <c r="K100" i="16" s="1"/>
  <c r="I99" i="16"/>
  <c r="K99" i="16" s="1"/>
  <c r="I98" i="16"/>
  <c r="K98" i="16" s="1"/>
  <c r="I97" i="16"/>
  <c r="K97" i="16" s="1"/>
  <c r="I96" i="16"/>
  <c r="K96" i="16" s="1"/>
  <c r="I95" i="16"/>
  <c r="K95" i="16" s="1"/>
  <c r="I94" i="16"/>
  <c r="G94" i="16"/>
  <c r="I93" i="16"/>
  <c r="K93" i="16" s="1"/>
  <c r="I92" i="16"/>
  <c r="K92" i="16" s="1"/>
  <c r="I91" i="16"/>
  <c r="K91" i="16" s="1"/>
  <c r="I90" i="16"/>
  <c r="K90" i="16" s="1"/>
  <c r="I89" i="16"/>
  <c r="K89" i="16" s="1"/>
  <c r="I88" i="16"/>
  <c r="K88" i="16" s="1"/>
  <c r="I87" i="16"/>
  <c r="K87" i="16" s="1"/>
  <c r="I86" i="16"/>
  <c r="K86" i="16" s="1"/>
  <c r="I85" i="16"/>
  <c r="K85" i="16" s="1"/>
  <c r="I84" i="16"/>
  <c r="K84" i="16" s="1"/>
  <c r="I83" i="16"/>
  <c r="K83" i="16" s="1"/>
  <c r="I82" i="16"/>
  <c r="K82" i="16" s="1"/>
  <c r="I81" i="16"/>
  <c r="K81" i="16" s="1"/>
  <c r="I80" i="16"/>
  <c r="K80" i="16" s="1"/>
  <c r="I79" i="16"/>
  <c r="K79" i="16" s="1"/>
  <c r="I78" i="16"/>
  <c r="K78" i="16" s="1"/>
  <c r="I77" i="16"/>
  <c r="K77" i="16" s="1"/>
  <c r="I76" i="16"/>
  <c r="G76" i="16"/>
  <c r="I75" i="16"/>
  <c r="K75" i="16" s="1"/>
  <c r="I74" i="16"/>
  <c r="K74" i="16" s="1"/>
  <c r="M72" i="16"/>
  <c r="J72" i="16"/>
  <c r="L71" i="16"/>
  <c r="G70" i="16"/>
  <c r="K68" i="16" s="1"/>
  <c r="M68" i="16"/>
  <c r="K67" i="16"/>
  <c r="K66" i="16"/>
  <c r="K65" i="16"/>
  <c r="K64" i="16"/>
  <c r="K63" i="16"/>
  <c r="K62" i="16"/>
  <c r="K61" i="16"/>
  <c r="K60" i="16"/>
  <c r="K59" i="16"/>
  <c r="K58" i="16"/>
  <c r="K57" i="16"/>
  <c r="K56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30" i="16"/>
  <c r="K29" i="16"/>
  <c r="K28" i="16"/>
  <c r="K27" i="16"/>
  <c r="M25" i="16"/>
  <c r="K25" i="16"/>
  <c r="M24" i="16"/>
  <c r="K24" i="16"/>
  <c r="K22" i="16"/>
  <c r="K21" i="16" s="1"/>
  <c r="M21" i="16"/>
  <c r="K20" i="16"/>
  <c r="K19" i="16" s="1"/>
  <c r="M19" i="16"/>
  <c r="K18" i="16"/>
  <c r="K17" i="16" s="1"/>
  <c r="M17" i="16"/>
  <c r="M16" i="16"/>
  <c r="K16" i="16"/>
  <c r="M15" i="16"/>
  <c r="K15" i="16"/>
  <c r="M14" i="16"/>
  <c r="K14" i="16"/>
  <c r="AA195" i="15"/>
  <c r="Z195" i="15"/>
  <c r="Y195" i="15"/>
  <c r="X195" i="15"/>
  <c r="W195" i="15"/>
  <c r="U195" i="15"/>
  <c r="AA194" i="15"/>
  <c r="Z194" i="15"/>
  <c r="Y194" i="15"/>
  <c r="X194" i="15"/>
  <c r="W194" i="15"/>
  <c r="U194" i="15"/>
  <c r="AA193" i="15"/>
  <c r="Z193" i="15"/>
  <c r="Y193" i="15"/>
  <c r="X193" i="15"/>
  <c r="W193" i="15"/>
  <c r="AA192" i="15"/>
  <c r="Z192" i="15"/>
  <c r="Y192" i="15"/>
  <c r="X192" i="15"/>
  <c r="W192" i="15"/>
  <c r="U192" i="15"/>
  <c r="AA191" i="15"/>
  <c r="Z191" i="15"/>
  <c r="Y191" i="15"/>
  <c r="X191" i="15"/>
  <c r="W191" i="15"/>
  <c r="U191" i="15"/>
  <c r="Z190" i="15"/>
  <c r="Y190" i="15"/>
  <c r="X190" i="15"/>
  <c r="W190" i="15"/>
  <c r="Y189" i="15"/>
  <c r="X189" i="15"/>
  <c r="W189" i="15"/>
  <c r="X188" i="15"/>
  <c r="W188" i="15"/>
  <c r="AA187" i="15"/>
  <c r="Z187" i="15"/>
  <c r="X187" i="15"/>
  <c r="W187" i="15"/>
  <c r="AA182" i="15"/>
  <c r="Z182" i="15"/>
  <c r="Y182" i="15"/>
  <c r="X182" i="15"/>
  <c r="W182" i="15"/>
  <c r="U182" i="15"/>
  <c r="AA180" i="15"/>
  <c r="Z180" i="15"/>
  <c r="Y180" i="15"/>
  <c r="AA179" i="15"/>
  <c r="Z179" i="15"/>
  <c r="Y179" i="15"/>
  <c r="AA178" i="15"/>
  <c r="Z178" i="15"/>
  <c r="Y178" i="15"/>
  <c r="X177" i="15"/>
  <c r="W177" i="15"/>
  <c r="AA176" i="15"/>
  <c r="Z176" i="15"/>
  <c r="Y176" i="15"/>
  <c r="W176" i="15"/>
  <c r="AA175" i="15"/>
  <c r="Z175" i="15"/>
  <c r="Y175" i="15"/>
  <c r="X175" i="15"/>
  <c r="W175" i="15"/>
  <c r="U175" i="15"/>
  <c r="AA174" i="15"/>
  <c r="Z174" i="15"/>
  <c r="Y174" i="15"/>
  <c r="X174" i="15"/>
  <c r="AA173" i="15"/>
  <c r="Z173" i="15"/>
  <c r="Y173" i="15"/>
  <c r="X173" i="15"/>
  <c r="W173" i="15"/>
  <c r="AA172" i="15"/>
  <c r="Z172" i="15"/>
  <c r="Y172" i="15"/>
  <c r="X172" i="15"/>
  <c r="W172" i="15"/>
  <c r="U172" i="15"/>
  <c r="AA171" i="15"/>
  <c r="Z171" i="15"/>
  <c r="Y171" i="15"/>
  <c r="X171" i="15"/>
  <c r="W171" i="15"/>
  <c r="U171" i="15"/>
  <c r="AA170" i="15"/>
  <c r="Z170" i="15"/>
  <c r="Y170" i="15"/>
  <c r="X170" i="15"/>
  <c r="W170" i="15"/>
  <c r="U170" i="15"/>
  <c r="AA169" i="15"/>
  <c r="Z169" i="15"/>
  <c r="Y169" i="15"/>
  <c r="X169" i="15"/>
  <c r="W169" i="15"/>
  <c r="U169" i="15"/>
  <c r="AA168" i="15"/>
  <c r="Z168" i="15"/>
  <c r="Y168" i="15"/>
  <c r="X168" i="15"/>
  <c r="W168" i="15"/>
  <c r="U168" i="15"/>
  <c r="AA167" i="15"/>
  <c r="Z167" i="15"/>
  <c r="Y167" i="15"/>
  <c r="X167" i="15"/>
  <c r="W167" i="15"/>
  <c r="U167" i="15"/>
  <c r="AA166" i="15"/>
  <c r="Z166" i="15"/>
  <c r="Y166" i="15"/>
  <c r="X166" i="15"/>
  <c r="W166" i="15"/>
  <c r="U166" i="15"/>
  <c r="AA165" i="15"/>
  <c r="Z165" i="15"/>
  <c r="Y165" i="15"/>
  <c r="X165" i="15"/>
  <c r="W165" i="15"/>
  <c r="U165" i="15"/>
  <c r="AA164" i="15"/>
  <c r="Z164" i="15"/>
  <c r="Y164" i="15"/>
  <c r="X164" i="15"/>
  <c r="W164" i="15"/>
  <c r="U164" i="15"/>
  <c r="AA163" i="15"/>
  <c r="Z163" i="15"/>
  <c r="Y163" i="15"/>
  <c r="X163" i="15"/>
  <c r="W163" i="15"/>
  <c r="U163" i="15"/>
  <c r="AA162" i="15"/>
  <c r="Z162" i="15"/>
  <c r="Y162" i="15"/>
  <c r="X162" i="15"/>
  <c r="W162" i="15"/>
  <c r="U162" i="15"/>
  <c r="AA161" i="15"/>
  <c r="Z161" i="15"/>
  <c r="Y161" i="15"/>
  <c r="X161" i="15"/>
  <c r="W161" i="15"/>
  <c r="U161" i="15"/>
  <c r="AA160" i="15"/>
  <c r="Z160" i="15"/>
  <c r="Y160" i="15"/>
  <c r="X160" i="15"/>
  <c r="W160" i="15"/>
  <c r="AA159" i="15"/>
  <c r="Z159" i="15"/>
  <c r="Y159" i="15"/>
  <c r="X159" i="15"/>
  <c r="W159" i="15"/>
  <c r="J513" i="20"/>
  <c r="L513" i="20" s="1"/>
  <c r="AA158" i="15"/>
  <c r="Z158" i="15"/>
  <c r="Y158" i="15"/>
  <c r="X158" i="15"/>
  <c r="W158" i="15"/>
  <c r="AA157" i="15"/>
  <c r="Z157" i="15"/>
  <c r="Y157" i="15"/>
  <c r="X157" i="15"/>
  <c r="W157" i="15"/>
  <c r="L507" i="20"/>
  <c r="N507" i="20" s="1"/>
  <c r="AA156" i="15"/>
  <c r="Z156" i="15"/>
  <c r="Y156" i="15"/>
  <c r="X156" i="15"/>
  <c r="W156" i="15"/>
  <c r="AA155" i="15"/>
  <c r="Z155" i="15"/>
  <c r="Y155" i="15"/>
  <c r="X155" i="15"/>
  <c r="W155" i="15"/>
  <c r="AA154" i="15"/>
  <c r="Z154" i="15"/>
  <c r="Y154" i="15"/>
  <c r="X154" i="15"/>
  <c r="W154" i="15"/>
  <c r="L498" i="20"/>
  <c r="N498" i="20" s="1"/>
  <c r="AA153" i="15"/>
  <c r="Z153" i="15"/>
  <c r="Y153" i="15"/>
  <c r="X153" i="15"/>
  <c r="W153" i="15"/>
  <c r="AA152" i="15"/>
  <c r="Z152" i="15"/>
  <c r="Y152" i="15"/>
  <c r="X152" i="15"/>
  <c r="W152" i="15"/>
  <c r="AA151" i="15"/>
  <c r="Z151" i="15"/>
  <c r="Y151" i="15"/>
  <c r="X151" i="15"/>
  <c r="W151" i="15"/>
  <c r="AA150" i="15"/>
  <c r="Z150" i="15"/>
  <c r="Y150" i="15"/>
  <c r="X150" i="15"/>
  <c r="W150" i="15"/>
  <c r="AA149" i="15"/>
  <c r="Z149" i="15"/>
  <c r="Y149" i="15"/>
  <c r="X149" i="15"/>
  <c r="W149" i="15"/>
  <c r="AA148" i="15"/>
  <c r="Z148" i="15"/>
  <c r="Y148" i="15"/>
  <c r="X148" i="15"/>
  <c r="W148" i="15"/>
  <c r="AA147" i="15"/>
  <c r="Z147" i="15"/>
  <c r="Y147" i="15"/>
  <c r="X147" i="15"/>
  <c r="W147" i="15"/>
  <c r="AA146" i="15"/>
  <c r="Z146" i="15"/>
  <c r="Y146" i="15"/>
  <c r="X146" i="15"/>
  <c r="W146" i="15"/>
  <c r="AA145" i="15"/>
  <c r="Z145" i="15"/>
  <c r="Y145" i="15"/>
  <c r="X145" i="15"/>
  <c r="W145" i="15"/>
  <c r="AA144" i="15"/>
  <c r="Z144" i="15"/>
  <c r="Y144" i="15"/>
  <c r="X144" i="15"/>
  <c r="W144" i="15"/>
  <c r="L468" i="20"/>
  <c r="N468" i="20" s="1"/>
  <c r="AA143" i="15"/>
  <c r="Z143" i="15"/>
  <c r="Y143" i="15"/>
  <c r="X143" i="15"/>
  <c r="W143" i="15"/>
  <c r="L465" i="20"/>
  <c r="N465" i="20" s="1"/>
  <c r="AA142" i="15"/>
  <c r="Z142" i="15"/>
  <c r="Y142" i="15"/>
  <c r="X142" i="15"/>
  <c r="W142" i="15"/>
  <c r="AA141" i="15"/>
  <c r="Z141" i="15"/>
  <c r="Y141" i="15"/>
  <c r="X141" i="15"/>
  <c r="W141" i="15"/>
  <c r="AA140" i="15"/>
  <c r="Z140" i="15"/>
  <c r="Y140" i="15"/>
  <c r="X140" i="15"/>
  <c r="W140" i="15"/>
  <c r="L456" i="20"/>
  <c r="N456" i="20" s="1"/>
  <c r="AA139" i="15"/>
  <c r="Z139" i="15"/>
  <c r="Y139" i="15"/>
  <c r="X139" i="15"/>
  <c r="W139" i="15"/>
  <c r="L453" i="20"/>
  <c r="N453" i="20" s="1"/>
  <c r="AA138" i="15"/>
  <c r="Z138" i="15"/>
  <c r="Y138" i="15"/>
  <c r="X138" i="15"/>
  <c r="W138" i="15"/>
  <c r="L450" i="20"/>
  <c r="N450" i="20" s="1"/>
  <c r="AA137" i="15"/>
  <c r="Z137" i="15"/>
  <c r="Y137" i="15"/>
  <c r="X137" i="15"/>
  <c r="W137" i="15"/>
  <c r="AA136" i="15"/>
  <c r="Z136" i="15"/>
  <c r="Y136" i="15"/>
  <c r="X136" i="15"/>
  <c r="W136" i="15"/>
  <c r="U136" i="15"/>
  <c r="AA135" i="15"/>
  <c r="Z135" i="15"/>
  <c r="Y135" i="15"/>
  <c r="X135" i="15"/>
  <c r="W135" i="15"/>
  <c r="U135" i="15"/>
  <c r="AA134" i="15"/>
  <c r="Z134" i="15"/>
  <c r="Y134" i="15"/>
  <c r="X134" i="15"/>
  <c r="W134" i="15"/>
  <c r="U134" i="15"/>
  <c r="AA133" i="15"/>
  <c r="Z133" i="15"/>
  <c r="Y133" i="15"/>
  <c r="X133" i="15"/>
  <c r="W133" i="15"/>
  <c r="U133" i="15"/>
  <c r="AA132" i="15"/>
  <c r="Z132" i="15"/>
  <c r="Y132" i="15"/>
  <c r="X132" i="15"/>
  <c r="W132" i="15"/>
  <c r="U132" i="15"/>
  <c r="AA131" i="15"/>
  <c r="Z131" i="15"/>
  <c r="Y131" i="15"/>
  <c r="X131" i="15"/>
  <c r="W131" i="15"/>
  <c r="U131" i="15"/>
  <c r="AA130" i="15"/>
  <c r="Z130" i="15"/>
  <c r="Y130" i="15"/>
  <c r="X130" i="15"/>
  <c r="W130" i="15"/>
  <c r="U130" i="15"/>
  <c r="AA129" i="15"/>
  <c r="Z129" i="15"/>
  <c r="Y129" i="15"/>
  <c r="X129" i="15"/>
  <c r="W129" i="15"/>
  <c r="U129" i="15"/>
  <c r="AA128" i="15"/>
  <c r="Z128" i="15"/>
  <c r="Y128" i="15"/>
  <c r="X128" i="15"/>
  <c r="W128" i="15"/>
  <c r="U128" i="15"/>
  <c r="AA127" i="15"/>
  <c r="Z127" i="15"/>
  <c r="Y127" i="15"/>
  <c r="X127" i="15"/>
  <c r="W127" i="15"/>
  <c r="AA126" i="15"/>
  <c r="Z126" i="15"/>
  <c r="Y126" i="15"/>
  <c r="X126" i="15"/>
  <c r="W126" i="15"/>
  <c r="U126" i="15"/>
  <c r="AA125" i="15"/>
  <c r="Z125" i="15"/>
  <c r="Y125" i="15"/>
  <c r="X125" i="15"/>
  <c r="W125" i="15"/>
  <c r="U125" i="15"/>
  <c r="AA124" i="15"/>
  <c r="Z124" i="15"/>
  <c r="Y124" i="15"/>
  <c r="X124" i="15"/>
  <c r="W124" i="15"/>
  <c r="U124" i="15"/>
  <c r="AA123" i="15"/>
  <c r="Z123" i="15"/>
  <c r="Y123" i="15"/>
  <c r="X123" i="15"/>
  <c r="W123" i="15"/>
  <c r="U123" i="15"/>
  <c r="AA122" i="15"/>
  <c r="Z122" i="15"/>
  <c r="Y122" i="15"/>
  <c r="X122" i="15"/>
  <c r="W122" i="15"/>
  <c r="V209" i="15"/>
  <c r="U122" i="15"/>
  <c r="AA121" i="15"/>
  <c r="Z121" i="15"/>
  <c r="Y121" i="15"/>
  <c r="X121" i="15"/>
  <c r="W121" i="15"/>
  <c r="U121" i="15"/>
  <c r="AA120" i="15"/>
  <c r="Z120" i="15"/>
  <c r="Y120" i="15"/>
  <c r="X120" i="15"/>
  <c r="W120" i="15"/>
  <c r="AA119" i="15"/>
  <c r="Z119" i="15"/>
  <c r="Y119" i="15"/>
  <c r="X119" i="15"/>
  <c r="W119" i="15"/>
  <c r="AA118" i="15"/>
  <c r="Z118" i="15"/>
  <c r="Y118" i="15"/>
  <c r="X118" i="15"/>
  <c r="W118" i="15"/>
  <c r="AA117" i="15"/>
  <c r="Z117" i="15"/>
  <c r="Y117" i="15"/>
  <c r="X117" i="15"/>
  <c r="W117" i="15"/>
  <c r="U117" i="15"/>
  <c r="AA116" i="15"/>
  <c r="Z116" i="15"/>
  <c r="Y116" i="15"/>
  <c r="X116" i="15"/>
  <c r="W116" i="15"/>
  <c r="U116" i="15"/>
  <c r="AA115" i="15"/>
  <c r="Z115" i="15"/>
  <c r="Y115" i="15"/>
  <c r="X115" i="15"/>
  <c r="W115" i="15"/>
  <c r="U115" i="15"/>
  <c r="AA114" i="15"/>
  <c r="Z114" i="15"/>
  <c r="Y114" i="15"/>
  <c r="X114" i="15"/>
  <c r="W114" i="15"/>
  <c r="U114" i="15"/>
  <c r="AA113" i="15"/>
  <c r="Z113" i="15"/>
  <c r="Y113" i="15"/>
  <c r="X113" i="15"/>
  <c r="W113" i="15"/>
  <c r="U113" i="15"/>
  <c r="AA112" i="15"/>
  <c r="Z112" i="15"/>
  <c r="Y112" i="15"/>
  <c r="X112" i="15"/>
  <c r="W112" i="15"/>
  <c r="U112" i="15"/>
  <c r="AA111" i="15"/>
  <c r="Z111" i="15"/>
  <c r="Y111" i="15"/>
  <c r="X111" i="15"/>
  <c r="W111" i="15"/>
  <c r="U111" i="15"/>
  <c r="AA110" i="15"/>
  <c r="Z110" i="15"/>
  <c r="Y110" i="15"/>
  <c r="X110" i="15"/>
  <c r="W110" i="15"/>
  <c r="U110" i="15"/>
  <c r="AA109" i="15"/>
  <c r="Z109" i="15"/>
  <c r="Y109" i="15"/>
  <c r="X109" i="15"/>
  <c r="W109" i="15"/>
  <c r="U109" i="15"/>
  <c r="L436" i="20" s="1"/>
  <c r="N436" i="20" s="1"/>
  <c r="AA108" i="15"/>
  <c r="Z108" i="15"/>
  <c r="Y108" i="15"/>
  <c r="X108" i="15"/>
  <c r="W108" i="15"/>
  <c r="AA107" i="15"/>
  <c r="Z107" i="15"/>
  <c r="Y107" i="15"/>
  <c r="X107" i="15"/>
  <c r="W107" i="15"/>
  <c r="U107" i="15"/>
  <c r="AA106" i="15"/>
  <c r="Z106" i="15"/>
  <c r="Y106" i="15"/>
  <c r="X106" i="15"/>
  <c r="W106" i="15"/>
  <c r="U106" i="15"/>
  <c r="AA105" i="15"/>
  <c r="Z105" i="15"/>
  <c r="Y105" i="15"/>
  <c r="X105" i="15"/>
  <c r="W105" i="15"/>
  <c r="U105" i="15"/>
  <c r="AA104" i="15"/>
  <c r="Z104" i="15"/>
  <c r="Y104" i="15"/>
  <c r="X104" i="15"/>
  <c r="W104" i="15"/>
  <c r="U104" i="15"/>
  <c r="AA103" i="15"/>
  <c r="Z103" i="15"/>
  <c r="Y103" i="15"/>
  <c r="X103" i="15"/>
  <c r="W103" i="15"/>
  <c r="U103" i="15"/>
  <c r="AA102" i="15"/>
  <c r="Z102" i="15"/>
  <c r="Y102" i="15"/>
  <c r="X102" i="15"/>
  <c r="W102" i="15"/>
  <c r="U102" i="15"/>
  <c r="AA101" i="15"/>
  <c r="Z101" i="15"/>
  <c r="Y101" i="15"/>
  <c r="X101" i="15"/>
  <c r="W101" i="15"/>
  <c r="U101" i="15"/>
  <c r="AA100" i="15"/>
  <c r="Z100" i="15"/>
  <c r="Y100" i="15"/>
  <c r="X100" i="15"/>
  <c r="W100" i="15"/>
  <c r="U100" i="15"/>
  <c r="AA99" i="15"/>
  <c r="Z99" i="15"/>
  <c r="Y99" i="15"/>
  <c r="X99" i="15"/>
  <c r="W99" i="15"/>
  <c r="U99" i="15"/>
  <c r="AA98" i="15"/>
  <c r="Z98" i="15"/>
  <c r="Y98" i="15"/>
  <c r="X98" i="15"/>
  <c r="W98" i="15"/>
  <c r="U98" i="15"/>
  <c r="AA97" i="15"/>
  <c r="Z97" i="15"/>
  <c r="Y97" i="15"/>
  <c r="X97" i="15"/>
  <c r="W97" i="15"/>
  <c r="U97" i="15"/>
  <c r="AA96" i="15"/>
  <c r="Z96" i="15"/>
  <c r="Y96" i="15"/>
  <c r="X96" i="15"/>
  <c r="W96" i="15"/>
  <c r="U96" i="15"/>
  <c r="AA95" i="15"/>
  <c r="Z95" i="15"/>
  <c r="Y95" i="15"/>
  <c r="X95" i="15"/>
  <c r="W95" i="15"/>
  <c r="U95" i="15"/>
  <c r="AA94" i="15"/>
  <c r="Z94" i="15"/>
  <c r="Y94" i="15"/>
  <c r="X94" i="15"/>
  <c r="W94" i="15"/>
  <c r="U94" i="15"/>
  <c r="AA93" i="15"/>
  <c r="Z93" i="15"/>
  <c r="Y93" i="15"/>
  <c r="X93" i="15"/>
  <c r="W93" i="15"/>
  <c r="U93" i="15"/>
  <c r="AA92" i="15"/>
  <c r="Z92" i="15"/>
  <c r="Y92" i="15"/>
  <c r="X92" i="15"/>
  <c r="W92" i="15"/>
  <c r="U92" i="15"/>
  <c r="AA91" i="15"/>
  <c r="Z91" i="15"/>
  <c r="Y91" i="15"/>
  <c r="X91" i="15"/>
  <c r="W91" i="15"/>
  <c r="U91" i="15"/>
  <c r="AA90" i="15"/>
  <c r="Z90" i="15"/>
  <c r="Y90" i="15"/>
  <c r="X90" i="15"/>
  <c r="W90" i="15"/>
  <c r="U90" i="15"/>
  <c r="AA89" i="15"/>
  <c r="Z89" i="15"/>
  <c r="Y89" i="15"/>
  <c r="X89" i="15"/>
  <c r="W89" i="15"/>
  <c r="AA88" i="15"/>
  <c r="Z88" i="15"/>
  <c r="Y88" i="15"/>
  <c r="X88" i="15"/>
  <c r="W88" i="15"/>
  <c r="U88" i="15"/>
  <c r="AA87" i="15"/>
  <c r="Z87" i="15"/>
  <c r="Y87" i="15"/>
  <c r="X87" i="15"/>
  <c r="W87" i="15"/>
  <c r="U87" i="15"/>
  <c r="AA86" i="15"/>
  <c r="Z86" i="15"/>
  <c r="Y86" i="15"/>
  <c r="X86" i="15"/>
  <c r="W86" i="15"/>
  <c r="U86" i="15"/>
  <c r="AA85" i="15"/>
  <c r="Z85" i="15"/>
  <c r="Y85" i="15"/>
  <c r="X85" i="15"/>
  <c r="W85" i="15"/>
  <c r="U85" i="15"/>
  <c r="AA84" i="15"/>
  <c r="Z84" i="15"/>
  <c r="Y84" i="15"/>
  <c r="X84" i="15"/>
  <c r="W84" i="15"/>
  <c r="U84" i="15"/>
  <c r="AA83" i="15"/>
  <c r="Z83" i="15"/>
  <c r="Y83" i="15"/>
  <c r="X83" i="15"/>
  <c r="W83" i="15"/>
  <c r="AA82" i="15"/>
  <c r="Z82" i="15"/>
  <c r="Y82" i="15"/>
  <c r="X82" i="15"/>
  <c r="W82" i="15"/>
  <c r="AA81" i="15"/>
  <c r="Z81" i="15"/>
  <c r="Y81" i="15"/>
  <c r="X81" i="15"/>
  <c r="W81" i="15"/>
  <c r="AA80" i="15"/>
  <c r="Z80" i="15"/>
  <c r="Y80" i="15"/>
  <c r="X80" i="15"/>
  <c r="W80" i="15"/>
  <c r="U80" i="15"/>
  <c r="AA79" i="15"/>
  <c r="Z79" i="15"/>
  <c r="Y79" i="15"/>
  <c r="X79" i="15"/>
  <c r="W79" i="15"/>
  <c r="U79" i="15"/>
  <c r="AA78" i="15"/>
  <c r="Z78" i="15"/>
  <c r="Y78" i="15"/>
  <c r="X78" i="15"/>
  <c r="W78" i="15"/>
  <c r="U78" i="15"/>
  <c r="AA77" i="15"/>
  <c r="Z77" i="15"/>
  <c r="Y77" i="15"/>
  <c r="X77" i="15"/>
  <c r="W77" i="15"/>
  <c r="U77" i="15"/>
  <c r="AA76" i="15"/>
  <c r="Z76" i="15"/>
  <c r="Y76" i="15"/>
  <c r="X76" i="15"/>
  <c r="W76" i="15"/>
  <c r="U76" i="15"/>
  <c r="AA75" i="15"/>
  <c r="Z75" i="15"/>
  <c r="Y75" i="15"/>
  <c r="X75" i="15"/>
  <c r="W75" i="15"/>
  <c r="U75" i="15"/>
  <c r="AA74" i="15"/>
  <c r="Z74" i="15"/>
  <c r="Y74" i="15"/>
  <c r="X74" i="15"/>
  <c r="W74" i="15"/>
  <c r="AA73" i="15"/>
  <c r="Z73" i="15"/>
  <c r="Y73" i="15"/>
  <c r="X73" i="15"/>
  <c r="W73" i="15"/>
  <c r="U73" i="15"/>
  <c r="AA72" i="15"/>
  <c r="Z72" i="15"/>
  <c r="Y72" i="15"/>
  <c r="X72" i="15"/>
  <c r="W72" i="15"/>
  <c r="U72" i="15"/>
  <c r="AA71" i="15"/>
  <c r="Z71" i="15"/>
  <c r="Y71" i="15"/>
  <c r="X71" i="15"/>
  <c r="W71" i="15"/>
  <c r="U71" i="15"/>
  <c r="AA70" i="15"/>
  <c r="Z70" i="15"/>
  <c r="Y70" i="15"/>
  <c r="X70" i="15"/>
  <c r="W70" i="15"/>
  <c r="U70" i="15"/>
  <c r="AA69" i="15"/>
  <c r="Z69" i="15"/>
  <c r="Y69" i="15"/>
  <c r="X69" i="15"/>
  <c r="W69" i="15"/>
  <c r="U69" i="15"/>
  <c r="AA68" i="15"/>
  <c r="Z68" i="15"/>
  <c r="Y68" i="15"/>
  <c r="X68" i="15"/>
  <c r="W68" i="15"/>
  <c r="U68" i="15"/>
  <c r="AA67" i="15"/>
  <c r="Z67" i="15"/>
  <c r="Y67" i="15"/>
  <c r="X67" i="15"/>
  <c r="W67" i="15"/>
  <c r="U67" i="15"/>
  <c r="AA66" i="15"/>
  <c r="Z66" i="15"/>
  <c r="Y66" i="15"/>
  <c r="X66" i="15"/>
  <c r="W66" i="15"/>
  <c r="U66" i="15"/>
  <c r="AA65" i="15"/>
  <c r="Z65" i="15"/>
  <c r="Y65" i="15"/>
  <c r="X65" i="15"/>
  <c r="W65" i="15"/>
  <c r="AA64" i="15"/>
  <c r="Z64" i="15"/>
  <c r="Y64" i="15"/>
  <c r="X64" i="15"/>
  <c r="W64" i="15"/>
  <c r="U64" i="15"/>
  <c r="AA63" i="15"/>
  <c r="Z63" i="15"/>
  <c r="Y63" i="15"/>
  <c r="X63" i="15"/>
  <c r="W63" i="15"/>
  <c r="L420" i="20"/>
  <c r="N420" i="20" s="1"/>
  <c r="AA62" i="15"/>
  <c r="Z62" i="15"/>
  <c r="Y62" i="15"/>
  <c r="X62" i="15"/>
  <c r="W62" i="15"/>
  <c r="AA61" i="15"/>
  <c r="Z61" i="15"/>
  <c r="Y61" i="15"/>
  <c r="X61" i="15"/>
  <c r="W61" i="15"/>
  <c r="U61" i="15"/>
  <c r="AA60" i="15"/>
  <c r="Z60" i="15"/>
  <c r="Y60" i="15"/>
  <c r="X60" i="15"/>
  <c r="W60" i="15"/>
  <c r="Y59" i="15"/>
  <c r="X59" i="15"/>
  <c r="W59" i="15"/>
  <c r="Y58" i="15"/>
  <c r="X58" i="15"/>
  <c r="W58" i="15"/>
  <c r="Y57" i="15"/>
  <c r="X57" i="15"/>
  <c r="W57" i="15"/>
  <c r="Y56" i="15"/>
  <c r="X56" i="15"/>
  <c r="W56" i="15"/>
  <c r="AA55" i="15"/>
  <c r="Z55" i="15"/>
  <c r="Y55" i="15"/>
  <c r="X55" i="15"/>
  <c r="W55" i="15"/>
  <c r="AA54" i="15"/>
  <c r="Z54" i="15"/>
  <c r="Y54" i="15"/>
  <c r="X54" i="15"/>
  <c r="W54" i="15"/>
  <c r="AA53" i="15"/>
  <c r="Z53" i="15"/>
  <c r="Y53" i="15"/>
  <c r="X53" i="15"/>
  <c r="W53" i="15"/>
  <c r="Y52" i="15"/>
  <c r="X52" i="15"/>
  <c r="W52" i="15"/>
  <c r="Y51" i="15"/>
  <c r="X51" i="15"/>
  <c r="W51" i="15"/>
  <c r="AA50" i="15"/>
  <c r="Z50" i="15"/>
  <c r="Y50" i="15"/>
  <c r="X50" i="15"/>
  <c r="W50" i="15"/>
  <c r="AA49" i="15"/>
  <c r="Z49" i="15"/>
  <c r="Y49" i="15"/>
  <c r="X49" i="15"/>
  <c r="W49" i="15"/>
  <c r="AA48" i="15"/>
  <c r="Z48" i="15"/>
  <c r="Y48" i="15"/>
  <c r="X48" i="15"/>
  <c r="W48" i="15"/>
  <c r="Y47" i="15"/>
  <c r="X47" i="15"/>
  <c r="W47" i="15"/>
  <c r="Y46" i="15"/>
  <c r="X46" i="15"/>
  <c r="W46" i="15"/>
  <c r="Z45" i="15"/>
  <c r="Y45" i="15"/>
  <c r="X45" i="15"/>
  <c r="W45" i="15"/>
  <c r="Z44" i="15"/>
  <c r="Y44" i="15"/>
  <c r="X44" i="15"/>
  <c r="W44" i="15"/>
  <c r="Y43" i="15"/>
  <c r="X43" i="15"/>
  <c r="W43" i="15"/>
  <c r="AA42" i="15"/>
  <c r="Z42" i="15"/>
  <c r="Y42" i="15"/>
  <c r="X42" i="15"/>
  <c r="W42" i="15"/>
  <c r="AA41" i="15"/>
  <c r="Z41" i="15"/>
  <c r="Y41" i="15"/>
  <c r="X41" i="15"/>
  <c r="W41" i="15"/>
  <c r="Y40" i="15"/>
  <c r="X40" i="15"/>
  <c r="W40" i="15"/>
  <c r="AA39" i="15"/>
  <c r="Z39" i="15"/>
  <c r="Y39" i="15"/>
  <c r="X39" i="15"/>
  <c r="W39" i="15"/>
  <c r="AA38" i="15"/>
  <c r="Y38" i="15"/>
  <c r="X38" i="15"/>
  <c r="W38" i="15"/>
  <c r="AA37" i="15"/>
  <c r="Z37" i="15"/>
  <c r="W37" i="15"/>
  <c r="AA36" i="15"/>
  <c r="Z36" i="15"/>
  <c r="W36" i="15"/>
  <c r="AA35" i="15"/>
  <c r="Z35" i="15"/>
  <c r="Y35" i="15"/>
  <c r="X35" i="15"/>
  <c r="W35" i="15"/>
  <c r="U35" i="15"/>
  <c r="AA34" i="15"/>
  <c r="Z34" i="15"/>
  <c r="Y34" i="15"/>
  <c r="W34" i="15"/>
  <c r="AA33" i="15"/>
  <c r="Z33" i="15"/>
  <c r="W33" i="15"/>
  <c r="AA32" i="15"/>
  <c r="Z32" i="15"/>
  <c r="Y32" i="15"/>
  <c r="W32" i="15"/>
  <c r="AA31" i="15"/>
  <c r="Z31" i="15"/>
  <c r="Y31" i="15"/>
  <c r="X31" i="15"/>
  <c r="W31" i="15"/>
  <c r="U31" i="15"/>
  <c r="AA30" i="15"/>
  <c r="Z30" i="15"/>
  <c r="Y30" i="15"/>
  <c r="W30" i="15"/>
  <c r="AA29" i="15"/>
  <c r="Z29" i="15"/>
  <c r="Y29" i="15"/>
  <c r="W29" i="15"/>
  <c r="AA28" i="15"/>
  <c r="Z28" i="15"/>
  <c r="Y28" i="15"/>
  <c r="X28" i="15"/>
  <c r="W28" i="15"/>
  <c r="U28" i="15"/>
  <c r="AA27" i="15"/>
  <c r="Z27" i="15"/>
  <c r="Y27" i="15"/>
  <c r="X27" i="15"/>
  <c r="W27" i="15"/>
  <c r="U27" i="15"/>
  <c r="AA26" i="15"/>
  <c r="Z26" i="15"/>
  <c r="Y26" i="15"/>
  <c r="W26" i="15"/>
  <c r="AA25" i="15"/>
  <c r="Z25" i="15"/>
  <c r="Y25" i="15"/>
  <c r="X25" i="15"/>
  <c r="W25" i="15"/>
  <c r="AA24" i="15"/>
  <c r="Z24" i="15"/>
  <c r="Y24" i="15"/>
  <c r="X24" i="15"/>
  <c r="W24" i="15"/>
  <c r="U24" i="15"/>
  <c r="AA23" i="15"/>
  <c r="Z23" i="15"/>
  <c r="X23" i="15"/>
  <c r="W23" i="15"/>
  <c r="AA22" i="15"/>
  <c r="Z22" i="15"/>
  <c r="AA21" i="15"/>
  <c r="Z21" i="15"/>
  <c r="Y21" i="15"/>
  <c r="X21" i="15"/>
  <c r="AA20" i="15"/>
  <c r="Z20" i="15"/>
  <c r="Y20" i="15"/>
  <c r="X20" i="15"/>
  <c r="W20" i="15"/>
  <c r="AA19" i="15"/>
  <c r="Z19" i="15"/>
  <c r="Y19" i="15"/>
  <c r="X19" i="15"/>
  <c r="W19" i="15"/>
  <c r="U19" i="15"/>
  <c r="AA18" i="15"/>
  <c r="Z18" i="15"/>
  <c r="Y18" i="15"/>
  <c r="X18" i="15"/>
  <c r="W18" i="15"/>
  <c r="U18" i="15"/>
  <c r="AA17" i="15"/>
  <c r="Z17" i="15"/>
  <c r="Y17" i="15"/>
  <c r="W17" i="15"/>
  <c r="AA16" i="15"/>
  <c r="Z16" i="15"/>
  <c r="Y16" i="15"/>
  <c r="W16" i="15"/>
  <c r="AA15" i="15"/>
  <c r="Z15" i="15"/>
  <c r="Y15" i="15"/>
  <c r="W15" i="15"/>
  <c r="AA14" i="15"/>
  <c r="Z14" i="15"/>
  <c r="Y14" i="15"/>
  <c r="X14" i="15"/>
  <c r="G400" i="13"/>
  <c r="K400" i="13" s="1"/>
  <c r="G396" i="13"/>
  <c r="K396" i="13" s="1"/>
  <c r="K395" i="13" s="1"/>
  <c r="L45" i="2" s="1"/>
  <c r="V45" i="2" s="1"/>
  <c r="G394" i="13"/>
  <c r="K394" i="13" s="1"/>
  <c r="K393" i="13" s="1"/>
  <c r="L44" i="2" s="1"/>
  <c r="V44" i="2" s="1"/>
  <c r="M393" i="13"/>
  <c r="G392" i="13"/>
  <c r="K392" i="13" s="1"/>
  <c r="G647" i="13"/>
  <c r="K647" i="13" s="1"/>
  <c r="K646" i="13" s="1"/>
  <c r="L190" i="2" s="1"/>
  <c r="V190" i="2" s="1"/>
  <c r="K645" i="13"/>
  <c r="K644" i="13" s="1"/>
  <c r="L189" i="2" s="1"/>
  <c r="V189" i="2" s="1"/>
  <c r="K449" i="13"/>
  <c r="K468" i="13"/>
  <c r="K476" i="13"/>
  <c r="K475" i="13"/>
  <c r="K474" i="13"/>
  <c r="K473" i="13"/>
  <c r="K423" i="13"/>
  <c r="K472" i="13"/>
  <c r="K471" i="13"/>
  <c r="K470" i="13"/>
  <c r="K469" i="13"/>
  <c r="K467" i="13"/>
  <c r="K466" i="13"/>
  <c r="K465" i="13"/>
  <c r="K464" i="13"/>
  <c r="K463" i="13"/>
  <c r="K462" i="13"/>
  <c r="K461" i="13"/>
  <c r="K460" i="13"/>
  <c r="K459" i="13"/>
  <c r="K458" i="13"/>
  <c r="K457" i="13"/>
  <c r="K456" i="13"/>
  <c r="K455" i="13"/>
  <c r="K454" i="13"/>
  <c r="K453" i="13"/>
  <c r="K452" i="13"/>
  <c r="K451" i="13"/>
  <c r="K450" i="13"/>
  <c r="K448" i="13"/>
  <c r="K447" i="13"/>
  <c r="K446" i="13"/>
  <c r="K445" i="13"/>
  <c r="K444" i="13"/>
  <c r="K443" i="13"/>
  <c r="K442" i="13"/>
  <c r="K441" i="13"/>
  <c r="K440" i="13"/>
  <c r="K439" i="13"/>
  <c r="K438" i="13"/>
  <c r="K437" i="13"/>
  <c r="K436" i="13"/>
  <c r="K435" i="13"/>
  <c r="K434" i="13"/>
  <c r="K433" i="13"/>
  <c r="K432" i="13"/>
  <c r="K431" i="13"/>
  <c r="K430" i="13"/>
  <c r="K429" i="13"/>
  <c r="K428" i="13"/>
  <c r="K427" i="13"/>
  <c r="K426" i="13"/>
  <c r="K425" i="13"/>
  <c r="K424" i="13"/>
  <c r="K422" i="13"/>
  <c r="K421" i="13"/>
  <c r="K420" i="13"/>
  <c r="K419" i="13"/>
  <c r="K418" i="13"/>
  <c r="K417" i="13"/>
  <c r="K416" i="13"/>
  <c r="K415" i="13"/>
  <c r="K414" i="13"/>
  <c r="K643" i="13"/>
  <c r="K642" i="13" s="1"/>
  <c r="L188" i="2" s="1"/>
  <c r="V188" i="2" s="1"/>
  <c r="M644" i="13"/>
  <c r="M646" i="13"/>
  <c r="K648" i="13"/>
  <c r="M648" i="13"/>
  <c r="K649" i="13"/>
  <c r="M649" i="13"/>
  <c r="K650" i="13"/>
  <c r="K651" i="13"/>
  <c r="M651" i="13"/>
  <c r="K652" i="13"/>
  <c r="M652" i="13"/>
  <c r="K659" i="13"/>
  <c r="K660" i="13"/>
  <c r="K661" i="13"/>
  <c r="K662" i="13"/>
  <c r="K663" i="13"/>
  <c r="K639" i="13"/>
  <c r="K638" i="13" s="1"/>
  <c r="L186" i="2" s="1"/>
  <c r="V186" i="2" s="1"/>
  <c r="K637" i="13"/>
  <c r="K636" i="13" s="1"/>
  <c r="L185" i="2" s="1"/>
  <c r="V185" i="2" s="1"/>
  <c r="K635" i="13"/>
  <c r="K634" i="13" s="1"/>
  <c r="L184" i="2" s="1"/>
  <c r="V184" i="2" s="1"/>
  <c r="K630" i="13"/>
  <c r="K629" i="13" s="1"/>
  <c r="L181" i="15" s="1"/>
  <c r="AA181" i="15" s="1"/>
  <c r="K498" i="13"/>
  <c r="K499" i="13"/>
  <c r="K497" i="13"/>
  <c r="K491" i="13"/>
  <c r="K492" i="13"/>
  <c r="K490" i="13"/>
  <c r="K483" i="13"/>
  <c r="K484" i="13"/>
  <c r="K485" i="13"/>
  <c r="G407" i="13"/>
  <c r="K407" i="13" s="1"/>
  <c r="K406" i="13" s="1"/>
  <c r="L52" i="2" s="1"/>
  <c r="V52" i="2" s="1"/>
  <c r="G402" i="13"/>
  <c r="K402" i="13" s="1"/>
  <c r="K401" i="13" s="1"/>
  <c r="L47" i="2" s="1"/>
  <c r="V47" i="2" s="1"/>
  <c r="K399" i="13"/>
  <c r="G398" i="13"/>
  <c r="K398" i="13" s="1"/>
  <c r="K391" i="13"/>
  <c r="K386" i="13"/>
  <c r="G390" i="13"/>
  <c r="K390" i="13" s="1"/>
  <c r="G385" i="13"/>
  <c r="K385" i="13" s="1"/>
  <c r="M642" i="13"/>
  <c r="M641" i="13"/>
  <c r="K641" i="13"/>
  <c r="M638" i="13"/>
  <c r="M636" i="13"/>
  <c r="M634" i="13"/>
  <c r="M632" i="13"/>
  <c r="M631" i="13"/>
  <c r="K631" i="13"/>
  <c r="M629" i="13"/>
  <c r="M627" i="13"/>
  <c r="K627" i="13"/>
  <c r="M626" i="13"/>
  <c r="K626" i="13"/>
  <c r="M625" i="13"/>
  <c r="K625" i="13"/>
  <c r="M622" i="13"/>
  <c r="K622" i="13"/>
  <c r="L177" i="15" s="1"/>
  <c r="AA177" i="15" s="1"/>
  <c r="M619" i="13"/>
  <c r="K619" i="13"/>
  <c r="K618" i="13"/>
  <c r="K617" i="13"/>
  <c r="M616" i="13"/>
  <c r="M615" i="13"/>
  <c r="K615" i="13"/>
  <c r="M613" i="13"/>
  <c r="K613" i="13"/>
  <c r="M612" i="13"/>
  <c r="K612" i="13"/>
  <c r="M611" i="13"/>
  <c r="K611" i="13"/>
  <c r="M610" i="13"/>
  <c r="K610" i="13"/>
  <c r="M609" i="13"/>
  <c r="K609" i="13"/>
  <c r="M608" i="13"/>
  <c r="K608" i="13"/>
  <c r="M607" i="13"/>
  <c r="K607" i="13"/>
  <c r="M606" i="13"/>
  <c r="K606" i="13"/>
  <c r="M605" i="13"/>
  <c r="K605" i="13"/>
  <c r="M604" i="13"/>
  <c r="K604" i="13"/>
  <c r="M603" i="13"/>
  <c r="K603" i="13"/>
  <c r="M602" i="13"/>
  <c r="K602" i="13"/>
  <c r="K601" i="13"/>
  <c r="M600" i="13"/>
  <c r="K600" i="13"/>
  <c r="M599" i="13"/>
  <c r="K599" i="13"/>
  <c r="M598" i="13"/>
  <c r="K598" i="13"/>
  <c r="M597" i="13"/>
  <c r="K597" i="13"/>
  <c r="M596" i="13"/>
  <c r="K596" i="13"/>
  <c r="M595" i="13"/>
  <c r="K595" i="13"/>
  <c r="M594" i="13"/>
  <c r="K594" i="13"/>
  <c r="M593" i="13"/>
  <c r="K593" i="13"/>
  <c r="M592" i="13"/>
  <c r="K592" i="13"/>
  <c r="M591" i="13"/>
  <c r="K591" i="13"/>
  <c r="M590" i="13"/>
  <c r="K590" i="13"/>
  <c r="M589" i="13"/>
  <c r="K589" i="13"/>
  <c r="M588" i="13"/>
  <c r="K588" i="13"/>
  <c r="M587" i="13"/>
  <c r="K587" i="13"/>
  <c r="M586" i="13"/>
  <c r="K586" i="13"/>
  <c r="M585" i="13"/>
  <c r="K585" i="13"/>
  <c r="M584" i="13"/>
  <c r="K584" i="13"/>
  <c r="M583" i="13"/>
  <c r="K583" i="13"/>
  <c r="M582" i="13"/>
  <c r="K582" i="13"/>
  <c r="M581" i="13"/>
  <c r="K581" i="13"/>
  <c r="M580" i="13"/>
  <c r="K580" i="13"/>
  <c r="M579" i="13"/>
  <c r="K579" i="13"/>
  <c r="K578" i="13"/>
  <c r="M577" i="13"/>
  <c r="K577" i="13"/>
  <c r="M576" i="13"/>
  <c r="K576" i="13"/>
  <c r="M575" i="13"/>
  <c r="K575" i="13"/>
  <c r="M574" i="13"/>
  <c r="K574" i="13"/>
  <c r="M573" i="13"/>
  <c r="K573" i="13"/>
  <c r="M572" i="13"/>
  <c r="K572" i="13"/>
  <c r="M571" i="13"/>
  <c r="K571" i="13"/>
  <c r="M570" i="13"/>
  <c r="K570" i="13"/>
  <c r="M569" i="13"/>
  <c r="K569" i="13"/>
  <c r="K568" i="13"/>
  <c r="M567" i="13"/>
  <c r="K567" i="13"/>
  <c r="M566" i="13"/>
  <c r="K566" i="13"/>
  <c r="M565" i="13"/>
  <c r="K565" i="13"/>
  <c r="M564" i="13"/>
  <c r="K564" i="13"/>
  <c r="M563" i="13"/>
  <c r="K563" i="13"/>
  <c r="M562" i="13"/>
  <c r="K562" i="13"/>
  <c r="M561" i="13"/>
  <c r="K561" i="13"/>
  <c r="M560" i="13"/>
  <c r="K560" i="13"/>
  <c r="K559" i="13"/>
  <c r="M558" i="13"/>
  <c r="K558" i="13"/>
  <c r="M557" i="13"/>
  <c r="K557" i="13"/>
  <c r="M556" i="13"/>
  <c r="K556" i="13"/>
  <c r="M555" i="13"/>
  <c r="K555" i="13"/>
  <c r="M554" i="13"/>
  <c r="K554" i="13"/>
  <c r="M553" i="13"/>
  <c r="K553" i="13"/>
  <c r="M552" i="13"/>
  <c r="K552" i="13"/>
  <c r="M551" i="13"/>
  <c r="K551" i="13"/>
  <c r="M550" i="13"/>
  <c r="K550" i="13"/>
  <c r="M549" i="13"/>
  <c r="K549" i="13"/>
  <c r="M548" i="13"/>
  <c r="K548" i="13"/>
  <c r="M547" i="13"/>
  <c r="K547" i="13"/>
  <c r="M546" i="13"/>
  <c r="K546" i="13"/>
  <c r="M545" i="13"/>
  <c r="K545" i="13"/>
  <c r="M544" i="13"/>
  <c r="K544" i="13"/>
  <c r="M543" i="13"/>
  <c r="K543" i="13"/>
  <c r="M542" i="13"/>
  <c r="K542" i="13"/>
  <c r="M541" i="13"/>
  <c r="K541" i="13"/>
  <c r="M540" i="13"/>
  <c r="K540" i="13"/>
  <c r="M539" i="13"/>
  <c r="K539" i="13"/>
  <c r="M538" i="13"/>
  <c r="K538" i="13"/>
  <c r="M537" i="13"/>
  <c r="K537" i="13"/>
  <c r="M536" i="13"/>
  <c r="K536" i="13"/>
  <c r="M535" i="13"/>
  <c r="K535" i="13"/>
  <c r="M534" i="13"/>
  <c r="K534" i="13"/>
  <c r="M533" i="13"/>
  <c r="K533" i="13"/>
  <c r="M532" i="13"/>
  <c r="K532" i="13"/>
  <c r="M531" i="13"/>
  <c r="K531" i="13"/>
  <c r="K530" i="13"/>
  <c r="M529" i="13"/>
  <c r="K529" i="13"/>
  <c r="M528" i="13"/>
  <c r="K528" i="13"/>
  <c r="M527" i="13"/>
  <c r="K527" i="13"/>
  <c r="M526" i="13"/>
  <c r="K526" i="13"/>
  <c r="M525" i="13"/>
  <c r="K525" i="13"/>
  <c r="M524" i="13"/>
  <c r="K524" i="13"/>
  <c r="M523" i="13"/>
  <c r="K523" i="13"/>
  <c r="K522" i="13"/>
  <c r="M521" i="13"/>
  <c r="K521" i="13"/>
  <c r="M520" i="13"/>
  <c r="K520" i="13"/>
  <c r="M519" i="13"/>
  <c r="K519" i="13"/>
  <c r="M518" i="13"/>
  <c r="K518" i="13"/>
  <c r="M517" i="13"/>
  <c r="K517" i="13"/>
  <c r="M516" i="13"/>
  <c r="K516" i="13"/>
  <c r="K515" i="13"/>
  <c r="M514" i="13"/>
  <c r="K514" i="13"/>
  <c r="M513" i="13"/>
  <c r="K513" i="13"/>
  <c r="M512" i="13"/>
  <c r="K512" i="13"/>
  <c r="M511" i="13"/>
  <c r="K511" i="13"/>
  <c r="M510" i="13"/>
  <c r="K510" i="13"/>
  <c r="M509" i="13"/>
  <c r="K509" i="13"/>
  <c r="M508" i="13"/>
  <c r="K508" i="13"/>
  <c r="M507" i="13"/>
  <c r="K507" i="13"/>
  <c r="K506" i="13"/>
  <c r="M505" i="13"/>
  <c r="K505" i="13"/>
  <c r="M504" i="13"/>
  <c r="K504" i="13"/>
  <c r="M503" i="13"/>
  <c r="K503" i="13"/>
  <c r="M501" i="13"/>
  <c r="K500" i="13"/>
  <c r="K496" i="13"/>
  <c r="K495" i="13"/>
  <c r="K494" i="13"/>
  <c r="M493" i="13"/>
  <c r="K489" i="13"/>
  <c r="K488" i="13"/>
  <c r="K487" i="13"/>
  <c r="M486" i="13"/>
  <c r="K482" i="13"/>
  <c r="K481" i="13"/>
  <c r="K480" i="13"/>
  <c r="M479" i="13"/>
  <c r="K478" i="13"/>
  <c r="K477" i="13"/>
  <c r="M413" i="13"/>
  <c r="M411" i="13"/>
  <c r="K411" i="13"/>
  <c r="M410" i="13"/>
  <c r="K410" i="13"/>
  <c r="M408" i="13"/>
  <c r="M406" i="13"/>
  <c r="M405" i="13"/>
  <c r="K405" i="13"/>
  <c r="M404" i="13"/>
  <c r="K404" i="13"/>
  <c r="M403" i="13"/>
  <c r="K403" i="13"/>
  <c r="M401" i="13"/>
  <c r="M397" i="13"/>
  <c r="M395" i="13"/>
  <c r="M389" i="13"/>
  <c r="M388" i="13"/>
  <c r="K388" i="13"/>
  <c r="M387" i="13"/>
  <c r="K387" i="13"/>
  <c r="M384" i="13"/>
  <c r="K383" i="13"/>
  <c r="M381" i="13"/>
  <c r="K381" i="13"/>
  <c r="G380" i="13"/>
  <c r="K380" i="13" s="1"/>
  <c r="G379" i="13"/>
  <c r="K379" i="13" s="1"/>
  <c r="G378" i="13"/>
  <c r="K378" i="13" s="1"/>
  <c r="G377" i="13"/>
  <c r="K377" i="13" s="1"/>
  <c r="G376" i="13"/>
  <c r="K376" i="13" s="1"/>
  <c r="G375" i="13"/>
  <c r="K375" i="13" s="1"/>
  <c r="G374" i="13"/>
  <c r="K374" i="13" s="1"/>
  <c r="G373" i="13"/>
  <c r="K373" i="13" s="1"/>
  <c r="G372" i="13"/>
  <c r="K372" i="13" s="1"/>
  <c r="G371" i="13"/>
  <c r="K371" i="13" s="1"/>
  <c r="G370" i="13"/>
  <c r="K370" i="13" s="1"/>
  <c r="G369" i="13"/>
  <c r="K369" i="13" s="1"/>
  <c r="G368" i="13"/>
  <c r="K368" i="13" s="1"/>
  <c r="G367" i="13"/>
  <c r="K367" i="13" s="1"/>
  <c r="G366" i="13"/>
  <c r="K366" i="13" s="1"/>
  <c r="G365" i="13"/>
  <c r="K365" i="13" s="1"/>
  <c r="G364" i="13"/>
  <c r="K364" i="13" s="1"/>
  <c r="G363" i="13"/>
  <c r="K363" i="13" s="1"/>
  <c r="G362" i="13"/>
  <c r="K362" i="13" s="1"/>
  <c r="G361" i="13"/>
  <c r="K361" i="13" s="1"/>
  <c r="G360" i="13"/>
  <c r="K360" i="13" s="1"/>
  <c r="G359" i="13"/>
  <c r="K359" i="13" s="1"/>
  <c r="G358" i="13"/>
  <c r="K358" i="13" s="1"/>
  <c r="G357" i="13"/>
  <c r="K357" i="13" s="1"/>
  <c r="G356" i="13"/>
  <c r="K356" i="13" s="1"/>
  <c r="G355" i="13"/>
  <c r="K355" i="13" s="1"/>
  <c r="G354" i="13"/>
  <c r="K354" i="13" s="1"/>
  <c r="G353" i="13"/>
  <c r="K353" i="13" s="1"/>
  <c r="G352" i="13"/>
  <c r="K352" i="13" s="1"/>
  <c r="G351" i="13"/>
  <c r="K351" i="13" s="1"/>
  <c r="K349" i="13"/>
  <c r="K348" i="13"/>
  <c r="K347" i="13"/>
  <c r="K346" i="13"/>
  <c r="K345" i="13"/>
  <c r="K344" i="13"/>
  <c r="K343" i="13"/>
  <c r="M340" i="13"/>
  <c r="K340" i="13"/>
  <c r="G338" i="13"/>
  <c r="K338" i="13" s="1"/>
  <c r="G337" i="13"/>
  <c r="K337" i="13" s="1"/>
  <c r="G336" i="13"/>
  <c r="K336" i="13" s="1"/>
  <c r="G335" i="13"/>
  <c r="K335" i="13" s="1"/>
  <c r="G334" i="13"/>
  <c r="K334" i="13" s="1"/>
  <c r="G333" i="13"/>
  <c r="K333" i="13" s="1"/>
  <c r="G332" i="13"/>
  <c r="K332" i="13" s="1"/>
  <c r="M330" i="13"/>
  <c r="K330" i="13"/>
  <c r="G329" i="13"/>
  <c r="K329" i="13" s="1"/>
  <c r="G328" i="13"/>
  <c r="K328" i="13" s="1"/>
  <c r="G327" i="13"/>
  <c r="K327" i="13" s="1"/>
  <c r="G326" i="13"/>
  <c r="K326" i="13" s="1"/>
  <c r="G325" i="13"/>
  <c r="K325" i="13" s="1"/>
  <c r="G324" i="13"/>
  <c r="K324" i="13" s="1"/>
  <c r="G323" i="13"/>
  <c r="K323" i="13" s="1"/>
  <c r="G322" i="13"/>
  <c r="K322" i="13" s="1"/>
  <c r="G321" i="13"/>
  <c r="K321" i="13" s="1"/>
  <c r="G320" i="13"/>
  <c r="K320" i="13" s="1"/>
  <c r="G319" i="13"/>
  <c r="K319" i="13" s="1"/>
  <c r="G318" i="13"/>
  <c r="K318" i="13" s="1"/>
  <c r="G317" i="13"/>
  <c r="K317" i="13" s="1"/>
  <c r="G316" i="13"/>
  <c r="K316" i="13" s="1"/>
  <c r="G315" i="13"/>
  <c r="K315" i="13" s="1"/>
  <c r="G314" i="13"/>
  <c r="K314" i="13" s="1"/>
  <c r="G313" i="13"/>
  <c r="K313" i="13" s="1"/>
  <c r="G312" i="13"/>
  <c r="K312" i="13" s="1"/>
  <c r="G311" i="13"/>
  <c r="K311" i="13" s="1"/>
  <c r="G310" i="13"/>
  <c r="K310" i="13" s="1"/>
  <c r="G309" i="13"/>
  <c r="K309" i="13" s="1"/>
  <c r="G308" i="13"/>
  <c r="K308" i="13" s="1"/>
  <c r="G307" i="13"/>
  <c r="K307" i="13" s="1"/>
  <c r="M304" i="13"/>
  <c r="K303" i="13"/>
  <c r="K302" i="13" s="1"/>
  <c r="M302" i="13"/>
  <c r="G301" i="13"/>
  <c r="K301" i="13" s="1"/>
  <c r="G300" i="13"/>
  <c r="K300" i="13" s="1"/>
  <c r="G299" i="13"/>
  <c r="K299" i="13" s="1"/>
  <c r="G298" i="13"/>
  <c r="K298" i="13" s="1"/>
  <c r="G297" i="13"/>
  <c r="K297" i="13" s="1"/>
  <c r="G296" i="13"/>
  <c r="K296" i="13" s="1"/>
  <c r="G295" i="13"/>
  <c r="K295" i="13" s="1"/>
  <c r="G293" i="13"/>
  <c r="K293" i="13" s="1"/>
  <c r="G292" i="13"/>
  <c r="K292" i="13" s="1"/>
  <c r="G291" i="13"/>
  <c r="K291" i="13" s="1"/>
  <c r="G290" i="13"/>
  <c r="K290" i="13" s="1"/>
  <c r="G289" i="13"/>
  <c r="K289" i="13" s="1"/>
  <c r="G288" i="13"/>
  <c r="K288" i="13" s="1"/>
  <c r="G287" i="13"/>
  <c r="K287" i="13" s="1"/>
  <c r="G286" i="13"/>
  <c r="K286" i="13" s="1"/>
  <c r="G285" i="13"/>
  <c r="K285" i="13" s="1"/>
  <c r="G284" i="13"/>
  <c r="K284" i="13" s="1"/>
  <c r="G283" i="13"/>
  <c r="K283" i="13" s="1"/>
  <c r="G282" i="13"/>
  <c r="K282" i="13" s="1"/>
  <c r="G281" i="13"/>
  <c r="K281" i="13" s="1"/>
  <c r="G280" i="13"/>
  <c r="K280" i="13" s="1"/>
  <c r="G279" i="13"/>
  <c r="K279" i="13" s="1"/>
  <c r="G278" i="13"/>
  <c r="K278" i="13" s="1"/>
  <c r="G277" i="13"/>
  <c r="K277" i="13" s="1"/>
  <c r="G276" i="13"/>
  <c r="K276" i="13" s="1"/>
  <c r="G275" i="13"/>
  <c r="K275" i="13" s="1"/>
  <c r="G274" i="13"/>
  <c r="K274" i="13" s="1"/>
  <c r="G273" i="13"/>
  <c r="K273" i="13" s="1"/>
  <c r="G272" i="13"/>
  <c r="K272" i="13" s="1"/>
  <c r="G271" i="13"/>
  <c r="K271" i="13" s="1"/>
  <c r="G270" i="13"/>
  <c r="K270" i="13" s="1"/>
  <c r="G269" i="13"/>
  <c r="K269" i="13" s="1"/>
  <c r="G268" i="13"/>
  <c r="K268" i="13" s="1"/>
  <c r="G267" i="13"/>
  <c r="K267" i="13" s="1"/>
  <c r="G266" i="13"/>
  <c r="K266" i="13" s="1"/>
  <c r="G265" i="13"/>
  <c r="K265" i="13" s="1"/>
  <c r="G264" i="13"/>
  <c r="K264" i="13" s="1"/>
  <c r="M262" i="13"/>
  <c r="K262" i="13"/>
  <c r="G261" i="13"/>
  <c r="K261" i="13" s="1"/>
  <c r="M260" i="13"/>
  <c r="M257" i="13"/>
  <c r="K257" i="13"/>
  <c r="K256" i="13"/>
  <c r="K255" i="13"/>
  <c r="K254" i="13"/>
  <c r="K253" i="13"/>
  <c r="K252" i="13"/>
  <c r="K251" i="13"/>
  <c r="K250" i="13"/>
  <c r="K248" i="13"/>
  <c r="K247" i="13"/>
  <c r="K246" i="13"/>
  <c r="K245" i="13"/>
  <c r="K244" i="13"/>
  <c r="K243" i="13"/>
  <c r="K242" i="13"/>
  <c r="K241" i="13"/>
  <c r="K240" i="13"/>
  <c r="K239" i="13"/>
  <c r="K238" i="13"/>
  <c r="K237" i="13"/>
  <c r="K236" i="13"/>
  <c r="K235" i="13"/>
  <c r="K234" i="13"/>
  <c r="K233" i="13"/>
  <c r="K232" i="13"/>
  <c r="K231" i="13"/>
  <c r="K230" i="13"/>
  <c r="K229" i="13"/>
  <c r="K228" i="13"/>
  <c r="K227" i="13"/>
  <c r="K226" i="13"/>
  <c r="K225" i="13"/>
  <c r="K224" i="13"/>
  <c r="K223" i="13"/>
  <c r="K222" i="13"/>
  <c r="K221" i="13"/>
  <c r="K220" i="13"/>
  <c r="K219" i="13"/>
  <c r="K218" i="13"/>
  <c r="K216" i="13"/>
  <c r="K215" i="13"/>
  <c r="K214" i="13"/>
  <c r="K213" i="13"/>
  <c r="K212" i="13"/>
  <c r="K211" i="13"/>
  <c r="K210" i="13"/>
  <c r="M208" i="13"/>
  <c r="K208" i="13"/>
  <c r="G207" i="13"/>
  <c r="K207" i="13" s="1"/>
  <c r="G206" i="13"/>
  <c r="K206" i="13" s="1"/>
  <c r="G205" i="13"/>
  <c r="K205" i="13" s="1"/>
  <c r="G204" i="13"/>
  <c r="K204" i="13" s="1"/>
  <c r="G203" i="13"/>
  <c r="K203" i="13" s="1"/>
  <c r="G202" i="13"/>
  <c r="K202" i="13" s="1"/>
  <c r="G201" i="13"/>
  <c r="K201" i="13" s="1"/>
  <c r="G178" i="13"/>
  <c r="G177" i="13"/>
  <c r="G176" i="13"/>
  <c r="G175" i="13"/>
  <c r="G174" i="13"/>
  <c r="K174" i="13" s="1"/>
  <c r="M172" i="13"/>
  <c r="K172" i="13"/>
  <c r="K171" i="13"/>
  <c r="K170" i="13"/>
  <c r="K169" i="13"/>
  <c r="K168" i="13"/>
  <c r="K167" i="13"/>
  <c r="K166" i="13"/>
  <c r="K165" i="13"/>
  <c r="M163" i="13"/>
  <c r="K162" i="13"/>
  <c r="K161" i="13"/>
  <c r="K160" i="13"/>
  <c r="K159" i="13"/>
  <c r="K158" i="13"/>
  <c r="K157" i="13"/>
  <c r="K156" i="13"/>
  <c r="M154" i="13"/>
  <c r="K153" i="13"/>
  <c r="K152" i="13"/>
  <c r="K151" i="13"/>
  <c r="K150" i="13"/>
  <c r="K149" i="13"/>
  <c r="K148" i="13"/>
  <c r="K147" i="13"/>
  <c r="K146" i="13"/>
  <c r="K145" i="13"/>
  <c r="K144" i="13"/>
  <c r="K143" i="13"/>
  <c r="K142" i="13"/>
  <c r="K141" i="13"/>
  <c r="K140" i="13"/>
  <c r="K139" i="13"/>
  <c r="K138" i="13"/>
  <c r="K137" i="13"/>
  <c r="K136" i="13"/>
  <c r="K135" i="13"/>
  <c r="K134" i="13"/>
  <c r="K133" i="13"/>
  <c r="K132" i="13"/>
  <c r="K131" i="13"/>
  <c r="K130" i="13"/>
  <c r="K129" i="13"/>
  <c r="K128" i="13"/>
  <c r="K127" i="13"/>
  <c r="K126" i="13"/>
  <c r="K125" i="13"/>
  <c r="K124" i="13"/>
  <c r="K123" i="13"/>
  <c r="K122" i="13"/>
  <c r="K121" i="13"/>
  <c r="K120" i="13"/>
  <c r="K119" i="13"/>
  <c r="K118" i="13"/>
  <c r="K117" i="13"/>
  <c r="K116" i="13"/>
  <c r="K115" i="13"/>
  <c r="K114" i="13"/>
  <c r="K113" i="13"/>
  <c r="K112" i="13"/>
  <c r="K111" i="13"/>
  <c r="K110" i="13"/>
  <c r="M108" i="13"/>
  <c r="I105" i="13"/>
  <c r="K105" i="13" s="1"/>
  <c r="I104" i="13"/>
  <c r="K104" i="13" s="1"/>
  <c r="I103" i="13"/>
  <c r="K103" i="13" s="1"/>
  <c r="I102" i="13"/>
  <c r="K102" i="13" s="1"/>
  <c r="I101" i="13"/>
  <c r="K101" i="13" s="1"/>
  <c r="I100" i="13"/>
  <c r="K100" i="13" s="1"/>
  <c r="I99" i="13"/>
  <c r="K99" i="13" s="1"/>
  <c r="I98" i="13"/>
  <c r="K98" i="13" s="1"/>
  <c r="I97" i="13"/>
  <c r="K97" i="13" s="1"/>
  <c r="I96" i="13"/>
  <c r="K96" i="13" s="1"/>
  <c r="I95" i="13"/>
  <c r="K95" i="13" s="1"/>
  <c r="I94" i="13"/>
  <c r="G94" i="13"/>
  <c r="I93" i="13"/>
  <c r="K93" i="13" s="1"/>
  <c r="I92" i="13"/>
  <c r="K92" i="13" s="1"/>
  <c r="I91" i="13"/>
  <c r="K91" i="13" s="1"/>
  <c r="I90" i="13"/>
  <c r="K90" i="13" s="1"/>
  <c r="I89" i="13"/>
  <c r="K89" i="13" s="1"/>
  <c r="I88" i="13"/>
  <c r="K88" i="13" s="1"/>
  <c r="I87" i="13"/>
  <c r="K87" i="13" s="1"/>
  <c r="I86" i="13"/>
  <c r="K86" i="13" s="1"/>
  <c r="I85" i="13"/>
  <c r="K85" i="13" s="1"/>
  <c r="I84" i="13"/>
  <c r="K84" i="13" s="1"/>
  <c r="I83" i="13"/>
  <c r="K83" i="13" s="1"/>
  <c r="I82" i="13"/>
  <c r="K82" i="13" s="1"/>
  <c r="I81" i="13"/>
  <c r="K81" i="13" s="1"/>
  <c r="I80" i="13"/>
  <c r="K80" i="13" s="1"/>
  <c r="I79" i="13"/>
  <c r="K79" i="13" s="1"/>
  <c r="I78" i="13"/>
  <c r="K78" i="13" s="1"/>
  <c r="I77" i="13"/>
  <c r="K77" i="13" s="1"/>
  <c r="I76" i="13"/>
  <c r="G76" i="13"/>
  <c r="I75" i="13"/>
  <c r="K75" i="13" s="1"/>
  <c r="I74" i="13"/>
  <c r="K74" i="13" s="1"/>
  <c r="M72" i="13"/>
  <c r="J72" i="13"/>
  <c r="L71" i="13"/>
  <c r="G70" i="13"/>
  <c r="K68" i="13" s="1"/>
  <c r="M68" i="13"/>
  <c r="K67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M25" i="13"/>
  <c r="K25" i="13"/>
  <c r="M24" i="13"/>
  <c r="K24" i="13"/>
  <c r="K22" i="13"/>
  <c r="K21" i="13" s="1"/>
  <c r="M21" i="13"/>
  <c r="K20" i="13"/>
  <c r="K19" i="13" s="1"/>
  <c r="M19" i="13"/>
  <c r="K18" i="13"/>
  <c r="K17" i="13" s="1"/>
  <c r="M17" i="13"/>
  <c r="M16" i="13"/>
  <c r="K16" i="13"/>
  <c r="M15" i="13"/>
  <c r="K15" i="13"/>
  <c r="M14" i="13"/>
  <c r="K14" i="13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1" i="2"/>
  <c r="V42" i="2"/>
  <c r="V48" i="2"/>
  <c r="V49" i="2"/>
  <c r="V50" i="2"/>
  <c r="V53" i="2"/>
  <c r="V54" i="2"/>
  <c r="V55" i="2"/>
  <c r="V60" i="2"/>
  <c r="V61" i="2"/>
  <c r="V62" i="2"/>
  <c r="V63" i="2"/>
  <c r="V64" i="2"/>
  <c r="V65" i="2"/>
  <c r="V66" i="2"/>
  <c r="V67" i="2"/>
  <c r="V68" i="2"/>
  <c r="V69" i="2"/>
  <c r="V70" i="2"/>
  <c r="V71" i="2"/>
  <c r="V72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3" i="2"/>
  <c r="V104" i="2"/>
  <c r="V105" i="2"/>
  <c r="V106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8" i="2"/>
  <c r="V179" i="2"/>
  <c r="V180" i="2"/>
  <c r="V182" i="2"/>
  <c r="V187" i="2"/>
  <c r="V191" i="2"/>
  <c r="V192" i="2"/>
  <c r="V193" i="2"/>
  <c r="V194" i="2"/>
  <c r="V195" i="2"/>
  <c r="V14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8" i="2"/>
  <c r="U179" i="2"/>
  <c r="U180" i="2"/>
  <c r="U182" i="2"/>
  <c r="U187" i="2"/>
  <c r="U190" i="2"/>
  <c r="U191" i="2"/>
  <c r="U192" i="2"/>
  <c r="U193" i="2"/>
  <c r="U194" i="2"/>
  <c r="U195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9" i="2"/>
  <c r="U41" i="2"/>
  <c r="U42" i="2"/>
  <c r="U44" i="2"/>
  <c r="U45" i="2"/>
  <c r="U48" i="2"/>
  <c r="U49" i="2"/>
  <c r="U50" i="2"/>
  <c r="U53" i="2"/>
  <c r="U54" i="2"/>
  <c r="U55" i="2"/>
  <c r="U60" i="2"/>
  <c r="U14" i="2"/>
  <c r="K702" i="11"/>
  <c r="K707" i="11"/>
  <c r="K706" i="11"/>
  <c r="AJ63" i="15" l="1"/>
  <c r="AJ80" i="15"/>
  <c r="AJ94" i="15"/>
  <c r="AJ100" i="15"/>
  <c r="AJ102" i="15"/>
  <c r="AJ128" i="15"/>
  <c r="AJ136" i="15"/>
  <c r="AJ160" i="15"/>
  <c r="AJ170" i="15"/>
  <c r="AJ141" i="15"/>
  <c r="AJ72" i="15"/>
  <c r="AJ86" i="15"/>
  <c r="AJ113" i="15"/>
  <c r="AJ115" i="15"/>
  <c r="AJ117" i="15"/>
  <c r="AJ124" i="15"/>
  <c r="AJ137" i="15"/>
  <c r="AJ142" i="15"/>
  <c r="AJ155" i="15"/>
  <c r="AJ158" i="15"/>
  <c r="AJ120" i="15"/>
  <c r="AJ55" i="15"/>
  <c r="AJ77" i="15"/>
  <c r="AJ79" i="15"/>
  <c r="AJ93" i="15"/>
  <c r="AJ95" i="15"/>
  <c r="AJ101" i="15"/>
  <c r="AJ103" i="15"/>
  <c r="L438" i="20"/>
  <c r="N438" i="20" s="1"/>
  <c r="AJ118" i="15"/>
  <c r="AJ129" i="15"/>
  <c r="AJ131" i="15"/>
  <c r="AJ149" i="15"/>
  <c r="AJ161" i="15"/>
  <c r="AJ163" i="15"/>
  <c r="AJ171" i="15"/>
  <c r="AJ193" i="15"/>
  <c r="AJ195" i="15"/>
  <c r="AJ83" i="15"/>
  <c r="AJ19" i="15"/>
  <c r="AJ151" i="15"/>
  <c r="AJ164" i="15"/>
  <c r="AJ194" i="15"/>
  <c r="AJ24" i="15"/>
  <c r="AJ35" i="15"/>
  <c r="AJ68" i="15"/>
  <c r="AJ70" i="15"/>
  <c r="AJ84" i="15"/>
  <c r="AJ126" i="15"/>
  <c r="AJ139" i="15"/>
  <c r="AJ144" i="15"/>
  <c r="AJ173" i="15"/>
  <c r="AJ192" i="15"/>
  <c r="AJ28" i="15"/>
  <c r="AJ67" i="15"/>
  <c r="AJ69" i="15"/>
  <c r="AJ71" i="15"/>
  <c r="AJ73" i="15"/>
  <c r="AJ85" i="15"/>
  <c r="AJ87" i="15"/>
  <c r="AJ112" i="15"/>
  <c r="AJ114" i="15"/>
  <c r="AJ116" i="15"/>
  <c r="AJ123" i="15"/>
  <c r="AJ125" i="15"/>
  <c r="AJ140" i="15"/>
  <c r="AJ146" i="15"/>
  <c r="AJ159" i="15"/>
  <c r="AJ175" i="15"/>
  <c r="AJ191" i="15"/>
  <c r="M48" i="15"/>
  <c r="L394" i="16"/>
  <c r="J421" i="24"/>
  <c r="L421" i="24" s="1"/>
  <c r="N421" i="24" s="1"/>
  <c r="L410" i="16"/>
  <c r="M62" i="15"/>
  <c r="J446" i="22"/>
  <c r="L446" i="22" s="1"/>
  <c r="N446" i="22" s="1"/>
  <c r="J478" i="24"/>
  <c r="L478" i="24" s="1"/>
  <c r="N478" i="24" s="1"/>
  <c r="J430" i="22"/>
  <c r="L430" i="22" s="1"/>
  <c r="N430" i="22" s="1"/>
  <c r="J462" i="24"/>
  <c r="L462" i="24" s="1"/>
  <c r="N462" i="24" s="1"/>
  <c r="U120" i="15"/>
  <c r="J443" i="20"/>
  <c r="L443" i="20" s="1"/>
  <c r="N443" i="20" s="1"/>
  <c r="AJ20" i="15"/>
  <c r="AJ74" i="15"/>
  <c r="AJ134" i="15"/>
  <c r="AJ153" i="15"/>
  <c r="AJ66" i="15"/>
  <c r="AJ90" i="15"/>
  <c r="AJ98" i="15"/>
  <c r="AJ106" i="15"/>
  <c r="AJ18" i="15"/>
  <c r="AJ39" i="15"/>
  <c r="AJ42" i="15"/>
  <c r="AJ78" i="15"/>
  <c r="AJ96" i="15"/>
  <c r="AJ104" i="15"/>
  <c r="AJ110" i="15"/>
  <c r="AJ130" i="15"/>
  <c r="AJ156" i="15"/>
  <c r="AJ169" i="15"/>
  <c r="AJ31" i="15"/>
  <c r="AJ82" i="15"/>
  <c r="AJ109" i="15"/>
  <c r="AJ64" i="15"/>
  <c r="AJ76" i="15"/>
  <c r="AJ88" i="15"/>
  <c r="AJ122" i="15"/>
  <c r="AJ150" i="15"/>
  <c r="AJ182" i="15"/>
  <c r="AJ75" i="15"/>
  <c r="AJ81" i="15"/>
  <c r="AJ121" i="15"/>
  <c r="AJ127" i="15"/>
  <c r="AJ135" i="15"/>
  <c r="AJ154" i="15"/>
  <c r="AJ25" i="15"/>
  <c r="AJ61" i="15"/>
  <c r="AJ91" i="15"/>
  <c r="AJ99" i="15"/>
  <c r="AJ107" i="15"/>
  <c r="AJ119" i="15"/>
  <c r="AJ133" i="15"/>
  <c r="AJ172" i="15"/>
  <c r="AJ132" i="15"/>
  <c r="AJ138" i="15"/>
  <c r="AJ148" i="15"/>
  <c r="AJ152" i="15"/>
  <c r="AJ89" i="15"/>
  <c r="AJ105" i="15"/>
  <c r="AJ111" i="15"/>
  <c r="AJ143" i="15"/>
  <c r="AJ157" i="15"/>
  <c r="P52" i="15"/>
  <c r="AE52" i="15" s="1"/>
  <c r="E8" i="22" s="1"/>
  <c r="U83" i="15"/>
  <c r="J427" i="20"/>
  <c r="O52" i="15"/>
  <c r="U156" i="15"/>
  <c r="L504" i="20"/>
  <c r="N504" i="20" s="1"/>
  <c r="J503" i="18"/>
  <c r="L503" i="18" s="1"/>
  <c r="AJ147" i="15"/>
  <c r="J386" i="18"/>
  <c r="J386" i="20"/>
  <c r="L386" i="20" s="1"/>
  <c r="N386" i="20" s="1"/>
  <c r="U153" i="15"/>
  <c r="J494" i="18"/>
  <c r="L494" i="18" s="1"/>
  <c r="L495" i="20"/>
  <c r="N495" i="20" s="1"/>
  <c r="L489" i="20"/>
  <c r="N489" i="20" s="1"/>
  <c r="J488" i="18"/>
  <c r="L488" i="18" s="1"/>
  <c r="U152" i="15"/>
  <c r="L492" i="20"/>
  <c r="N492" i="20" s="1"/>
  <c r="J491" i="18"/>
  <c r="L491" i="18" s="1"/>
  <c r="AJ168" i="15"/>
  <c r="U148" i="15"/>
  <c r="J479" i="18"/>
  <c r="L479" i="18" s="1"/>
  <c r="L480" i="20"/>
  <c r="N480" i="20" s="1"/>
  <c r="AJ27" i="15"/>
  <c r="J421" i="18"/>
  <c r="L421" i="18" s="1"/>
  <c r="N421" i="18" s="1"/>
  <c r="L424" i="20"/>
  <c r="N424" i="20" s="1"/>
  <c r="U150" i="15"/>
  <c r="L486" i="20"/>
  <c r="N486" i="20" s="1"/>
  <c r="J485" i="18"/>
  <c r="L485" i="18" s="1"/>
  <c r="U151" i="15"/>
  <c r="AJ167" i="15"/>
  <c r="U149" i="15"/>
  <c r="L483" i="20"/>
  <c r="N483" i="20" s="1"/>
  <c r="J482" i="18"/>
  <c r="L482" i="18" s="1"/>
  <c r="U158" i="15"/>
  <c r="J510" i="20"/>
  <c r="L510" i="20" s="1"/>
  <c r="J509" i="18"/>
  <c r="L509" i="18" s="1"/>
  <c r="AJ166" i="15"/>
  <c r="J476" i="18"/>
  <c r="L476" i="18" s="1"/>
  <c r="L477" i="20"/>
  <c r="N477" i="20" s="1"/>
  <c r="U147" i="15"/>
  <c r="U146" i="15"/>
  <c r="L474" i="20"/>
  <c r="N474" i="20" s="1"/>
  <c r="J473" i="18"/>
  <c r="L473" i="18" s="1"/>
  <c r="U145" i="15"/>
  <c r="J470" i="18"/>
  <c r="L470" i="18" s="1"/>
  <c r="L471" i="20"/>
  <c r="N471" i="20" s="1"/>
  <c r="J458" i="18"/>
  <c r="L458" i="18" s="1"/>
  <c r="N458" i="18" s="1"/>
  <c r="L459" i="20"/>
  <c r="N459" i="20" s="1"/>
  <c r="U159" i="15"/>
  <c r="J512" i="18"/>
  <c r="L512" i="18" s="1"/>
  <c r="U157" i="15"/>
  <c r="J506" i="18"/>
  <c r="L506" i="18" s="1"/>
  <c r="U155" i="15"/>
  <c r="J500" i="18"/>
  <c r="L500" i="18" s="1"/>
  <c r="U154" i="15"/>
  <c r="J497" i="18"/>
  <c r="L497" i="18" s="1"/>
  <c r="U144" i="15"/>
  <c r="J467" i="18"/>
  <c r="L467" i="18" s="1"/>
  <c r="N467" i="18" s="1"/>
  <c r="U143" i="15"/>
  <c r="J464" i="18"/>
  <c r="L464" i="18" s="1"/>
  <c r="N464" i="18" s="1"/>
  <c r="U142" i="15"/>
  <c r="J461" i="18"/>
  <c r="L461" i="18" s="1"/>
  <c r="N461" i="18" s="1"/>
  <c r="U141" i="15"/>
  <c r="U140" i="15"/>
  <c r="J455" i="18"/>
  <c r="L455" i="18" s="1"/>
  <c r="N455" i="18" s="1"/>
  <c r="U139" i="15"/>
  <c r="J452" i="18"/>
  <c r="L452" i="18" s="1"/>
  <c r="N452" i="18" s="1"/>
  <c r="U138" i="15"/>
  <c r="J449" i="18"/>
  <c r="L449" i="18" s="1"/>
  <c r="N449" i="18" s="1"/>
  <c r="U119" i="15"/>
  <c r="J432" i="18"/>
  <c r="L432" i="18" s="1"/>
  <c r="N432" i="18" s="1"/>
  <c r="U82" i="15"/>
  <c r="U63" i="15"/>
  <c r="J417" i="18"/>
  <c r="L417" i="18" s="1"/>
  <c r="N417" i="18" s="1"/>
  <c r="U42" i="15"/>
  <c r="G408" i="18"/>
  <c r="K407" i="18" s="1"/>
  <c r="K72" i="18"/>
  <c r="L72" i="18" s="1"/>
  <c r="N72" i="18" s="1"/>
  <c r="L184" i="15"/>
  <c r="AA184" i="15" s="1"/>
  <c r="L181" i="2"/>
  <c r="V181" i="2" s="1"/>
  <c r="M49" i="15"/>
  <c r="L396" i="16"/>
  <c r="N396" i="16" s="1"/>
  <c r="L413" i="16"/>
  <c r="N413" i="16" s="1"/>
  <c r="M108" i="15"/>
  <c r="L398" i="16"/>
  <c r="N398" i="16" s="1"/>
  <c r="M50" i="15"/>
  <c r="L190" i="15"/>
  <c r="L47" i="15"/>
  <c r="AA47" i="15" s="1"/>
  <c r="M53" i="15"/>
  <c r="M190" i="15"/>
  <c r="AB190" i="15" s="1"/>
  <c r="AJ145" i="15"/>
  <c r="M54" i="15"/>
  <c r="L52" i="15"/>
  <c r="AA52" i="15" s="1"/>
  <c r="AJ97" i="15"/>
  <c r="L189" i="15"/>
  <c r="AA189" i="15" s="1"/>
  <c r="K705" i="11"/>
  <c r="L45" i="15"/>
  <c r="L51" i="15"/>
  <c r="AA51" i="15" s="1"/>
  <c r="L186" i="15"/>
  <c r="AA186" i="15" s="1"/>
  <c r="L185" i="15"/>
  <c r="AA185" i="15" s="1"/>
  <c r="K397" i="13"/>
  <c r="L46" i="15" s="1"/>
  <c r="AA46" i="15" s="1"/>
  <c r="L44" i="15"/>
  <c r="AJ165" i="15"/>
  <c r="L188" i="15"/>
  <c r="AA188" i="15" s="1"/>
  <c r="M45" i="15"/>
  <c r="AB43" i="15"/>
  <c r="AJ92" i="15"/>
  <c r="L384" i="16"/>
  <c r="N384" i="16" s="1"/>
  <c r="G106" i="16"/>
  <c r="K106" i="16" s="1"/>
  <c r="K94" i="16"/>
  <c r="K154" i="16"/>
  <c r="N407" i="16"/>
  <c r="K76" i="16"/>
  <c r="J208" i="16"/>
  <c r="L208" i="16" s="1"/>
  <c r="N208" i="16" s="1"/>
  <c r="K163" i="16"/>
  <c r="K425" i="16"/>
  <c r="K108" i="16"/>
  <c r="L108" i="16" s="1"/>
  <c r="N108" i="16" s="1"/>
  <c r="N394" i="16"/>
  <c r="N405" i="16"/>
  <c r="K261" i="16"/>
  <c r="K260" i="16"/>
  <c r="G404" i="16"/>
  <c r="N410" i="16"/>
  <c r="K304" i="16"/>
  <c r="L304" i="16" s="1"/>
  <c r="N304" i="16" s="1"/>
  <c r="AJ162" i="15"/>
  <c r="K389" i="13"/>
  <c r="K413" i="13"/>
  <c r="K656" i="13"/>
  <c r="K493" i="13"/>
  <c r="L177" i="2"/>
  <c r="V177" i="2" s="1"/>
  <c r="K486" i="13"/>
  <c r="K479" i="13"/>
  <c r="L51" i="2"/>
  <c r="V51" i="2" s="1"/>
  <c r="L46" i="2"/>
  <c r="V46" i="2" s="1"/>
  <c r="K384" i="13"/>
  <c r="G106" i="13"/>
  <c r="K106" i="13" s="1"/>
  <c r="K163" i="13"/>
  <c r="K154" i="13"/>
  <c r="K76" i="13"/>
  <c r="K94" i="13"/>
  <c r="K616" i="13"/>
  <c r="K108" i="13"/>
  <c r="L108" i="13" s="1"/>
  <c r="N108" i="13" s="1"/>
  <c r="J208" i="13"/>
  <c r="L208" i="13" s="1"/>
  <c r="N208" i="13" s="1"/>
  <c r="K304" i="13"/>
  <c r="L304" i="13" s="1"/>
  <c r="N304" i="13" s="1"/>
  <c r="G409" i="13"/>
  <c r="K260" i="13"/>
  <c r="I681" i="11"/>
  <c r="K681" i="11" s="1"/>
  <c r="I680" i="11"/>
  <c r="K680" i="11" s="1"/>
  <c r="I679" i="11"/>
  <c r="K679" i="11" s="1"/>
  <c r="I678" i="11"/>
  <c r="K678" i="11" s="1"/>
  <c r="I677" i="11"/>
  <c r="K677" i="11" s="1"/>
  <c r="I676" i="11"/>
  <c r="K676" i="11" s="1"/>
  <c r="I675" i="11"/>
  <c r="K675" i="11" s="1"/>
  <c r="I674" i="11"/>
  <c r="K674" i="11" s="1"/>
  <c r="I673" i="11"/>
  <c r="K673" i="11" s="1"/>
  <c r="I672" i="11"/>
  <c r="K672" i="11" s="1"/>
  <c r="I671" i="11"/>
  <c r="K671" i="11" s="1"/>
  <c r="I670" i="11"/>
  <c r="K670" i="11" s="1"/>
  <c r="I669" i="11"/>
  <c r="K669" i="11" s="1"/>
  <c r="I668" i="11"/>
  <c r="K668" i="11" s="1"/>
  <c r="I667" i="11"/>
  <c r="K667" i="11" s="1"/>
  <c r="I666" i="11"/>
  <c r="K666" i="11" s="1"/>
  <c r="I665" i="11"/>
  <c r="I663" i="11"/>
  <c r="K663" i="11" s="1"/>
  <c r="I662" i="11"/>
  <c r="K662" i="11" s="1"/>
  <c r="I661" i="11"/>
  <c r="K661" i="11" s="1"/>
  <c r="I660" i="11"/>
  <c r="K660" i="11" s="1"/>
  <c r="I659" i="11"/>
  <c r="K659" i="11" s="1"/>
  <c r="I658" i="11"/>
  <c r="K658" i="11" s="1"/>
  <c r="I657" i="11"/>
  <c r="K657" i="11" s="1"/>
  <c r="I656" i="11"/>
  <c r="K656" i="11" s="1"/>
  <c r="I655" i="11"/>
  <c r="K655" i="11" s="1"/>
  <c r="I654" i="11"/>
  <c r="K654" i="11" s="1"/>
  <c r="I653" i="11"/>
  <c r="K653" i="11" s="1"/>
  <c r="I652" i="11"/>
  <c r="K652" i="11" s="1"/>
  <c r="I651" i="11"/>
  <c r="K651" i="11" s="1"/>
  <c r="I650" i="11"/>
  <c r="K650" i="11" s="1"/>
  <c r="I649" i="11"/>
  <c r="K649" i="11" s="1"/>
  <c r="I648" i="11"/>
  <c r="K648" i="11" s="1"/>
  <c r="I647" i="11"/>
  <c r="K647" i="11" s="1"/>
  <c r="I626" i="11"/>
  <c r="K626" i="11" s="1"/>
  <c r="AB48" i="15" l="1"/>
  <c r="J446" i="24"/>
  <c r="L446" i="24" s="1"/>
  <c r="N446" i="24" s="1"/>
  <c r="J434" i="20"/>
  <c r="L434" i="20" s="1"/>
  <c r="N434" i="20" s="1"/>
  <c r="AB62" i="15"/>
  <c r="U48" i="15"/>
  <c r="J434" i="24"/>
  <c r="L434" i="24" s="1"/>
  <c r="N434" i="24" s="1"/>
  <c r="J386" i="22"/>
  <c r="L386" i="22" s="1"/>
  <c r="N386" i="22" s="1"/>
  <c r="J418" i="24"/>
  <c r="L418" i="24" s="1"/>
  <c r="N418" i="24" s="1"/>
  <c r="J402" i="22"/>
  <c r="L402" i="22" s="1"/>
  <c r="N402" i="22" s="1"/>
  <c r="J397" i="18"/>
  <c r="L397" i="18" s="1"/>
  <c r="N397" i="18" s="1"/>
  <c r="J396" i="20"/>
  <c r="L396" i="20" s="1"/>
  <c r="N396" i="20" s="1"/>
  <c r="J384" i="20"/>
  <c r="L384" i="20" s="1"/>
  <c r="N384" i="20" s="1"/>
  <c r="AA45" i="15"/>
  <c r="AA44" i="15"/>
  <c r="AA190" i="15"/>
  <c r="E8" i="23"/>
  <c r="AD52" i="15"/>
  <c r="AJ48" i="15"/>
  <c r="N52" i="15"/>
  <c r="AC52" i="15" s="1"/>
  <c r="L386" i="18"/>
  <c r="N386" i="18" s="1"/>
  <c r="K408" i="18"/>
  <c r="AB108" i="15"/>
  <c r="AB49" i="15"/>
  <c r="L59" i="2"/>
  <c r="V59" i="2" s="1"/>
  <c r="L59" i="15"/>
  <c r="AA59" i="15" s="1"/>
  <c r="AB53" i="15"/>
  <c r="L56" i="2"/>
  <c r="V56" i="2" s="1"/>
  <c r="L56" i="15"/>
  <c r="AA56" i="15" s="1"/>
  <c r="L57" i="2"/>
  <c r="V57" i="2" s="1"/>
  <c r="L57" i="15"/>
  <c r="AA57" i="15" s="1"/>
  <c r="AB54" i="15"/>
  <c r="AB50" i="15"/>
  <c r="L43" i="2"/>
  <c r="V43" i="2" s="1"/>
  <c r="L43" i="15"/>
  <c r="AA43" i="15" s="1"/>
  <c r="L58" i="2"/>
  <c r="V58" i="2" s="1"/>
  <c r="L58" i="15"/>
  <c r="AA58" i="15" s="1"/>
  <c r="K189" i="2"/>
  <c r="U189" i="2" s="1"/>
  <c r="K189" i="15"/>
  <c r="L40" i="2"/>
  <c r="V40" i="2" s="1"/>
  <c r="L40" i="15"/>
  <c r="AA40" i="15" s="1"/>
  <c r="AB45" i="15"/>
  <c r="U44" i="15"/>
  <c r="AB44" i="15"/>
  <c r="AB41" i="15"/>
  <c r="K72" i="16"/>
  <c r="L72" i="16" s="1"/>
  <c r="N72" i="16" s="1"/>
  <c r="K404" i="16"/>
  <c r="K403" i="16"/>
  <c r="M52" i="15" s="1"/>
  <c r="AB52" i="15" s="1"/>
  <c r="K408" i="13"/>
  <c r="K409" i="13"/>
  <c r="K72" i="13"/>
  <c r="L72" i="13" s="1"/>
  <c r="N72" i="13" s="1"/>
  <c r="K632" i="13"/>
  <c r="K646" i="11"/>
  <c r="I642" i="11"/>
  <c r="K642" i="11" s="1"/>
  <c r="I641" i="11"/>
  <c r="K641" i="11" s="1"/>
  <c r="I640" i="11"/>
  <c r="K640" i="11" s="1"/>
  <c r="I639" i="11"/>
  <c r="K639" i="11" s="1"/>
  <c r="I638" i="11"/>
  <c r="K638" i="11" s="1"/>
  <c r="I637" i="11"/>
  <c r="K637" i="11" s="1"/>
  <c r="I636" i="11"/>
  <c r="K636" i="11" s="1"/>
  <c r="I635" i="11"/>
  <c r="K635" i="11" s="1"/>
  <c r="I634" i="11"/>
  <c r="K634" i="11" s="1"/>
  <c r="I633" i="11"/>
  <c r="K633" i="11" s="1"/>
  <c r="I632" i="11"/>
  <c r="K632" i="11" s="1"/>
  <c r="I631" i="11"/>
  <c r="K631" i="11" s="1"/>
  <c r="I630" i="11"/>
  <c r="K630" i="11" s="1"/>
  <c r="I629" i="11"/>
  <c r="K629" i="11" s="1"/>
  <c r="I628" i="11"/>
  <c r="K628" i="11" s="1"/>
  <c r="I627" i="11"/>
  <c r="K627" i="11" s="1"/>
  <c r="I700" i="11"/>
  <c r="K700" i="11" s="1"/>
  <c r="I699" i="11"/>
  <c r="K699" i="11" s="1"/>
  <c r="I698" i="11"/>
  <c r="K698" i="11" s="1"/>
  <c r="I697" i="11"/>
  <c r="K697" i="11" s="1"/>
  <c r="I696" i="11"/>
  <c r="K696" i="11" s="1"/>
  <c r="I695" i="11"/>
  <c r="K695" i="11" s="1"/>
  <c r="I694" i="11"/>
  <c r="K694" i="11" s="1"/>
  <c r="I693" i="11"/>
  <c r="I692" i="11"/>
  <c r="I691" i="11"/>
  <c r="I690" i="11"/>
  <c r="I689" i="11"/>
  <c r="I688" i="11"/>
  <c r="I687" i="11"/>
  <c r="I686" i="11"/>
  <c r="I685" i="11"/>
  <c r="I684" i="11"/>
  <c r="K617" i="11"/>
  <c r="K495" i="11"/>
  <c r="K494" i="11"/>
  <c r="K493" i="11"/>
  <c r="K490" i="11"/>
  <c r="K491" i="11"/>
  <c r="K489" i="11"/>
  <c r="M492" i="11"/>
  <c r="K496" i="11"/>
  <c r="K486" i="11"/>
  <c r="K487" i="11"/>
  <c r="K485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11" i="11"/>
  <c r="G404" i="11"/>
  <c r="K402" i="11" s="1"/>
  <c r="G398" i="11"/>
  <c r="K396" i="11" s="1"/>
  <c r="G395" i="11"/>
  <c r="K393" i="11" s="1"/>
  <c r="AJ62" i="15" l="1"/>
  <c r="U54" i="15"/>
  <c r="J410" i="20"/>
  <c r="L410" i="20" s="1"/>
  <c r="N410" i="20" s="1"/>
  <c r="J414" i="22"/>
  <c r="L414" i="22" s="1"/>
  <c r="N414" i="22" s="1"/>
  <c r="J469" i="24"/>
  <c r="L469" i="24" s="1"/>
  <c r="N469" i="24" s="1"/>
  <c r="J437" i="22"/>
  <c r="L437" i="22" s="1"/>
  <c r="N437" i="22" s="1"/>
  <c r="U108" i="15"/>
  <c r="J406" i="22"/>
  <c r="L406" i="22" s="1"/>
  <c r="N406" i="22" s="1"/>
  <c r="J438" i="24"/>
  <c r="L438" i="24" s="1"/>
  <c r="N438" i="24" s="1"/>
  <c r="U190" i="15"/>
  <c r="U62" i="15"/>
  <c r="J412" i="22"/>
  <c r="L412" i="22" s="1"/>
  <c r="N412" i="22" s="1"/>
  <c r="J444" i="24"/>
  <c r="L444" i="24" s="1"/>
  <c r="N444" i="24" s="1"/>
  <c r="J408" i="20"/>
  <c r="L408" i="20" s="1"/>
  <c r="N408" i="20" s="1"/>
  <c r="J404" i="22"/>
  <c r="L404" i="22" s="1"/>
  <c r="N404" i="22" s="1"/>
  <c r="J436" i="24"/>
  <c r="L436" i="24" s="1"/>
  <c r="N436" i="24" s="1"/>
  <c r="J396" i="22"/>
  <c r="L396" i="22" s="1"/>
  <c r="N396" i="22" s="1"/>
  <c r="J428" i="24"/>
  <c r="L428" i="24" s="1"/>
  <c r="N428" i="24" s="1"/>
  <c r="J400" i="20"/>
  <c r="L400" i="20" s="1"/>
  <c r="N400" i="20" s="1"/>
  <c r="AJ45" i="15"/>
  <c r="J398" i="20"/>
  <c r="L398" i="20" s="1"/>
  <c r="N398" i="20" s="1"/>
  <c r="AJ41" i="15"/>
  <c r="AJ44" i="15"/>
  <c r="AJ190" i="15"/>
  <c r="U45" i="15"/>
  <c r="AJ53" i="15"/>
  <c r="AJ49" i="15"/>
  <c r="AJ54" i="15"/>
  <c r="AJ50" i="15"/>
  <c r="AJ108" i="15"/>
  <c r="U53" i="15"/>
  <c r="J409" i="18"/>
  <c r="L409" i="18" s="1"/>
  <c r="N409" i="18" s="1"/>
  <c r="U50" i="15"/>
  <c r="J401" i="18"/>
  <c r="L401" i="18" s="1"/>
  <c r="N401" i="18" s="1"/>
  <c r="U49" i="15"/>
  <c r="J399" i="18"/>
  <c r="L399" i="18" s="1"/>
  <c r="N399" i="18" s="1"/>
  <c r="U41" i="15"/>
  <c r="J384" i="18"/>
  <c r="L384" i="18" s="1"/>
  <c r="N384" i="18" s="1"/>
  <c r="L183" i="2"/>
  <c r="V183" i="2" s="1"/>
  <c r="V196" i="2" s="1"/>
  <c r="E8" i="2" s="1"/>
  <c r="L183" i="15"/>
  <c r="AA183" i="15" s="1"/>
  <c r="U189" i="15"/>
  <c r="Z189" i="15"/>
  <c r="K177" i="2"/>
  <c r="U177" i="2" s="1"/>
  <c r="K177" i="15"/>
  <c r="K46" i="2"/>
  <c r="U46" i="2" s="1"/>
  <c r="K46" i="15"/>
  <c r="K47" i="2"/>
  <c r="U47" i="2" s="1"/>
  <c r="K47" i="15"/>
  <c r="K184" i="2"/>
  <c r="U184" i="2" s="1"/>
  <c r="K184" i="15"/>
  <c r="Z184" i="15" s="1"/>
  <c r="G406" i="11"/>
  <c r="K405" i="11" s="1"/>
  <c r="K51" i="15"/>
  <c r="K410" i="11"/>
  <c r="K56" i="15" s="1"/>
  <c r="K624" i="11"/>
  <c r="K181" i="15" s="1"/>
  <c r="Z181" i="15" s="1"/>
  <c r="K492" i="11"/>
  <c r="K51" i="2"/>
  <c r="U51" i="2" s="1"/>
  <c r="K488" i="11"/>
  <c r="K484" i="11"/>
  <c r="G391" i="11"/>
  <c r="K389" i="11" s="1"/>
  <c r="G386" i="11"/>
  <c r="K384" i="11" s="1"/>
  <c r="K381" i="11"/>
  <c r="K724" i="11"/>
  <c r="K723" i="11"/>
  <c r="K722" i="11"/>
  <c r="K721" i="11"/>
  <c r="K720" i="11"/>
  <c r="M713" i="11"/>
  <c r="K713" i="11"/>
  <c r="M712" i="11"/>
  <c r="K712" i="11"/>
  <c r="K711" i="11"/>
  <c r="M710" i="11"/>
  <c r="K710" i="11"/>
  <c r="M709" i="11"/>
  <c r="K709" i="11"/>
  <c r="M708" i="11"/>
  <c r="K708" i="11"/>
  <c r="M705" i="11"/>
  <c r="K704" i="11"/>
  <c r="M703" i="11"/>
  <c r="M702" i="11"/>
  <c r="K693" i="11"/>
  <c r="K692" i="11"/>
  <c r="K691" i="11"/>
  <c r="K690" i="11"/>
  <c r="K689" i="11"/>
  <c r="K688" i="11"/>
  <c r="K687" i="11"/>
  <c r="K686" i="11"/>
  <c r="K685" i="11"/>
  <c r="K684" i="11"/>
  <c r="M682" i="11"/>
  <c r="K665" i="11"/>
  <c r="M664" i="11"/>
  <c r="M646" i="11"/>
  <c r="M644" i="11"/>
  <c r="M643" i="11"/>
  <c r="K643" i="11"/>
  <c r="M624" i="11"/>
  <c r="M622" i="11"/>
  <c r="K622" i="11"/>
  <c r="M621" i="11"/>
  <c r="K621" i="11"/>
  <c r="M620" i="11"/>
  <c r="K620" i="11"/>
  <c r="M617" i="11"/>
  <c r="L617" i="11"/>
  <c r="M614" i="11"/>
  <c r="K614" i="11"/>
  <c r="K613" i="11"/>
  <c r="K612" i="11"/>
  <c r="M611" i="11"/>
  <c r="M610" i="11"/>
  <c r="K610" i="11"/>
  <c r="M608" i="11"/>
  <c r="K608" i="11"/>
  <c r="M607" i="11"/>
  <c r="K607" i="11"/>
  <c r="M606" i="11"/>
  <c r="K606" i="11"/>
  <c r="M605" i="11"/>
  <c r="K605" i="11"/>
  <c r="M604" i="11"/>
  <c r="K604" i="11"/>
  <c r="M603" i="11"/>
  <c r="K603" i="11"/>
  <c r="M602" i="11"/>
  <c r="K602" i="11"/>
  <c r="M601" i="11"/>
  <c r="K601" i="11"/>
  <c r="M600" i="11"/>
  <c r="K600" i="11"/>
  <c r="M599" i="11"/>
  <c r="K599" i="11"/>
  <c r="M598" i="11"/>
  <c r="K598" i="11"/>
  <c r="M597" i="11"/>
  <c r="K597" i="11"/>
  <c r="K596" i="11"/>
  <c r="M595" i="11"/>
  <c r="K595" i="11"/>
  <c r="M594" i="11"/>
  <c r="K594" i="11"/>
  <c r="M593" i="11"/>
  <c r="K593" i="11"/>
  <c r="M592" i="11"/>
  <c r="K592" i="11"/>
  <c r="M591" i="11"/>
  <c r="K591" i="11"/>
  <c r="M590" i="11"/>
  <c r="K590" i="11"/>
  <c r="M589" i="11"/>
  <c r="K589" i="11"/>
  <c r="M588" i="11"/>
  <c r="K588" i="11"/>
  <c r="M587" i="11"/>
  <c r="K587" i="11"/>
  <c r="M586" i="11"/>
  <c r="K586" i="11"/>
  <c r="M585" i="11"/>
  <c r="K585" i="11"/>
  <c r="M584" i="11"/>
  <c r="K584" i="11"/>
  <c r="M583" i="11"/>
  <c r="K583" i="11"/>
  <c r="M582" i="11"/>
  <c r="K582" i="11"/>
  <c r="M581" i="11"/>
  <c r="K581" i="11"/>
  <c r="M580" i="11"/>
  <c r="K580" i="11"/>
  <c r="M579" i="11"/>
  <c r="K579" i="11"/>
  <c r="M578" i="11"/>
  <c r="K578" i="11"/>
  <c r="M577" i="11"/>
  <c r="K577" i="11"/>
  <c r="M576" i="11"/>
  <c r="K576" i="11"/>
  <c r="M575" i="11"/>
  <c r="K575" i="11"/>
  <c r="M574" i="11"/>
  <c r="K574" i="11"/>
  <c r="K573" i="11"/>
  <c r="M572" i="11"/>
  <c r="K572" i="11"/>
  <c r="M571" i="11"/>
  <c r="K571" i="11"/>
  <c r="M570" i="11"/>
  <c r="K570" i="11"/>
  <c r="M569" i="11"/>
  <c r="K569" i="11"/>
  <c r="M568" i="11"/>
  <c r="K568" i="11"/>
  <c r="M567" i="11"/>
  <c r="K567" i="11"/>
  <c r="M566" i="11"/>
  <c r="K566" i="11"/>
  <c r="M565" i="11"/>
  <c r="K565" i="11"/>
  <c r="M564" i="11"/>
  <c r="K564" i="11"/>
  <c r="K563" i="11"/>
  <c r="M562" i="11"/>
  <c r="K562" i="11"/>
  <c r="M561" i="11"/>
  <c r="K561" i="11"/>
  <c r="M560" i="11"/>
  <c r="K560" i="11"/>
  <c r="M559" i="11"/>
  <c r="K559" i="11"/>
  <c r="M558" i="11"/>
  <c r="K558" i="11"/>
  <c r="M557" i="11"/>
  <c r="K557" i="11"/>
  <c r="M556" i="11"/>
  <c r="K556" i="11"/>
  <c r="M555" i="11"/>
  <c r="K555" i="11"/>
  <c r="K554" i="11"/>
  <c r="M553" i="11"/>
  <c r="K553" i="11"/>
  <c r="M552" i="11"/>
  <c r="K552" i="11"/>
  <c r="M551" i="11"/>
  <c r="K551" i="11"/>
  <c r="M550" i="11"/>
  <c r="K550" i="11"/>
  <c r="M549" i="11"/>
  <c r="K549" i="11"/>
  <c r="M548" i="11"/>
  <c r="K548" i="11"/>
  <c r="M547" i="11"/>
  <c r="K547" i="11"/>
  <c r="M546" i="11"/>
  <c r="K546" i="11"/>
  <c r="M545" i="11"/>
  <c r="K545" i="11"/>
  <c r="M544" i="11"/>
  <c r="K544" i="11"/>
  <c r="M543" i="11"/>
  <c r="K543" i="11"/>
  <c r="M542" i="11"/>
  <c r="K542" i="11"/>
  <c r="M541" i="11"/>
  <c r="K541" i="11"/>
  <c r="M540" i="11"/>
  <c r="K540" i="11"/>
  <c r="M539" i="11"/>
  <c r="K539" i="11"/>
  <c r="M538" i="11"/>
  <c r="K538" i="11"/>
  <c r="M537" i="11"/>
  <c r="K537" i="11"/>
  <c r="M536" i="11"/>
  <c r="K536" i="11"/>
  <c r="M535" i="11"/>
  <c r="K535" i="11"/>
  <c r="M534" i="11"/>
  <c r="K534" i="11"/>
  <c r="M533" i="11"/>
  <c r="K533" i="11"/>
  <c r="M532" i="11"/>
  <c r="K532" i="11"/>
  <c r="M531" i="11"/>
  <c r="K531" i="11"/>
  <c r="M530" i="11"/>
  <c r="K530" i="11"/>
  <c r="M529" i="11"/>
  <c r="K529" i="11"/>
  <c r="M528" i="11"/>
  <c r="K528" i="11"/>
  <c r="M527" i="11"/>
  <c r="K527" i="11"/>
  <c r="M526" i="11"/>
  <c r="K526" i="11"/>
  <c r="K525" i="11"/>
  <c r="M524" i="11"/>
  <c r="K524" i="11"/>
  <c r="M523" i="11"/>
  <c r="K523" i="11"/>
  <c r="M522" i="11"/>
  <c r="K522" i="11"/>
  <c r="M521" i="11"/>
  <c r="K521" i="11"/>
  <c r="M520" i="11"/>
  <c r="K520" i="11"/>
  <c r="M519" i="11"/>
  <c r="K519" i="11"/>
  <c r="M518" i="11"/>
  <c r="K518" i="11"/>
  <c r="K517" i="11"/>
  <c r="M516" i="11"/>
  <c r="K516" i="11"/>
  <c r="M515" i="11"/>
  <c r="K515" i="11"/>
  <c r="M514" i="11"/>
  <c r="K514" i="11"/>
  <c r="M513" i="11"/>
  <c r="K513" i="11"/>
  <c r="M512" i="11"/>
  <c r="K512" i="11"/>
  <c r="M511" i="11"/>
  <c r="K511" i="11"/>
  <c r="K510" i="11"/>
  <c r="M509" i="11"/>
  <c r="K509" i="11"/>
  <c r="M508" i="11"/>
  <c r="K508" i="11"/>
  <c r="M507" i="11"/>
  <c r="K507" i="11"/>
  <c r="M506" i="11"/>
  <c r="K506" i="11"/>
  <c r="M505" i="11"/>
  <c r="K505" i="11"/>
  <c r="M504" i="11"/>
  <c r="K504" i="11"/>
  <c r="M503" i="11"/>
  <c r="K503" i="11"/>
  <c r="M502" i="11"/>
  <c r="K502" i="11"/>
  <c r="K501" i="11"/>
  <c r="M500" i="11"/>
  <c r="K500" i="11"/>
  <c r="M499" i="11"/>
  <c r="K499" i="11"/>
  <c r="M498" i="11"/>
  <c r="K498" i="11"/>
  <c r="M497" i="11"/>
  <c r="K497" i="11"/>
  <c r="M488" i="11"/>
  <c r="M484" i="11"/>
  <c r="M410" i="11"/>
  <c r="K409" i="11"/>
  <c r="M408" i="11"/>
  <c r="K408" i="11"/>
  <c r="M407" i="11"/>
  <c r="K407" i="11"/>
  <c r="M405" i="11"/>
  <c r="M402" i="11"/>
  <c r="M401" i="11"/>
  <c r="K401" i="11"/>
  <c r="M400" i="11"/>
  <c r="K400" i="11"/>
  <c r="M399" i="11"/>
  <c r="K399" i="11"/>
  <c r="M396" i="11"/>
  <c r="M393" i="11"/>
  <c r="M392" i="11"/>
  <c r="K392" i="11"/>
  <c r="M389" i="11"/>
  <c r="M388" i="11"/>
  <c r="K388" i="11"/>
  <c r="M387" i="11"/>
  <c r="K387" i="11"/>
  <c r="M384" i="11"/>
  <c r="K383" i="11"/>
  <c r="M381" i="11"/>
  <c r="G380" i="11"/>
  <c r="K380" i="11" s="1"/>
  <c r="G379" i="11"/>
  <c r="K379" i="11" s="1"/>
  <c r="G378" i="11"/>
  <c r="K378" i="11" s="1"/>
  <c r="G377" i="11"/>
  <c r="K377" i="11" s="1"/>
  <c r="G376" i="11"/>
  <c r="K376" i="11" s="1"/>
  <c r="G375" i="11"/>
  <c r="K375" i="11" s="1"/>
  <c r="G374" i="11"/>
  <c r="K374" i="11" s="1"/>
  <c r="G373" i="11"/>
  <c r="K373" i="11" s="1"/>
  <c r="G372" i="11"/>
  <c r="K372" i="11" s="1"/>
  <c r="G371" i="11"/>
  <c r="K371" i="11" s="1"/>
  <c r="G370" i="11"/>
  <c r="K370" i="11" s="1"/>
  <c r="G369" i="11"/>
  <c r="K369" i="11" s="1"/>
  <c r="G368" i="11"/>
  <c r="K368" i="11" s="1"/>
  <c r="G367" i="11"/>
  <c r="K367" i="11" s="1"/>
  <c r="G366" i="11"/>
  <c r="K366" i="11" s="1"/>
  <c r="G365" i="11"/>
  <c r="K365" i="11" s="1"/>
  <c r="G364" i="11"/>
  <c r="K364" i="11" s="1"/>
  <c r="G363" i="11"/>
  <c r="K363" i="11" s="1"/>
  <c r="G362" i="11"/>
  <c r="K362" i="11" s="1"/>
  <c r="G361" i="11"/>
  <c r="K361" i="11" s="1"/>
  <c r="G360" i="11"/>
  <c r="K360" i="11" s="1"/>
  <c r="G359" i="11"/>
  <c r="K359" i="11" s="1"/>
  <c r="G358" i="11"/>
  <c r="K358" i="11" s="1"/>
  <c r="G357" i="11"/>
  <c r="K357" i="11" s="1"/>
  <c r="G356" i="11"/>
  <c r="K356" i="11" s="1"/>
  <c r="G355" i="11"/>
  <c r="K355" i="11" s="1"/>
  <c r="G354" i="11"/>
  <c r="K354" i="11" s="1"/>
  <c r="G353" i="11"/>
  <c r="K353" i="11" s="1"/>
  <c r="G352" i="11"/>
  <c r="K352" i="11" s="1"/>
  <c r="G351" i="11"/>
  <c r="K351" i="11" s="1"/>
  <c r="K349" i="11"/>
  <c r="K348" i="11"/>
  <c r="K347" i="11"/>
  <c r="K346" i="11"/>
  <c r="K345" i="11"/>
  <c r="K344" i="11"/>
  <c r="K343" i="11"/>
  <c r="M340" i="11"/>
  <c r="K340" i="11"/>
  <c r="G338" i="11"/>
  <c r="K338" i="11" s="1"/>
  <c r="G337" i="11"/>
  <c r="K337" i="11" s="1"/>
  <c r="G336" i="11"/>
  <c r="K336" i="11" s="1"/>
  <c r="G335" i="11"/>
  <c r="K335" i="11" s="1"/>
  <c r="G334" i="11"/>
  <c r="K334" i="11" s="1"/>
  <c r="G333" i="11"/>
  <c r="K333" i="11" s="1"/>
  <c r="G332" i="11"/>
  <c r="K332" i="11" s="1"/>
  <c r="M330" i="11"/>
  <c r="K330" i="11"/>
  <c r="G329" i="11"/>
  <c r="K329" i="11" s="1"/>
  <c r="G328" i="11"/>
  <c r="K328" i="11" s="1"/>
  <c r="G327" i="11"/>
  <c r="K327" i="11" s="1"/>
  <c r="G326" i="11"/>
  <c r="K326" i="11" s="1"/>
  <c r="G325" i="11"/>
  <c r="K325" i="11" s="1"/>
  <c r="G324" i="11"/>
  <c r="K324" i="11" s="1"/>
  <c r="G323" i="11"/>
  <c r="K323" i="11" s="1"/>
  <c r="G322" i="11"/>
  <c r="K322" i="11" s="1"/>
  <c r="G321" i="11"/>
  <c r="K321" i="11" s="1"/>
  <c r="G320" i="11"/>
  <c r="K320" i="11" s="1"/>
  <c r="G319" i="11"/>
  <c r="K319" i="11" s="1"/>
  <c r="G318" i="11"/>
  <c r="K318" i="11" s="1"/>
  <c r="G317" i="11"/>
  <c r="K317" i="11" s="1"/>
  <c r="G316" i="11"/>
  <c r="K316" i="11" s="1"/>
  <c r="G315" i="11"/>
  <c r="K315" i="11" s="1"/>
  <c r="G314" i="11"/>
  <c r="K314" i="11" s="1"/>
  <c r="G313" i="11"/>
  <c r="K313" i="11" s="1"/>
  <c r="G312" i="11"/>
  <c r="K312" i="11" s="1"/>
  <c r="G311" i="11"/>
  <c r="K311" i="11" s="1"/>
  <c r="G310" i="11"/>
  <c r="K310" i="11" s="1"/>
  <c r="G309" i="11"/>
  <c r="K309" i="11" s="1"/>
  <c r="G308" i="11"/>
  <c r="K308" i="11" s="1"/>
  <c r="G307" i="11"/>
  <c r="K307" i="11" s="1"/>
  <c r="M304" i="11"/>
  <c r="K303" i="11"/>
  <c r="K302" i="11" s="1"/>
  <c r="M302" i="11"/>
  <c r="G301" i="11"/>
  <c r="K301" i="11" s="1"/>
  <c r="G300" i="11"/>
  <c r="K300" i="11" s="1"/>
  <c r="G299" i="11"/>
  <c r="K299" i="11" s="1"/>
  <c r="G298" i="11"/>
  <c r="K298" i="11" s="1"/>
  <c r="G297" i="11"/>
  <c r="K297" i="11" s="1"/>
  <c r="G296" i="11"/>
  <c r="K296" i="11" s="1"/>
  <c r="G295" i="11"/>
  <c r="K295" i="11" s="1"/>
  <c r="G293" i="11"/>
  <c r="K293" i="11" s="1"/>
  <c r="G292" i="11"/>
  <c r="K292" i="11" s="1"/>
  <c r="G291" i="11"/>
  <c r="K291" i="11" s="1"/>
  <c r="G290" i="11"/>
  <c r="K290" i="11" s="1"/>
  <c r="G289" i="11"/>
  <c r="K289" i="11" s="1"/>
  <c r="G288" i="11"/>
  <c r="K288" i="11" s="1"/>
  <c r="G287" i="11"/>
  <c r="K287" i="11" s="1"/>
  <c r="G286" i="11"/>
  <c r="K286" i="11" s="1"/>
  <c r="G285" i="11"/>
  <c r="K285" i="11" s="1"/>
  <c r="G284" i="11"/>
  <c r="K284" i="11" s="1"/>
  <c r="G283" i="11"/>
  <c r="K283" i="11" s="1"/>
  <c r="G282" i="11"/>
  <c r="K282" i="11" s="1"/>
  <c r="G281" i="11"/>
  <c r="K281" i="11" s="1"/>
  <c r="G280" i="11"/>
  <c r="K280" i="11" s="1"/>
  <c r="G279" i="11"/>
  <c r="K279" i="11" s="1"/>
  <c r="G278" i="11"/>
  <c r="K278" i="11" s="1"/>
  <c r="G277" i="11"/>
  <c r="K277" i="11" s="1"/>
  <c r="G276" i="11"/>
  <c r="K276" i="11" s="1"/>
  <c r="G275" i="11"/>
  <c r="K275" i="11" s="1"/>
  <c r="G274" i="11"/>
  <c r="K274" i="11" s="1"/>
  <c r="G273" i="11"/>
  <c r="K273" i="11" s="1"/>
  <c r="G272" i="11"/>
  <c r="K272" i="11" s="1"/>
  <c r="G271" i="11"/>
  <c r="K271" i="11" s="1"/>
  <c r="G270" i="11"/>
  <c r="K270" i="11" s="1"/>
  <c r="G269" i="11"/>
  <c r="K269" i="11" s="1"/>
  <c r="G268" i="11"/>
  <c r="K268" i="11" s="1"/>
  <c r="G267" i="11"/>
  <c r="K267" i="11" s="1"/>
  <c r="G266" i="11"/>
  <c r="K266" i="11" s="1"/>
  <c r="G265" i="11"/>
  <c r="K265" i="11" s="1"/>
  <c r="G264" i="11"/>
  <c r="K264" i="11" s="1"/>
  <c r="M262" i="11"/>
  <c r="K262" i="11"/>
  <c r="G261" i="11"/>
  <c r="K261" i="11" s="1"/>
  <c r="M260" i="11"/>
  <c r="M257" i="11"/>
  <c r="K257" i="11"/>
  <c r="K256" i="11"/>
  <c r="K255" i="11"/>
  <c r="K254" i="11"/>
  <c r="K253" i="11"/>
  <c r="K252" i="11"/>
  <c r="K251" i="11"/>
  <c r="K250" i="11"/>
  <c r="K248" i="11"/>
  <c r="K247" i="11"/>
  <c r="K246" i="11"/>
  <c r="K245" i="11"/>
  <c r="K244" i="11"/>
  <c r="K243" i="11"/>
  <c r="K242" i="11"/>
  <c r="K241" i="11"/>
  <c r="K240" i="11"/>
  <c r="K239" i="11"/>
  <c r="K238" i="11"/>
  <c r="K237" i="11"/>
  <c r="K236" i="11"/>
  <c r="K235" i="11"/>
  <c r="K234" i="11"/>
  <c r="K233" i="11"/>
  <c r="K232" i="11"/>
  <c r="K231" i="11"/>
  <c r="K230" i="11"/>
  <c r="K229" i="11"/>
  <c r="K228" i="11"/>
  <c r="K227" i="11"/>
  <c r="K226" i="11"/>
  <c r="K225" i="11"/>
  <c r="K224" i="11"/>
  <c r="K223" i="11"/>
  <c r="K222" i="11"/>
  <c r="K221" i="11"/>
  <c r="K220" i="11"/>
  <c r="K219" i="11"/>
  <c r="K218" i="11"/>
  <c r="K216" i="11"/>
  <c r="K215" i="11"/>
  <c r="K214" i="11"/>
  <c r="K213" i="11"/>
  <c r="K212" i="11"/>
  <c r="K211" i="11"/>
  <c r="K210" i="11"/>
  <c r="M208" i="11"/>
  <c r="K208" i="11"/>
  <c r="G207" i="11"/>
  <c r="K207" i="11" s="1"/>
  <c r="G206" i="11"/>
  <c r="K206" i="11" s="1"/>
  <c r="G205" i="11"/>
  <c r="K205" i="11" s="1"/>
  <c r="G204" i="11"/>
  <c r="K204" i="11" s="1"/>
  <c r="G203" i="11"/>
  <c r="K203" i="11" s="1"/>
  <c r="G202" i="11"/>
  <c r="K202" i="11" s="1"/>
  <c r="G201" i="11"/>
  <c r="K201" i="11" s="1"/>
  <c r="G178" i="11"/>
  <c r="G177" i="11"/>
  <c r="G176" i="11"/>
  <c r="G175" i="11"/>
  <c r="G174" i="11"/>
  <c r="K174" i="11" s="1"/>
  <c r="M172" i="11"/>
  <c r="K172" i="11"/>
  <c r="K171" i="11"/>
  <c r="K170" i="11"/>
  <c r="K169" i="11"/>
  <c r="K168" i="11"/>
  <c r="K167" i="11"/>
  <c r="K166" i="11"/>
  <c r="K165" i="11"/>
  <c r="M163" i="11"/>
  <c r="K162" i="11"/>
  <c r="K161" i="11"/>
  <c r="K160" i="11"/>
  <c r="K159" i="11"/>
  <c r="K158" i="11"/>
  <c r="K157" i="11"/>
  <c r="K156" i="11"/>
  <c r="M154" i="11"/>
  <c r="K153" i="11"/>
  <c r="K152" i="11"/>
  <c r="K151" i="11"/>
  <c r="K150" i="11"/>
  <c r="K149" i="11"/>
  <c r="K148" i="11"/>
  <c r="K147" i="11"/>
  <c r="K146" i="11"/>
  <c r="K145" i="11"/>
  <c r="K144" i="11"/>
  <c r="K143" i="11"/>
  <c r="K142" i="11"/>
  <c r="K141" i="11"/>
  <c r="K140" i="11"/>
  <c r="K139" i="11"/>
  <c r="K138" i="11"/>
  <c r="K137" i="11"/>
  <c r="K136" i="11"/>
  <c r="K135" i="11"/>
  <c r="K134" i="11"/>
  <c r="K133" i="11"/>
  <c r="K132" i="11"/>
  <c r="K131" i="11"/>
  <c r="K130" i="11"/>
  <c r="K129" i="11"/>
  <c r="K128" i="11"/>
  <c r="K127" i="11"/>
  <c r="K126" i="11"/>
  <c r="K125" i="11"/>
  <c r="K124" i="11"/>
  <c r="K123" i="11"/>
  <c r="K122" i="11"/>
  <c r="K121" i="11"/>
  <c r="K120" i="11"/>
  <c r="K119" i="11"/>
  <c r="K118" i="11"/>
  <c r="K117" i="11"/>
  <c r="K116" i="11"/>
  <c r="K115" i="11"/>
  <c r="K114" i="11"/>
  <c r="K113" i="11"/>
  <c r="K112" i="11"/>
  <c r="K111" i="11"/>
  <c r="K110" i="11"/>
  <c r="M108" i="11"/>
  <c r="I105" i="11"/>
  <c r="K105" i="11" s="1"/>
  <c r="I104" i="11"/>
  <c r="K104" i="11" s="1"/>
  <c r="I103" i="11"/>
  <c r="K103" i="11" s="1"/>
  <c r="I102" i="11"/>
  <c r="K102" i="11" s="1"/>
  <c r="I101" i="11"/>
  <c r="K101" i="11" s="1"/>
  <c r="I100" i="11"/>
  <c r="K100" i="11" s="1"/>
  <c r="I99" i="11"/>
  <c r="K99" i="11" s="1"/>
  <c r="I98" i="11"/>
  <c r="K98" i="11" s="1"/>
  <c r="I97" i="11"/>
  <c r="K97" i="11" s="1"/>
  <c r="I96" i="11"/>
  <c r="K96" i="11" s="1"/>
  <c r="I95" i="11"/>
  <c r="K95" i="11" s="1"/>
  <c r="I94" i="11"/>
  <c r="G94" i="11"/>
  <c r="I93" i="11"/>
  <c r="K93" i="11" s="1"/>
  <c r="I92" i="11"/>
  <c r="K92" i="11" s="1"/>
  <c r="I91" i="11"/>
  <c r="K91" i="11" s="1"/>
  <c r="I90" i="11"/>
  <c r="K90" i="11" s="1"/>
  <c r="I89" i="11"/>
  <c r="K89" i="11" s="1"/>
  <c r="I88" i="11"/>
  <c r="K88" i="11" s="1"/>
  <c r="I87" i="11"/>
  <c r="K87" i="11" s="1"/>
  <c r="I86" i="11"/>
  <c r="K86" i="11" s="1"/>
  <c r="I85" i="11"/>
  <c r="K85" i="11" s="1"/>
  <c r="I84" i="11"/>
  <c r="K84" i="11" s="1"/>
  <c r="I83" i="11"/>
  <c r="K83" i="11" s="1"/>
  <c r="I82" i="11"/>
  <c r="K82" i="11" s="1"/>
  <c r="I81" i="11"/>
  <c r="K81" i="11" s="1"/>
  <c r="I80" i="11"/>
  <c r="K80" i="11" s="1"/>
  <c r="I79" i="11"/>
  <c r="K79" i="11" s="1"/>
  <c r="I78" i="11"/>
  <c r="K78" i="11" s="1"/>
  <c r="I77" i="11"/>
  <c r="K77" i="11" s="1"/>
  <c r="I76" i="11"/>
  <c r="G76" i="11"/>
  <c r="I75" i="11"/>
  <c r="K75" i="11" s="1"/>
  <c r="I74" i="11"/>
  <c r="K74" i="11" s="1"/>
  <c r="M72" i="11"/>
  <c r="J72" i="11"/>
  <c r="L71" i="11"/>
  <c r="G70" i="11"/>
  <c r="K68" i="11" s="1"/>
  <c r="M68" i="11"/>
  <c r="K67" i="11"/>
  <c r="K66" i="11"/>
  <c r="K65" i="11"/>
  <c r="K64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M25" i="11"/>
  <c r="K25" i="11"/>
  <c r="M24" i="11"/>
  <c r="K24" i="11"/>
  <c r="K22" i="11"/>
  <c r="K21" i="11" s="1"/>
  <c r="M21" i="11"/>
  <c r="K20" i="11"/>
  <c r="K19" i="11" s="1"/>
  <c r="M19" i="11"/>
  <c r="K18" i="11"/>
  <c r="K17" i="11" s="1"/>
  <c r="M17" i="11"/>
  <c r="M16" i="11"/>
  <c r="K16" i="11"/>
  <c r="M15" i="11"/>
  <c r="K15" i="11"/>
  <c r="M14" i="11"/>
  <c r="K14" i="11"/>
  <c r="I76" i="9"/>
  <c r="G76" i="9"/>
  <c r="L71" i="9"/>
  <c r="J72" i="9"/>
  <c r="I94" i="9"/>
  <c r="G94" i="9"/>
  <c r="I93" i="9"/>
  <c r="I89" i="9"/>
  <c r="K56" i="2" l="1"/>
  <c r="U56" i="2" s="1"/>
  <c r="J450" i="24"/>
  <c r="L450" i="24" s="1"/>
  <c r="N450" i="24" s="1"/>
  <c r="J414" i="20"/>
  <c r="J418" i="22"/>
  <c r="L418" i="22" s="1"/>
  <c r="N418" i="22" s="1"/>
  <c r="AJ189" i="15"/>
  <c r="E8" i="20"/>
  <c r="E8" i="18"/>
  <c r="E8" i="21"/>
  <c r="E8" i="19"/>
  <c r="K58" i="2"/>
  <c r="U58" i="2" s="1"/>
  <c r="K58" i="15"/>
  <c r="K52" i="2"/>
  <c r="U52" i="2" s="1"/>
  <c r="K52" i="15"/>
  <c r="Z177" i="15"/>
  <c r="K59" i="2"/>
  <c r="U59" i="2" s="1"/>
  <c r="K59" i="15"/>
  <c r="K38" i="2"/>
  <c r="U38" i="2" s="1"/>
  <c r="K38" i="15"/>
  <c r="K40" i="2"/>
  <c r="U40" i="2" s="1"/>
  <c r="K40" i="15"/>
  <c r="Z56" i="15"/>
  <c r="U56" i="15"/>
  <c r="G106" i="9"/>
  <c r="K106" i="9" s="1"/>
  <c r="K43" i="2"/>
  <c r="U43" i="2" s="1"/>
  <c r="K43" i="15"/>
  <c r="Z47" i="15"/>
  <c r="Z51" i="15"/>
  <c r="K57" i="2"/>
  <c r="U57" i="2" s="1"/>
  <c r="K57" i="15"/>
  <c r="Z46" i="15"/>
  <c r="E8" i="16"/>
  <c r="E8" i="17"/>
  <c r="K76" i="9"/>
  <c r="K94" i="9"/>
  <c r="K682" i="11"/>
  <c r="K611" i="11"/>
  <c r="K94" i="11"/>
  <c r="K703" i="11"/>
  <c r="K188" i="15" s="1"/>
  <c r="Z188" i="15" s="1"/>
  <c r="K717" i="11"/>
  <c r="N617" i="11"/>
  <c r="K260" i="11"/>
  <c r="K154" i="11"/>
  <c r="K108" i="11"/>
  <c r="L108" i="11" s="1"/>
  <c r="N108" i="11" s="1"/>
  <c r="J208" i="11"/>
  <c r="L208" i="11" s="1"/>
  <c r="N208" i="11" s="1"/>
  <c r="K163" i="11"/>
  <c r="G106" i="11"/>
  <c r="K106" i="11" s="1"/>
  <c r="K76" i="11"/>
  <c r="K181" i="2"/>
  <c r="U181" i="2" s="1"/>
  <c r="K304" i="11"/>
  <c r="L304" i="11" s="1"/>
  <c r="N304" i="11" s="1"/>
  <c r="K664" i="11"/>
  <c r="I105" i="9"/>
  <c r="I104" i="9"/>
  <c r="I103" i="9"/>
  <c r="I101" i="9"/>
  <c r="K101" i="9" s="1"/>
  <c r="I102" i="9"/>
  <c r="I100" i="9"/>
  <c r="J400" i="22" l="1"/>
  <c r="L400" i="22" s="1"/>
  <c r="N400" i="22" s="1"/>
  <c r="J432" i="24"/>
  <c r="L432" i="24" s="1"/>
  <c r="N432" i="24" s="1"/>
  <c r="J403" i="24"/>
  <c r="L403" i="24" s="1"/>
  <c r="N403" i="24" s="1"/>
  <c r="J424" i="24"/>
  <c r="L424" i="24" s="1"/>
  <c r="N424" i="24" s="1"/>
  <c r="J402" i="20"/>
  <c r="L402" i="20" s="1"/>
  <c r="N402" i="20" s="1"/>
  <c r="J440" i="24"/>
  <c r="L440" i="24" s="1"/>
  <c r="N440" i="24" s="1"/>
  <c r="J398" i="22"/>
  <c r="L398" i="22" s="1"/>
  <c r="N398" i="22" s="1"/>
  <c r="J430" i="24"/>
  <c r="L430" i="24" s="1"/>
  <c r="N430" i="24" s="1"/>
  <c r="U47" i="15"/>
  <c r="U46" i="15"/>
  <c r="J408" i="22"/>
  <c r="L408" i="22" s="1"/>
  <c r="N408" i="22" s="1"/>
  <c r="J392" i="22"/>
  <c r="L392" i="22" s="1"/>
  <c r="N392" i="22" s="1"/>
  <c r="U43" i="15"/>
  <c r="AJ47" i="15"/>
  <c r="AJ46" i="15"/>
  <c r="AJ56" i="15"/>
  <c r="AJ51" i="15"/>
  <c r="U51" i="15"/>
  <c r="J403" i="18"/>
  <c r="L403" i="18" s="1"/>
  <c r="N403" i="18" s="1"/>
  <c r="Z57" i="15"/>
  <c r="U57" i="15"/>
  <c r="Z40" i="15"/>
  <c r="U40" i="15"/>
  <c r="Z52" i="15"/>
  <c r="U52" i="15"/>
  <c r="K186" i="2"/>
  <c r="U186" i="2" s="1"/>
  <c r="K186" i="15"/>
  <c r="Z186" i="15" s="1"/>
  <c r="Z59" i="15"/>
  <c r="U59" i="15"/>
  <c r="K185" i="2"/>
  <c r="U185" i="2" s="1"/>
  <c r="K185" i="15"/>
  <c r="Z185" i="15" s="1"/>
  <c r="U38" i="15"/>
  <c r="Z38" i="15"/>
  <c r="Z58" i="15"/>
  <c r="U58" i="15"/>
  <c r="Z43" i="15"/>
  <c r="L703" i="11"/>
  <c r="N703" i="11" s="1"/>
  <c r="K188" i="2"/>
  <c r="U188" i="2" s="1"/>
  <c r="K72" i="11"/>
  <c r="L72" i="11" s="1"/>
  <c r="N72" i="11" s="1"/>
  <c r="G645" i="11"/>
  <c r="K644" i="11" s="1"/>
  <c r="K100" i="9"/>
  <c r="I99" i="9"/>
  <c r="K99" i="9" s="1"/>
  <c r="I98" i="9"/>
  <c r="K98" i="9" s="1"/>
  <c r="I97" i="9"/>
  <c r="K97" i="9" s="1"/>
  <c r="I96" i="9"/>
  <c r="K96" i="9" s="1"/>
  <c r="K102" i="9"/>
  <c r="K103" i="9"/>
  <c r="K104" i="9"/>
  <c r="K105" i="9"/>
  <c r="I95" i="9"/>
  <c r="K95" i="9" s="1"/>
  <c r="I90" i="9"/>
  <c r="K90" i="9" s="1"/>
  <c r="I92" i="9"/>
  <c r="I91" i="9"/>
  <c r="I88" i="9"/>
  <c r="I87" i="9"/>
  <c r="I86" i="9"/>
  <c r="I85" i="9"/>
  <c r="I84" i="9"/>
  <c r="I83" i="9"/>
  <c r="I82" i="9"/>
  <c r="I81" i="9"/>
  <c r="I80" i="9"/>
  <c r="K120" i="9"/>
  <c r="K118" i="9"/>
  <c r="J384" i="22" l="1"/>
  <c r="L384" i="22" s="1"/>
  <c r="N384" i="22" s="1"/>
  <c r="J416" i="24"/>
  <c r="L416" i="24" s="1"/>
  <c r="N416" i="24" s="1"/>
  <c r="AJ52" i="15"/>
  <c r="AJ43" i="15"/>
  <c r="AJ59" i="15"/>
  <c r="AJ57" i="15"/>
  <c r="AJ40" i="15"/>
  <c r="AJ58" i="15"/>
  <c r="K183" i="2"/>
  <c r="U183" i="2" s="1"/>
  <c r="K183" i="15"/>
  <c r="Z183" i="15" s="1"/>
  <c r="AJ38" i="15"/>
  <c r="I79" i="9"/>
  <c r="I78" i="9"/>
  <c r="I77" i="9" l="1"/>
  <c r="I75" i="9"/>
  <c r="I74" i="9"/>
  <c r="K77" i="9" l="1"/>
  <c r="K78" i="9"/>
  <c r="K79" i="9"/>
  <c r="K80" i="9"/>
  <c r="K81" i="9"/>
  <c r="K82" i="9"/>
  <c r="K83" i="9"/>
  <c r="K84" i="9"/>
  <c r="K85" i="9"/>
  <c r="K86" i="9"/>
  <c r="K87" i="9"/>
  <c r="K88" i="9"/>
  <c r="K89" i="9"/>
  <c r="K91" i="9"/>
  <c r="K92" i="9"/>
  <c r="K93" i="9"/>
  <c r="K75" i="9"/>
  <c r="K74" i="9"/>
  <c r="K72" i="9" l="1"/>
  <c r="L72" i="9"/>
  <c r="K599" i="9"/>
  <c r="K600" i="9"/>
  <c r="K601" i="9"/>
  <c r="K602" i="9"/>
  <c r="K598" i="9"/>
  <c r="K595" i="9" l="1"/>
  <c r="T15" i="2"/>
  <c r="T16" i="2"/>
  <c r="T17" i="2"/>
  <c r="T18" i="2"/>
  <c r="T19" i="2"/>
  <c r="T20" i="2"/>
  <c r="T21" i="2"/>
  <c r="T24" i="2"/>
  <c r="T25" i="2"/>
  <c r="T26" i="2"/>
  <c r="T27" i="2"/>
  <c r="T28" i="2"/>
  <c r="T31" i="2"/>
  <c r="T34" i="2"/>
  <c r="T35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0" i="2"/>
  <c r="T101" i="2"/>
  <c r="T102" i="2"/>
  <c r="T103" i="2"/>
  <c r="T104" i="2"/>
  <c r="T105" i="2"/>
  <c r="T106" i="2"/>
  <c r="T107" i="2"/>
  <c r="T108" i="2"/>
  <c r="T109" i="2"/>
  <c r="T110" i="2"/>
  <c r="T111" i="2"/>
  <c r="T112" i="2"/>
  <c r="T113" i="2"/>
  <c r="T114" i="2"/>
  <c r="T115" i="2"/>
  <c r="T116" i="2"/>
  <c r="T117" i="2"/>
  <c r="T118" i="2"/>
  <c r="T119" i="2"/>
  <c r="T120" i="2"/>
  <c r="T121" i="2"/>
  <c r="T122" i="2"/>
  <c r="T123" i="2"/>
  <c r="T124" i="2"/>
  <c r="T125" i="2"/>
  <c r="T126" i="2"/>
  <c r="T127" i="2"/>
  <c r="T128" i="2"/>
  <c r="T129" i="2"/>
  <c r="T130" i="2"/>
  <c r="T131" i="2"/>
  <c r="T132" i="2"/>
  <c r="T133" i="2"/>
  <c r="T134" i="2"/>
  <c r="T135" i="2"/>
  <c r="T136" i="2"/>
  <c r="T137" i="2"/>
  <c r="T138" i="2"/>
  <c r="T139" i="2"/>
  <c r="T140" i="2"/>
  <c r="T141" i="2"/>
  <c r="T142" i="2"/>
  <c r="T143" i="2"/>
  <c r="T144" i="2"/>
  <c r="T145" i="2"/>
  <c r="T146" i="2"/>
  <c r="T147" i="2"/>
  <c r="T148" i="2"/>
  <c r="T149" i="2"/>
  <c r="T150" i="2"/>
  <c r="T151" i="2"/>
  <c r="T152" i="2"/>
  <c r="T153" i="2"/>
  <c r="T154" i="2"/>
  <c r="T155" i="2"/>
  <c r="T156" i="2"/>
  <c r="T157" i="2"/>
  <c r="T158" i="2"/>
  <c r="T159" i="2"/>
  <c r="T160" i="2"/>
  <c r="T161" i="2"/>
  <c r="T162" i="2"/>
  <c r="T163" i="2"/>
  <c r="T164" i="2"/>
  <c r="T165" i="2"/>
  <c r="T166" i="2"/>
  <c r="T167" i="2"/>
  <c r="T168" i="2"/>
  <c r="T169" i="2"/>
  <c r="T170" i="2"/>
  <c r="T171" i="2"/>
  <c r="T172" i="2"/>
  <c r="T173" i="2"/>
  <c r="T174" i="2"/>
  <c r="T175" i="2"/>
  <c r="T176" i="2"/>
  <c r="T178" i="2"/>
  <c r="T179" i="2"/>
  <c r="T180" i="2"/>
  <c r="T182" i="2"/>
  <c r="T189" i="2"/>
  <c r="T190" i="2"/>
  <c r="T191" i="2"/>
  <c r="T192" i="2"/>
  <c r="T193" i="2"/>
  <c r="T194" i="2"/>
  <c r="T195" i="2"/>
  <c r="T14" i="2"/>
  <c r="K121" i="9" l="1"/>
  <c r="K583" i="9"/>
  <c r="K584" i="9"/>
  <c r="K585" i="9"/>
  <c r="K586" i="9"/>
  <c r="K587" i="9"/>
  <c r="K588" i="9"/>
  <c r="K589" i="9"/>
  <c r="K590" i="9"/>
  <c r="K591" i="9"/>
  <c r="K582" i="9"/>
  <c r="K172" i="9"/>
  <c r="K153" i="9"/>
  <c r="K152" i="9"/>
  <c r="K151" i="9"/>
  <c r="K150" i="9"/>
  <c r="K147" i="9"/>
  <c r="K149" i="9"/>
  <c r="K148" i="9"/>
  <c r="K146" i="9"/>
  <c r="K132" i="9"/>
  <c r="K145" i="9"/>
  <c r="K144" i="9"/>
  <c r="K143" i="9"/>
  <c r="K141" i="9"/>
  <c r="K142" i="9"/>
  <c r="K115" i="9"/>
  <c r="K140" i="9"/>
  <c r="K139" i="9"/>
  <c r="K138" i="9"/>
  <c r="K137" i="9"/>
  <c r="K136" i="9"/>
  <c r="K532" i="9"/>
  <c r="I541" i="9"/>
  <c r="K541" i="9" s="1"/>
  <c r="I540" i="9"/>
  <c r="K540" i="9" s="1"/>
  <c r="I539" i="9"/>
  <c r="K539" i="9" s="1"/>
  <c r="I538" i="9"/>
  <c r="K538" i="9" s="1"/>
  <c r="I537" i="9"/>
  <c r="K537" i="9" s="1"/>
  <c r="I536" i="9"/>
  <c r="K536" i="9" s="1"/>
  <c r="I535" i="9"/>
  <c r="K535" i="9" s="1"/>
  <c r="I534" i="9"/>
  <c r="K534" i="9" s="1"/>
  <c r="I533" i="9"/>
  <c r="K533" i="9" s="1"/>
  <c r="G580" i="9"/>
  <c r="K580" i="9" s="1"/>
  <c r="K569" i="9"/>
  <c r="I578" i="9"/>
  <c r="K578" i="9" s="1"/>
  <c r="I577" i="9"/>
  <c r="K577" i="9" s="1"/>
  <c r="I576" i="9"/>
  <c r="K576" i="9" s="1"/>
  <c r="I575" i="9"/>
  <c r="K575" i="9" s="1"/>
  <c r="I574" i="9"/>
  <c r="K574" i="9" s="1"/>
  <c r="I573" i="9"/>
  <c r="K573" i="9" s="1"/>
  <c r="I572" i="9"/>
  <c r="K572" i="9" s="1"/>
  <c r="I571" i="9"/>
  <c r="K571" i="9" s="1"/>
  <c r="I570" i="9"/>
  <c r="K570" i="9" s="1"/>
  <c r="I566" i="9"/>
  <c r="K566" i="9" s="1"/>
  <c r="I565" i="9"/>
  <c r="K565" i="9" s="1"/>
  <c r="I564" i="9"/>
  <c r="K564" i="9" s="1"/>
  <c r="I563" i="9"/>
  <c r="K563" i="9" s="1"/>
  <c r="I562" i="9"/>
  <c r="K562" i="9" s="1"/>
  <c r="I561" i="9"/>
  <c r="K561" i="9" s="1"/>
  <c r="I560" i="9"/>
  <c r="K560" i="9" s="1"/>
  <c r="I559" i="9"/>
  <c r="K559" i="9" s="1"/>
  <c r="I558" i="9"/>
  <c r="K558" i="9" s="1"/>
  <c r="I555" i="9"/>
  <c r="K555" i="9" s="1"/>
  <c r="I554" i="9"/>
  <c r="K554" i="9" s="1"/>
  <c r="I553" i="9"/>
  <c r="K553" i="9" s="1"/>
  <c r="I552" i="9"/>
  <c r="K552" i="9" s="1"/>
  <c r="I551" i="9"/>
  <c r="K551" i="9" s="1"/>
  <c r="I550" i="9"/>
  <c r="K550" i="9" s="1"/>
  <c r="I549" i="9"/>
  <c r="K549" i="9" s="1"/>
  <c r="I547" i="9"/>
  <c r="K547" i="9" s="1"/>
  <c r="I548" i="9"/>
  <c r="K548" i="9" s="1"/>
  <c r="J187" i="2" l="1"/>
  <c r="T187" i="2" s="1"/>
  <c r="J187" i="15"/>
  <c r="K581" i="9"/>
  <c r="K530" i="9"/>
  <c r="K567" i="9"/>
  <c r="G261" i="9"/>
  <c r="K260" i="9" s="1"/>
  <c r="T32" i="2" s="1"/>
  <c r="K340" i="9"/>
  <c r="K330" i="9"/>
  <c r="G70" i="9"/>
  <c r="K68" i="9" s="1"/>
  <c r="J23" i="15" s="1"/>
  <c r="K262" i="9"/>
  <c r="T29" i="2"/>
  <c r="J36" i="2" l="1"/>
  <c r="T36" i="2" s="1"/>
  <c r="J36" i="15"/>
  <c r="Y36" i="15" s="1"/>
  <c r="J37" i="2"/>
  <c r="T37" i="2" s="1"/>
  <c r="J37" i="15"/>
  <c r="Y37" i="15" s="1"/>
  <c r="J186" i="2"/>
  <c r="T186" i="2" s="1"/>
  <c r="J186" i="15"/>
  <c r="Y186" i="15" s="1"/>
  <c r="J181" i="2"/>
  <c r="T181" i="2" s="1"/>
  <c r="J181" i="15"/>
  <c r="Y181" i="15" s="1"/>
  <c r="J188" i="2"/>
  <c r="T188" i="2" s="1"/>
  <c r="J188" i="15"/>
  <c r="Y187" i="15"/>
  <c r="U187" i="15"/>
  <c r="J33" i="2"/>
  <c r="T33" i="2" s="1"/>
  <c r="J33" i="15"/>
  <c r="Y33" i="15" s="1"/>
  <c r="U23" i="15"/>
  <c r="Y23" i="15"/>
  <c r="J23" i="2"/>
  <c r="T23" i="2" s="1"/>
  <c r="K524" i="9"/>
  <c r="K208" i="9"/>
  <c r="T30" i="2" s="1"/>
  <c r="K25" i="9"/>
  <c r="K34" i="9"/>
  <c r="G178" i="9"/>
  <c r="G177" i="9"/>
  <c r="G176" i="9"/>
  <c r="G175" i="9"/>
  <c r="G174" i="9"/>
  <c r="K174" i="9" s="1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135" i="9"/>
  <c r="K134" i="9"/>
  <c r="K133" i="9"/>
  <c r="K131" i="9"/>
  <c r="K130" i="9"/>
  <c r="K129" i="9"/>
  <c r="K127" i="9"/>
  <c r="K128" i="9"/>
  <c r="K126" i="9"/>
  <c r="K125" i="9"/>
  <c r="K124" i="9"/>
  <c r="K343" i="9"/>
  <c r="G295" i="9"/>
  <c r="AJ23" i="15" l="1"/>
  <c r="AJ187" i="15"/>
  <c r="J22" i="2"/>
  <c r="T22" i="2" s="1"/>
  <c r="J22" i="15"/>
  <c r="Y22" i="15" s="1"/>
  <c r="J177" i="2"/>
  <c r="T177" i="2" s="1"/>
  <c r="J177" i="15"/>
  <c r="U188" i="15"/>
  <c r="Y188" i="15"/>
  <c r="K123" i="9"/>
  <c r="K122" i="9"/>
  <c r="K119" i="9"/>
  <c r="K117" i="9"/>
  <c r="K116" i="9"/>
  <c r="K114" i="9"/>
  <c r="K113" i="9"/>
  <c r="K112" i="9"/>
  <c r="K111" i="9"/>
  <c r="K110" i="9"/>
  <c r="M591" i="9"/>
  <c r="M590" i="9"/>
  <c r="M588" i="9"/>
  <c r="M587" i="9"/>
  <c r="M586" i="9"/>
  <c r="M585" i="9"/>
  <c r="M581" i="9"/>
  <c r="L581" i="9"/>
  <c r="M580" i="9"/>
  <c r="M567" i="9"/>
  <c r="K557" i="9"/>
  <c r="K556" i="9" s="1"/>
  <c r="M556" i="9"/>
  <c r="K546" i="9"/>
  <c r="K545" i="9" s="1"/>
  <c r="M545" i="9"/>
  <c r="M543" i="9"/>
  <c r="M542" i="9"/>
  <c r="K542" i="9"/>
  <c r="M530" i="9"/>
  <c r="M528" i="9"/>
  <c r="K528" i="9"/>
  <c r="M527" i="9"/>
  <c r="K527" i="9"/>
  <c r="M526" i="9"/>
  <c r="K526" i="9"/>
  <c r="M524" i="9"/>
  <c r="L524" i="9"/>
  <c r="M521" i="9"/>
  <c r="K521" i="9"/>
  <c r="K520" i="9"/>
  <c r="K519" i="9"/>
  <c r="M518" i="9"/>
  <c r="M517" i="9"/>
  <c r="K517" i="9"/>
  <c r="M515" i="9"/>
  <c r="K515" i="9"/>
  <c r="M514" i="9"/>
  <c r="K514" i="9"/>
  <c r="M513" i="9"/>
  <c r="K513" i="9"/>
  <c r="M512" i="9"/>
  <c r="K512" i="9"/>
  <c r="M511" i="9"/>
  <c r="K511" i="9"/>
  <c r="M510" i="9"/>
  <c r="K510" i="9"/>
  <c r="M509" i="9"/>
  <c r="K509" i="9"/>
  <c r="M508" i="9"/>
  <c r="K508" i="9"/>
  <c r="M507" i="9"/>
  <c r="K507" i="9"/>
  <c r="M506" i="9"/>
  <c r="K506" i="9"/>
  <c r="M505" i="9"/>
  <c r="K505" i="9"/>
  <c r="M504" i="9"/>
  <c r="K504" i="9"/>
  <c r="K503" i="9"/>
  <c r="M502" i="9"/>
  <c r="K502" i="9"/>
  <c r="M501" i="9"/>
  <c r="K501" i="9"/>
  <c r="M500" i="9"/>
  <c r="K500" i="9"/>
  <c r="M499" i="9"/>
  <c r="K499" i="9"/>
  <c r="M498" i="9"/>
  <c r="K498" i="9"/>
  <c r="M497" i="9"/>
  <c r="K497" i="9"/>
  <c r="M496" i="9"/>
  <c r="K496" i="9"/>
  <c r="M495" i="9"/>
  <c r="K495" i="9"/>
  <c r="M494" i="9"/>
  <c r="K494" i="9"/>
  <c r="M493" i="9"/>
  <c r="K493" i="9"/>
  <c r="M492" i="9"/>
  <c r="K492" i="9"/>
  <c r="M491" i="9"/>
  <c r="K491" i="9"/>
  <c r="M490" i="9"/>
  <c r="K490" i="9"/>
  <c r="M489" i="9"/>
  <c r="K489" i="9"/>
  <c r="M488" i="9"/>
  <c r="K488" i="9"/>
  <c r="M487" i="9"/>
  <c r="K487" i="9"/>
  <c r="M486" i="9"/>
  <c r="K486" i="9"/>
  <c r="M485" i="9"/>
  <c r="K485" i="9"/>
  <c r="M484" i="9"/>
  <c r="K484" i="9"/>
  <c r="M483" i="9"/>
  <c r="K483" i="9"/>
  <c r="M482" i="9"/>
  <c r="K482" i="9"/>
  <c r="M481" i="9"/>
  <c r="K481" i="9"/>
  <c r="K480" i="9"/>
  <c r="M479" i="9"/>
  <c r="K479" i="9"/>
  <c r="M478" i="9"/>
  <c r="K478" i="9"/>
  <c r="M477" i="9"/>
  <c r="K477" i="9"/>
  <c r="M476" i="9"/>
  <c r="K476" i="9"/>
  <c r="M475" i="9"/>
  <c r="K475" i="9"/>
  <c r="M474" i="9"/>
  <c r="K474" i="9"/>
  <c r="M473" i="9"/>
  <c r="K473" i="9"/>
  <c r="M472" i="9"/>
  <c r="K472" i="9"/>
  <c r="M471" i="9"/>
  <c r="K471" i="9"/>
  <c r="K470" i="9"/>
  <c r="M469" i="9"/>
  <c r="K469" i="9"/>
  <c r="M468" i="9"/>
  <c r="K468" i="9"/>
  <c r="M467" i="9"/>
  <c r="K467" i="9"/>
  <c r="M466" i="9"/>
  <c r="K466" i="9"/>
  <c r="M465" i="9"/>
  <c r="K465" i="9"/>
  <c r="M464" i="9"/>
  <c r="K464" i="9"/>
  <c r="M463" i="9"/>
  <c r="K463" i="9"/>
  <c r="M462" i="9"/>
  <c r="K462" i="9"/>
  <c r="K461" i="9"/>
  <c r="M460" i="9"/>
  <c r="K460" i="9"/>
  <c r="M459" i="9"/>
  <c r="K459" i="9"/>
  <c r="M458" i="9"/>
  <c r="K458" i="9"/>
  <c r="M457" i="9"/>
  <c r="K457" i="9"/>
  <c r="M456" i="9"/>
  <c r="K456" i="9"/>
  <c r="M455" i="9"/>
  <c r="K455" i="9"/>
  <c r="M454" i="9"/>
  <c r="K454" i="9"/>
  <c r="M453" i="9"/>
  <c r="K453" i="9"/>
  <c r="M452" i="9"/>
  <c r="K452" i="9"/>
  <c r="M451" i="9"/>
  <c r="K451" i="9"/>
  <c r="M450" i="9"/>
  <c r="K450" i="9"/>
  <c r="M449" i="9"/>
  <c r="K449" i="9"/>
  <c r="M448" i="9"/>
  <c r="K448" i="9"/>
  <c r="M447" i="9"/>
  <c r="K447" i="9"/>
  <c r="M446" i="9"/>
  <c r="K446" i="9"/>
  <c r="M445" i="9"/>
  <c r="K445" i="9"/>
  <c r="M444" i="9"/>
  <c r="K444" i="9"/>
  <c r="M443" i="9"/>
  <c r="K443" i="9"/>
  <c r="M442" i="9"/>
  <c r="K442" i="9"/>
  <c r="M441" i="9"/>
  <c r="K441" i="9"/>
  <c r="M440" i="9"/>
  <c r="K440" i="9"/>
  <c r="M439" i="9"/>
  <c r="K439" i="9"/>
  <c r="M438" i="9"/>
  <c r="K438" i="9"/>
  <c r="M437" i="9"/>
  <c r="K437" i="9"/>
  <c r="M436" i="9"/>
  <c r="K436" i="9"/>
  <c r="M435" i="9"/>
  <c r="K435" i="9"/>
  <c r="M434" i="9"/>
  <c r="K434" i="9"/>
  <c r="M433" i="9"/>
  <c r="K433" i="9"/>
  <c r="K432" i="9"/>
  <c r="M431" i="9"/>
  <c r="K431" i="9"/>
  <c r="M430" i="9"/>
  <c r="K430" i="9"/>
  <c r="M429" i="9"/>
  <c r="K429" i="9"/>
  <c r="M428" i="9"/>
  <c r="K428" i="9"/>
  <c r="M427" i="9"/>
  <c r="K427" i="9"/>
  <c r="M426" i="9"/>
  <c r="K426" i="9"/>
  <c r="M425" i="9"/>
  <c r="K425" i="9"/>
  <c r="K424" i="9"/>
  <c r="M423" i="9"/>
  <c r="K423" i="9"/>
  <c r="M422" i="9"/>
  <c r="K422" i="9"/>
  <c r="M421" i="9"/>
  <c r="K421" i="9"/>
  <c r="M420" i="9"/>
  <c r="K420" i="9"/>
  <c r="M419" i="9"/>
  <c r="K419" i="9"/>
  <c r="M418" i="9"/>
  <c r="K418" i="9"/>
  <c r="K417" i="9"/>
  <c r="M416" i="9"/>
  <c r="K416" i="9"/>
  <c r="M415" i="9"/>
  <c r="K415" i="9"/>
  <c r="M414" i="9"/>
  <c r="K414" i="9"/>
  <c r="M413" i="9"/>
  <c r="K413" i="9"/>
  <c r="M412" i="9"/>
  <c r="K412" i="9"/>
  <c r="M411" i="9"/>
  <c r="K411" i="9"/>
  <c r="M410" i="9"/>
  <c r="K410" i="9"/>
  <c r="M409" i="9"/>
  <c r="K409" i="9"/>
  <c r="K408" i="9"/>
  <c r="M407" i="9"/>
  <c r="K407" i="9"/>
  <c r="M406" i="9"/>
  <c r="K406" i="9"/>
  <c r="M405" i="9"/>
  <c r="K405" i="9"/>
  <c r="M404" i="9"/>
  <c r="K404" i="9"/>
  <c r="K403" i="9"/>
  <c r="M402" i="9"/>
  <c r="K402" i="9"/>
  <c r="M401" i="9"/>
  <c r="K401" i="9"/>
  <c r="M400" i="9"/>
  <c r="K400" i="9"/>
  <c r="M399" i="9"/>
  <c r="K399" i="9"/>
  <c r="K398" i="9"/>
  <c r="M397" i="9"/>
  <c r="K397" i="9"/>
  <c r="M396" i="9"/>
  <c r="K396" i="9"/>
  <c r="M395" i="9"/>
  <c r="K395" i="9"/>
  <c r="M394" i="9"/>
  <c r="K394" i="9"/>
  <c r="M393" i="9"/>
  <c r="K393" i="9"/>
  <c r="M392" i="9"/>
  <c r="K392" i="9"/>
  <c r="M391" i="9"/>
  <c r="K391" i="9"/>
  <c r="M390" i="9"/>
  <c r="K390" i="9"/>
  <c r="M389" i="9"/>
  <c r="K389" i="9"/>
  <c r="M388" i="9"/>
  <c r="K388" i="9"/>
  <c r="M387" i="9"/>
  <c r="K387" i="9"/>
  <c r="M386" i="9"/>
  <c r="K386" i="9"/>
  <c r="M385" i="9"/>
  <c r="K385" i="9"/>
  <c r="M384" i="9"/>
  <c r="K384" i="9"/>
  <c r="M383" i="9"/>
  <c r="K383" i="9"/>
  <c r="K382" i="9"/>
  <c r="M381" i="9"/>
  <c r="K381" i="9"/>
  <c r="G380" i="9"/>
  <c r="K380" i="9" s="1"/>
  <c r="G379" i="9"/>
  <c r="K379" i="9" s="1"/>
  <c r="G378" i="9"/>
  <c r="K378" i="9" s="1"/>
  <c r="G377" i="9"/>
  <c r="K377" i="9" s="1"/>
  <c r="G376" i="9"/>
  <c r="K376" i="9" s="1"/>
  <c r="G375" i="9"/>
  <c r="K375" i="9" s="1"/>
  <c r="G374" i="9"/>
  <c r="K374" i="9" s="1"/>
  <c r="G373" i="9"/>
  <c r="K373" i="9" s="1"/>
  <c r="G372" i="9"/>
  <c r="K372" i="9" s="1"/>
  <c r="G371" i="9"/>
  <c r="K371" i="9" s="1"/>
  <c r="G370" i="9"/>
  <c r="K370" i="9" s="1"/>
  <c r="G369" i="9"/>
  <c r="K369" i="9" s="1"/>
  <c r="G368" i="9"/>
  <c r="K368" i="9" s="1"/>
  <c r="G367" i="9"/>
  <c r="K367" i="9" s="1"/>
  <c r="G366" i="9"/>
  <c r="K366" i="9" s="1"/>
  <c r="G365" i="9"/>
  <c r="K365" i="9" s="1"/>
  <c r="G364" i="9"/>
  <c r="K364" i="9" s="1"/>
  <c r="G363" i="9"/>
  <c r="K363" i="9" s="1"/>
  <c r="G362" i="9"/>
  <c r="K362" i="9" s="1"/>
  <c r="G361" i="9"/>
  <c r="K361" i="9" s="1"/>
  <c r="G360" i="9"/>
  <c r="K360" i="9" s="1"/>
  <c r="G359" i="9"/>
  <c r="K359" i="9" s="1"/>
  <c r="G358" i="9"/>
  <c r="K358" i="9" s="1"/>
  <c r="G357" i="9"/>
  <c r="K357" i="9" s="1"/>
  <c r="G356" i="9"/>
  <c r="K356" i="9" s="1"/>
  <c r="G355" i="9"/>
  <c r="K355" i="9" s="1"/>
  <c r="G354" i="9"/>
  <c r="K354" i="9" s="1"/>
  <c r="G353" i="9"/>
  <c r="K353" i="9" s="1"/>
  <c r="G352" i="9"/>
  <c r="K352" i="9" s="1"/>
  <c r="G351" i="9"/>
  <c r="K351" i="9" s="1"/>
  <c r="K349" i="9"/>
  <c r="K348" i="9"/>
  <c r="K347" i="9"/>
  <c r="K346" i="9"/>
  <c r="K345" i="9"/>
  <c r="K344" i="9"/>
  <c r="M340" i="9"/>
  <c r="G338" i="9"/>
  <c r="K338" i="9" s="1"/>
  <c r="G337" i="9"/>
  <c r="K337" i="9" s="1"/>
  <c r="G336" i="9"/>
  <c r="K336" i="9" s="1"/>
  <c r="G335" i="9"/>
  <c r="K335" i="9" s="1"/>
  <c r="G334" i="9"/>
  <c r="K334" i="9" s="1"/>
  <c r="G333" i="9"/>
  <c r="K333" i="9" s="1"/>
  <c r="G332" i="9"/>
  <c r="K332" i="9" s="1"/>
  <c r="M330" i="9"/>
  <c r="G329" i="9"/>
  <c r="K329" i="9" s="1"/>
  <c r="G328" i="9"/>
  <c r="K328" i="9" s="1"/>
  <c r="G327" i="9"/>
  <c r="K327" i="9" s="1"/>
  <c r="G326" i="9"/>
  <c r="K326" i="9" s="1"/>
  <c r="G325" i="9"/>
  <c r="K325" i="9" s="1"/>
  <c r="G324" i="9"/>
  <c r="K324" i="9" s="1"/>
  <c r="G323" i="9"/>
  <c r="K323" i="9" s="1"/>
  <c r="G322" i="9"/>
  <c r="K322" i="9" s="1"/>
  <c r="G321" i="9"/>
  <c r="K321" i="9" s="1"/>
  <c r="G320" i="9"/>
  <c r="K320" i="9" s="1"/>
  <c r="G319" i="9"/>
  <c r="K319" i="9" s="1"/>
  <c r="G318" i="9"/>
  <c r="K318" i="9" s="1"/>
  <c r="G317" i="9"/>
  <c r="K317" i="9" s="1"/>
  <c r="G316" i="9"/>
  <c r="K316" i="9" s="1"/>
  <c r="G315" i="9"/>
  <c r="K315" i="9" s="1"/>
  <c r="G314" i="9"/>
  <c r="K314" i="9" s="1"/>
  <c r="G313" i="9"/>
  <c r="K313" i="9" s="1"/>
  <c r="G312" i="9"/>
  <c r="K312" i="9" s="1"/>
  <c r="G311" i="9"/>
  <c r="K311" i="9" s="1"/>
  <c r="G310" i="9"/>
  <c r="K310" i="9" s="1"/>
  <c r="G309" i="9"/>
  <c r="K309" i="9" s="1"/>
  <c r="G308" i="9"/>
  <c r="K308" i="9" s="1"/>
  <c r="G307" i="9"/>
  <c r="K307" i="9" s="1"/>
  <c r="M304" i="9"/>
  <c r="K303" i="9"/>
  <c r="K302" i="9" s="1"/>
  <c r="M302" i="9"/>
  <c r="G301" i="9"/>
  <c r="K301" i="9" s="1"/>
  <c r="G300" i="9"/>
  <c r="K300" i="9" s="1"/>
  <c r="G299" i="9"/>
  <c r="K299" i="9" s="1"/>
  <c r="G298" i="9"/>
  <c r="K298" i="9" s="1"/>
  <c r="G297" i="9"/>
  <c r="K297" i="9" s="1"/>
  <c r="G296" i="9"/>
  <c r="K296" i="9" s="1"/>
  <c r="K295" i="9"/>
  <c r="G293" i="9"/>
  <c r="K293" i="9" s="1"/>
  <c r="G292" i="9"/>
  <c r="K292" i="9" s="1"/>
  <c r="G291" i="9"/>
  <c r="K291" i="9" s="1"/>
  <c r="G290" i="9"/>
  <c r="K290" i="9" s="1"/>
  <c r="G289" i="9"/>
  <c r="K289" i="9" s="1"/>
  <c r="G288" i="9"/>
  <c r="K288" i="9" s="1"/>
  <c r="G287" i="9"/>
  <c r="K287" i="9" s="1"/>
  <c r="G286" i="9"/>
  <c r="K286" i="9" s="1"/>
  <c r="G285" i="9"/>
  <c r="K285" i="9" s="1"/>
  <c r="G284" i="9"/>
  <c r="K284" i="9" s="1"/>
  <c r="G283" i="9"/>
  <c r="K283" i="9" s="1"/>
  <c r="G282" i="9"/>
  <c r="K282" i="9" s="1"/>
  <c r="G281" i="9"/>
  <c r="K281" i="9" s="1"/>
  <c r="G280" i="9"/>
  <c r="K280" i="9" s="1"/>
  <c r="G279" i="9"/>
  <c r="K279" i="9" s="1"/>
  <c r="G278" i="9"/>
  <c r="K278" i="9" s="1"/>
  <c r="G277" i="9"/>
  <c r="K277" i="9" s="1"/>
  <c r="G276" i="9"/>
  <c r="K276" i="9" s="1"/>
  <c r="G275" i="9"/>
  <c r="K275" i="9" s="1"/>
  <c r="G274" i="9"/>
  <c r="K274" i="9" s="1"/>
  <c r="G273" i="9"/>
  <c r="K273" i="9" s="1"/>
  <c r="G272" i="9"/>
  <c r="K272" i="9" s="1"/>
  <c r="G271" i="9"/>
  <c r="K271" i="9" s="1"/>
  <c r="G270" i="9"/>
  <c r="K270" i="9" s="1"/>
  <c r="G269" i="9"/>
  <c r="K269" i="9" s="1"/>
  <c r="G268" i="9"/>
  <c r="K268" i="9" s="1"/>
  <c r="G267" i="9"/>
  <c r="K267" i="9" s="1"/>
  <c r="G266" i="9"/>
  <c r="K266" i="9" s="1"/>
  <c r="G265" i="9"/>
  <c r="K265" i="9" s="1"/>
  <c r="G264" i="9"/>
  <c r="K264" i="9" s="1"/>
  <c r="M262" i="9"/>
  <c r="M260" i="9"/>
  <c r="M257" i="9"/>
  <c r="K257" i="9"/>
  <c r="K256" i="9"/>
  <c r="K255" i="9"/>
  <c r="K254" i="9"/>
  <c r="K253" i="9"/>
  <c r="K252" i="9"/>
  <c r="K251" i="9"/>
  <c r="K250" i="9"/>
  <c r="K248" i="9"/>
  <c r="K247" i="9"/>
  <c r="K246" i="9"/>
  <c r="K245" i="9"/>
  <c r="K244" i="9"/>
  <c r="K243" i="9"/>
  <c r="K242" i="9"/>
  <c r="K241" i="9"/>
  <c r="K240" i="9"/>
  <c r="K239" i="9"/>
  <c r="K238" i="9"/>
  <c r="K237" i="9"/>
  <c r="K236" i="9"/>
  <c r="K235" i="9"/>
  <c r="K234" i="9"/>
  <c r="K233" i="9"/>
  <c r="K232" i="9"/>
  <c r="K231" i="9"/>
  <c r="K230" i="9"/>
  <c r="K229" i="9"/>
  <c r="K228" i="9"/>
  <c r="K227" i="9"/>
  <c r="K226" i="9"/>
  <c r="K225" i="9"/>
  <c r="K224" i="9"/>
  <c r="K223" i="9"/>
  <c r="K222" i="9"/>
  <c r="K221" i="9"/>
  <c r="K220" i="9"/>
  <c r="K219" i="9"/>
  <c r="K218" i="9"/>
  <c r="K216" i="9"/>
  <c r="K215" i="9"/>
  <c r="K214" i="9"/>
  <c r="K213" i="9"/>
  <c r="K212" i="9"/>
  <c r="K211" i="9"/>
  <c r="K210" i="9"/>
  <c r="M208" i="9"/>
  <c r="G207" i="9"/>
  <c r="K207" i="9" s="1"/>
  <c r="G206" i="9"/>
  <c r="K206" i="9" s="1"/>
  <c r="G205" i="9"/>
  <c r="K205" i="9" s="1"/>
  <c r="G204" i="9"/>
  <c r="K204" i="9" s="1"/>
  <c r="G203" i="9"/>
  <c r="K203" i="9" s="1"/>
  <c r="G202" i="9"/>
  <c r="K202" i="9" s="1"/>
  <c r="G201" i="9"/>
  <c r="K201" i="9" s="1"/>
  <c r="M172" i="9"/>
  <c r="K171" i="9"/>
  <c r="K170" i="9"/>
  <c r="K169" i="9"/>
  <c r="K168" i="9"/>
  <c r="K167" i="9"/>
  <c r="K166" i="9"/>
  <c r="K165" i="9"/>
  <c r="M163" i="9"/>
  <c r="K162" i="9"/>
  <c r="K161" i="9"/>
  <c r="K160" i="9"/>
  <c r="K159" i="9"/>
  <c r="K158" i="9"/>
  <c r="K157" i="9"/>
  <c r="K156" i="9"/>
  <c r="M154" i="9"/>
  <c r="M108" i="9"/>
  <c r="M72" i="9"/>
  <c r="M68" i="9"/>
  <c r="K41" i="9"/>
  <c r="K40" i="9"/>
  <c r="K39" i="9"/>
  <c r="K38" i="9"/>
  <c r="K37" i="9"/>
  <c r="K36" i="9"/>
  <c r="K35" i="9"/>
  <c r="K33" i="9"/>
  <c r="K32" i="9"/>
  <c r="K31" i="9"/>
  <c r="K30" i="9"/>
  <c r="K29" i="9"/>
  <c r="K28" i="9"/>
  <c r="K27" i="9"/>
  <c r="M25" i="9"/>
  <c r="M24" i="9"/>
  <c r="K24" i="9"/>
  <c r="K22" i="9"/>
  <c r="K21" i="9" s="1"/>
  <c r="M21" i="9"/>
  <c r="K20" i="9"/>
  <c r="K19" i="9" s="1"/>
  <c r="M19" i="9"/>
  <c r="K18" i="9"/>
  <c r="K17" i="9" s="1"/>
  <c r="M17" i="9"/>
  <c r="M16" i="9"/>
  <c r="K16" i="9"/>
  <c r="M15" i="9"/>
  <c r="K15" i="9"/>
  <c r="M14" i="9"/>
  <c r="K14" i="9"/>
  <c r="K111" i="5"/>
  <c r="K423" i="5"/>
  <c r="K422" i="5"/>
  <c r="K418" i="5"/>
  <c r="K139" i="5"/>
  <c r="K148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0" i="5"/>
  <c r="K109" i="5"/>
  <c r="K107" i="5"/>
  <c r="K106" i="5"/>
  <c r="K105" i="5"/>
  <c r="K104" i="5"/>
  <c r="K103" i="5"/>
  <c r="K102" i="5"/>
  <c r="K101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G277" i="5"/>
  <c r="K277" i="5" s="1"/>
  <c r="G276" i="5"/>
  <c r="K276" i="5" s="1"/>
  <c r="G275" i="5"/>
  <c r="K275" i="5" s="1"/>
  <c r="G274" i="5"/>
  <c r="K274" i="5" s="1"/>
  <c r="G273" i="5"/>
  <c r="K273" i="5" s="1"/>
  <c r="G272" i="5"/>
  <c r="K272" i="5" s="1"/>
  <c r="G271" i="5"/>
  <c r="K271" i="5" s="1"/>
  <c r="G270" i="5"/>
  <c r="K270" i="5" s="1"/>
  <c r="G269" i="5"/>
  <c r="K269" i="5" s="1"/>
  <c r="G268" i="5"/>
  <c r="K268" i="5" s="1"/>
  <c r="G267" i="5"/>
  <c r="K267" i="5" s="1"/>
  <c r="G266" i="5"/>
  <c r="K266" i="5" s="1"/>
  <c r="G265" i="5"/>
  <c r="K265" i="5" s="1"/>
  <c r="G264" i="5"/>
  <c r="K264" i="5" s="1"/>
  <c r="G263" i="5"/>
  <c r="K263" i="5" s="1"/>
  <c r="G262" i="5"/>
  <c r="K262" i="5" s="1"/>
  <c r="G261" i="5"/>
  <c r="K261" i="5" s="1"/>
  <c r="G260" i="5"/>
  <c r="K260" i="5" s="1"/>
  <c r="G259" i="5"/>
  <c r="K259" i="5" s="1"/>
  <c r="G258" i="5"/>
  <c r="K258" i="5" s="1"/>
  <c r="G257" i="5"/>
  <c r="K257" i="5" s="1"/>
  <c r="G256" i="5"/>
  <c r="K256" i="5" s="1"/>
  <c r="G255" i="5"/>
  <c r="K255" i="5" s="1"/>
  <c r="G254" i="5"/>
  <c r="K254" i="5" s="1"/>
  <c r="G253" i="5"/>
  <c r="K253" i="5" s="1"/>
  <c r="G252" i="5"/>
  <c r="K252" i="5" s="1"/>
  <c r="G251" i="5"/>
  <c r="K251" i="5" s="1"/>
  <c r="G250" i="5"/>
  <c r="K250" i="5" s="1"/>
  <c r="G249" i="5"/>
  <c r="K249" i="5" s="1"/>
  <c r="G248" i="5"/>
  <c r="K248" i="5" s="1"/>
  <c r="G155" i="5"/>
  <c r="K155" i="5" s="1"/>
  <c r="G156" i="5"/>
  <c r="K156" i="5" s="1"/>
  <c r="G157" i="5"/>
  <c r="K157" i="5" s="1"/>
  <c r="G158" i="5"/>
  <c r="K158" i="5" s="1"/>
  <c r="G159" i="5"/>
  <c r="K159" i="5" s="1"/>
  <c r="G160" i="5"/>
  <c r="K160" i="5" s="1"/>
  <c r="G161" i="5"/>
  <c r="K161" i="5" s="1"/>
  <c r="G162" i="5"/>
  <c r="K162" i="5" s="1"/>
  <c r="G163" i="5"/>
  <c r="K163" i="5" s="1"/>
  <c r="G164" i="5"/>
  <c r="K164" i="5" s="1"/>
  <c r="G165" i="5"/>
  <c r="K165" i="5" s="1"/>
  <c r="G166" i="5"/>
  <c r="K166" i="5" s="1"/>
  <c r="G167" i="5"/>
  <c r="K167" i="5" s="1"/>
  <c r="G168" i="5"/>
  <c r="K168" i="5" s="1"/>
  <c r="G169" i="5"/>
  <c r="K169" i="5" s="1"/>
  <c r="G170" i="5"/>
  <c r="K170" i="5" s="1"/>
  <c r="G171" i="5"/>
  <c r="K171" i="5" s="1"/>
  <c r="G172" i="5"/>
  <c r="K172" i="5" s="1"/>
  <c r="G173" i="5"/>
  <c r="K173" i="5" s="1"/>
  <c r="G174" i="5"/>
  <c r="K174" i="5" s="1"/>
  <c r="G175" i="5"/>
  <c r="K175" i="5" s="1"/>
  <c r="G176" i="5"/>
  <c r="K176" i="5" s="1"/>
  <c r="G177" i="5"/>
  <c r="K177" i="5" s="1"/>
  <c r="G178" i="5"/>
  <c r="K178" i="5" s="1"/>
  <c r="G179" i="5"/>
  <c r="K179" i="5" s="1"/>
  <c r="G180" i="5"/>
  <c r="K180" i="5" s="1"/>
  <c r="G181" i="5"/>
  <c r="K181" i="5" s="1"/>
  <c r="G182" i="5"/>
  <c r="K182" i="5" s="1"/>
  <c r="G183" i="5"/>
  <c r="K183" i="5" s="1"/>
  <c r="G184" i="5"/>
  <c r="K184" i="5" s="1"/>
  <c r="G186" i="5"/>
  <c r="K186" i="5" s="1"/>
  <c r="G187" i="5"/>
  <c r="K187" i="5" s="1"/>
  <c r="G188" i="5"/>
  <c r="K188" i="5" s="1"/>
  <c r="G189" i="5"/>
  <c r="K189" i="5" s="1"/>
  <c r="G190" i="5"/>
  <c r="K190" i="5" s="1"/>
  <c r="G191" i="5"/>
  <c r="K191" i="5" s="1"/>
  <c r="G192" i="5"/>
  <c r="K192" i="5" s="1"/>
  <c r="K194" i="5"/>
  <c r="K193" i="5" s="1"/>
  <c r="I34" i="15" s="1"/>
  <c r="G198" i="5"/>
  <c r="K198" i="5" s="1"/>
  <c r="G199" i="5"/>
  <c r="K199" i="5" s="1"/>
  <c r="G200" i="5"/>
  <c r="K200" i="5" s="1"/>
  <c r="G201" i="5"/>
  <c r="K201" i="5" s="1"/>
  <c r="G202" i="5"/>
  <c r="K202" i="5" s="1"/>
  <c r="G203" i="5"/>
  <c r="K203" i="5" s="1"/>
  <c r="G204" i="5"/>
  <c r="K204" i="5" s="1"/>
  <c r="G205" i="5"/>
  <c r="K205" i="5" s="1"/>
  <c r="G206" i="5"/>
  <c r="K206" i="5" s="1"/>
  <c r="G207" i="5"/>
  <c r="K207" i="5" s="1"/>
  <c r="G208" i="5"/>
  <c r="K208" i="5" s="1"/>
  <c r="G209" i="5"/>
  <c r="K209" i="5" s="1"/>
  <c r="G210" i="5"/>
  <c r="K210" i="5" s="1"/>
  <c r="G211" i="5"/>
  <c r="K211" i="5" s="1"/>
  <c r="G212" i="5"/>
  <c r="K212" i="5" s="1"/>
  <c r="G213" i="5"/>
  <c r="K213" i="5" s="1"/>
  <c r="G214" i="5"/>
  <c r="K214" i="5" s="1"/>
  <c r="G215" i="5"/>
  <c r="K215" i="5" s="1"/>
  <c r="G216" i="5"/>
  <c r="K216" i="5" s="1"/>
  <c r="G217" i="5"/>
  <c r="K217" i="5" s="1"/>
  <c r="G218" i="5"/>
  <c r="K218" i="5" s="1"/>
  <c r="G219" i="5"/>
  <c r="K219" i="5" s="1"/>
  <c r="G220" i="5"/>
  <c r="K220" i="5" s="1"/>
  <c r="G223" i="5"/>
  <c r="K223" i="5" s="1"/>
  <c r="G224" i="5"/>
  <c r="K224" i="5" s="1"/>
  <c r="G225" i="5"/>
  <c r="K225" i="5" s="1"/>
  <c r="G226" i="5"/>
  <c r="K226" i="5" s="1"/>
  <c r="G227" i="5"/>
  <c r="K227" i="5" s="1"/>
  <c r="G228" i="5"/>
  <c r="K228" i="5" s="1"/>
  <c r="G229" i="5"/>
  <c r="K229" i="5" s="1"/>
  <c r="K240" i="5"/>
  <c r="K241" i="5"/>
  <c r="K242" i="5"/>
  <c r="K243" i="5"/>
  <c r="K244" i="5"/>
  <c r="K245" i="5"/>
  <c r="K246" i="5"/>
  <c r="K70" i="5"/>
  <c r="K69" i="5"/>
  <c r="K68" i="5"/>
  <c r="K67" i="5"/>
  <c r="K66" i="5"/>
  <c r="K65" i="5"/>
  <c r="K64" i="5"/>
  <c r="K63" i="5"/>
  <c r="K62" i="5"/>
  <c r="K60" i="5"/>
  <c r="K61" i="5"/>
  <c r="K56" i="5"/>
  <c r="K59" i="5"/>
  <c r="K58" i="5"/>
  <c r="K57" i="5"/>
  <c r="M423" i="5"/>
  <c r="AJ188" i="15" l="1"/>
  <c r="U34" i="15"/>
  <c r="X34" i="15"/>
  <c r="I178" i="2"/>
  <c r="S178" i="2" s="1"/>
  <c r="I178" i="15"/>
  <c r="X178" i="15" s="1"/>
  <c r="J184" i="2"/>
  <c r="T184" i="2" s="1"/>
  <c r="J184" i="15"/>
  <c r="Y184" i="15" s="1"/>
  <c r="I179" i="2"/>
  <c r="I179" i="15"/>
  <c r="X179" i="15" s="1"/>
  <c r="Y177" i="15"/>
  <c r="U177" i="15"/>
  <c r="I176" i="2"/>
  <c r="S176" i="2" s="1"/>
  <c r="I176" i="15"/>
  <c r="J185" i="2"/>
  <c r="T185" i="2" s="1"/>
  <c r="J185" i="15"/>
  <c r="Y185" i="15" s="1"/>
  <c r="J208" i="9"/>
  <c r="L208" i="9" s="1"/>
  <c r="N208" i="9" s="1"/>
  <c r="N581" i="9"/>
  <c r="N524" i="9"/>
  <c r="G544" i="9"/>
  <c r="K543" i="9" s="1"/>
  <c r="K163" i="9"/>
  <c r="K304" i="9"/>
  <c r="L304" i="9" s="1"/>
  <c r="N304" i="9" s="1"/>
  <c r="K108" i="9"/>
  <c r="K518" i="9"/>
  <c r="K261" i="9"/>
  <c r="K154" i="9"/>
  <c r="K238" i="5"/>
  <c r="K221" i="5"/>
  <c r="I36" i="15" s="1"/>
  <c r="K195" i="5"/>
  <c r="K153" i="5"/>
  <c r="I33" i="15" s="1"/>
  <c r="K54" i="5"/>
  <c r="I26" i="15" s="1"/>
  <c r="I34" i="2"/>
  <c r="K142" i="5"/>
  <c r="K143" i="5"/>
  <c r="K144" i="5"/>
  <c r="K145" i="5"/>
  <c r="K146" i="5"/>
  <c r="K147" i="5"/>
  <c r="K141" i="5"/>
  <c r="G98" i="5"/>
  <c r="K98" i="5" s="1"/>
  <c r="G97" i="5"/>
  <c r="K97" i="5" s="1"/>
  <c r="G96" i="5"/>
  <c r="K96" i="5" s="1"/>
  <c r="G95" i="5"/>
  <c r="K95" i="5" s="1"/>
  <c r="G94" i="5"/>
  <c r="K94" i="5" s="1"/>
  <c r="G93" i="5"/>
  <c r="K93" i="5" s="1"/>
  <c r="G92" i="5"/>
  <c r="K92" i="5" s="1"/>
  <c r="K89" i="5"/>
  <c r="K88" i="5"/>
  <c r="K87" i="5"/>
  <c r="K86" i="5"/>
  <c r="K85" i="5"/>
  <c r="K84" i="5"/>
  <c r="K83" i="5"/>
  <c r="K74" i="5"/>
  <c r="K75" i="5"/>
  <c r="K76" i="5"/>
  <c r="K77" i="5"/>
  <c r="K78" i="5"/>
  <c r="K79" i="5"/>
  <c r="K80" i="5"/>
  <c r="S19" i="2"/>
  <c r="K36" i="5"/>
  <c r="K37" i="5"/>
  <c r="K38" i="5"/>
  <c r="K39" i="5"/>
  <c r="K40" i="5"/>
  <c r="K41" i="5"/>
  <c r="K35" i="5"/>
  <c r="K22" i="5"/>
  <c r="K21" i="5" s="1"/>
  <c r="K20" i="5"/>
  <c r="K19" i="5" s="1"/>
  <c r="S18" i="2" s="1"/>
  <c r="K18" i="5"/>
  <c r="K17" i="5" s="1"/>
  <c r="M448" i="5"/>
  <c r="M447" i="5"/>
  <c r="M445" i="5"/>
  <c r="M444" i="5"/>
  <c r="M443" i="5"/>
  <c r="M442" i="5"/>
  <c r="M441" i="5"/>
  <c r="M440" i="5"/>
  <c r="K439" i="5"/>
  <c r="K438" i="5"/>
  <c r="M437" i="5"/>
  <c r="K436" i="5"/>
  <c r="K435" i="5" s="1"/>
  <c r="M435" i="5"/>
  <c r="K434" i="5"/>
  <c r="K433" i="5" s="1"/>
  <c r="M433" i="5"/>
  <c r="M431" i="5"/>
  <c r="M430" i="5"/>
  <c r="K430" i="5"/>
  <c r="K428" i="5"/>
  <c r="K427" i="5"/>
  <c r="M426" i="5"/>
  <c r="M424" i="5"/>
  <c r="K424" i="5"/>
  <c r="M422" i="5"/>
  <c r="M421" i="5"/>
  <c r="M418" i="5"/>
  <c r="K417" i="5"/>
  <c r="K416" i="5"/>
  <c r="M415" i="5"/>
  <c r="M414" i="5"/>
  <c r="K414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6" i="5"/>
  <c r="M375" i="5"/>
  <c r="M374" i="5"/>
  <c r="M373" i="5"/>
  <c r="M372" i="5"/>
  <c r="M371" i="5"/>
  <c r="M370" i="5"/>
  <c r="M369" i="5"/>
  <c r="M368" i="5"/>
  <c r="M366" i="5"/>
  <c r="M365" i="5"/>
  <c r="M364" i="5"/>
  <c r="M363" i="5"/>
  <c r="M362" i="5"/>
  <c r="M361" i="5"/>
  <c r="M360" i="5"/>
  <c r="M359" i="5"/>
  <c r="M357" i="5"/>
  <c r="M356" i="5"/>
  <c r="M355" i="5"/>
  <c r="M354" i="5"/>
  <c r="M353" i="5"/>
  <c r="M352" i="5"/>
  <c r="M351" i="5"/>
  <c r="M350" i="5"/>
  <c r="M349" i="5"/>
  <c r="M348" i="5"/>
  <c r="M347" i="5"/>
  <c r="M346" i="5"/>
  <c r="M345" i="5"/>
  <c r="M344" i="5"/>
  <c r="M343" i="5"/>
  <c r="M342" i="5"/>
  <c r="M341" i="5"/>
  <c r="M340" i="5"/>
  <c r="M339" i="5"/>
  <c r="M338" i="5"/>
  <c r="M337" i="5"/>
  <c r="M336" i="5"/>
  <c r="M335" i="5"/>
  <c r="M334" i="5"/>
  <c r="M333" i="5"/>
  <c r="M332" i="5"/>
  <c r="M331" i="5"/>
  <c r="M330" i="5"/>
  <c r="M328" i="5"/>
  <c r="M327" i="5"/>
  <c r="M326" i="5"/>
  <c r="M325" i="5"/>
  <c r="M324" i="5"/>
  <c r="M323" i="5"/>
  <c r="M322" i="5"/>
  <c r="M320" i="5"/>
  <c r="M319" i="5"/>
  <c r="M318" i="5"/>
  <c r="M317" i="5"/>
  <c r="M316" i="5"/>
  <c r="M315" i="5"/>
  <c r="M313" i="5"/>
  <c r="M312" i="5"/>
  <c r="M311" i="5"/>
  <c r="M310" i="5"/>
  <c r="M309" i="5"/>
  <c r="M308" i="5"/>
  <c r="M307" i="5"/>
  <c r="M306" i="5"/>
  <c r="M304" i="5"/>
  <c r="M303" i="5"/>
  <c r="M302" i="5"/>
  <c r="M301" i="5"/>
  <c r="M299" i="5"/>
  <c r="M298" i="5"/>
  <c r="M297" i="5"/>
  <c r="M296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8" i="5"/>
  <c r="M238" i="5"/>
  <c r="M221" i="5"/>
  <c r="M195" i="5"/>
  <c r="M193" i="5"/>
  <c r="M153" i="5"/>
  <c r="M151" i="5"/>
  <c r="M148" i="5"/>
  <c r="M99" i="5"/>
  <c r="M90" i="5"/>
  <c r="M81" i="5"/>
  <c r="M72" i="5"/>
  <c r="M54" i="5"/>
  <c r="M52" i="5"/>
  <c r="M48" i="5"/>
  <c r="K33" i="5"/>
  <c r="K32" i="5"/>
  <c r="K31" i="5"/>
  <c r="K30" i="5"/>
  <c r="K29" i="5"/>
  <c r="K28" i="5"/>
  <c r="K27" i="5"/>
  <c r="M25" i="5"/>
  <c r="M24" i="5"/>
  <c r="K24" i="5"/>
  <c r="M21" i="5"/>
  <c r="M19" i="5"/>
  <c r="M17" i="5"/>
  <c r="M16" i="5"/>
  <c r="K16" i="5"/>
  <c r="M15" i="5"/>
  <c r="K15" i="5"/>
  <c r="M14" i="5"/>
  <c r="K14" i="5"/>
  <c r="S20" i="2"/>
  <c r="S21" i="2"/>
  <c r="S23" i="2"/>
  <c r="S24" i="2"/>
  <c r="S25" i="2"/>
  <c r="S27" i="2"/>
  <c r="S28" i="2"/>
  <c r="S35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55" i="2"/>
  <c r="S56" i="2"/>
  <c r="S57" i="2"/>
  <c r="S58" i="2"/>
  <c r="S59" i="2"/>
  <c r="S60" i="2"/>
  <c r="S61" i="2"/>
  <c r="S62" i="2"/>
  <c r="S63" i="2"/>
  <c r="S64" i="2"/>
  <c r="S65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2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2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S148" i="2"/>
  <c r="S149" i="2"/>
  <c r="S150" i="2"/>
  <c r="S151" i="2"/>
  <c r="S152" i="2"/>
  <c r="S153" i="2"/>
  <c r="S154" i="2"/>
  <c r="S155" i="2"/>
  <c r="S156" i="2"/>
  <c r="S157" i="2"/>
  <c r="S158" i="2"/>
  <c r="S159" i="2"/>
  <c r="S160" i="2"/>
  <c r="S161" i="2"/>
  <c r="S162" i="2"/>
  <c r="S163" i="2"/>
  <c r="S164" i="2"/>
  <c r="S165" i="2"/>
  <c r="S166" i="2"/>
  <c r="S167" i="2"/>
  <c r="S168" i="2"/>
  <c r="S169" i="2"/>
  <c r="S170" i="2"/>
  <c r="S171" i="2"/>
  <c r="S172" i="2"/>
  <c r="S173" i="2"/>
  <c r="S174" i="2"/>
  <c r="S175" i="2"/>
  <c r="S177" i="2"/>
  <c r="S179" i="2"/>
  <c r="S182" i="2"/>
  <c r="S187" i="2"/>
  <c r="S188" i="2"/>
  <c r="S189" i="2"/>
  <c r="S190" i="2"/>
  <c r="S191" i="2"/>
  <c r="S192" i="2"/>
  <c r="S193" i="2"/>
  <c r="S194" i="2"/>
  <c r="S195" i="2"/>
  <c r="S14" i="2"/>
  <c r="J274" i="24" l="1"/>
  <c r="L274" i="24" s="1"/>
  <c r="N274" i="24" s="1"/>
  <c r="J108" i="24"/>
  <c r="L108" i="24" s="1"/>
  <c r="N108" i="24" s="1"/>
  <c r="AJ34" i="15"/>
  <c r="AJ177" i="15"/>
  <c r="I16" i="2"/>
  <c r="I16" i="15"/>
  <c r="I17" i="2"/>
  <c r="S17" i="2" s="1"/>
  <c r="I17" i="15"/>
  <c r="X26" i="15"/>
  <c r="U26" i="15"/>
  <c r="X33" i="15"/>
  <c r="U33" i="15"/>
  <c r="I184" i="2"/>
  <c r="S184" i="2" s="1"/>
  <c r="I184" i="15"/>
  <c r="X184" i="15" s="1"/>
  <c r="U176" i="15"/>
  <c r="X176" i="15"/>
  <c r="I180" i="2"/>
  <c r="S180" i="2" s="1"/>
  <c r="I180" i="15"/>
  <c r="X180" i="15" s="1"/>
  <c r="U36" i="15"/>
  <c r="X36" i="15"/>
  <c r="J183" i="2"/>
  <c r="J183" i="15"/>
  <c r="Y183" i="15" s="1"/>
  <c r="I15" i="2"/>
  <c r="I15" i="15"/>
  <c r="I185" i="2"/>
  <c r="S185" i="2" s="1"/>
  <c r="I185" i="15"/>
  <c r="X185" i="15" s="1"/>
  <c r="I37" i="2"/>
  <c r="I37" i="15"/>
  <c r="S34" i="2"/>
  <c r="S16" i="2"/>
  <c r="S15" i="2"/>
  <c r="T183" i="2"/>
  <c r="T196" i="2" s="1"/>
  <c r="J340" i="9"/>
  <c r="L340" i="9" s="1"/>
  <c r="N340" i="9" s="1"/>
  <c r="K99" i="5"/>
  <c r="I30" i="15" s="1"/>
  <c r="S31" i="2"/>
  <c r="G152" i="5"/>
  <c r="K152" i="5" s="1"/>
  <c r="I33" i="2"/>
  <c r="I36" i="2"/>
  <c r="K90" i="5"/>
  <c r="K81" i="5"/>
  <c r="K72" i="5"/>
  <c r="I26" i="2"/>
  <c r="K25" i="5"/>
  <c r="K437" i="5"/>
  <c r="K415" i="5"/>
  <c r="K426" i="5"/>
  <c r="I181" i="15" s="1"/>
  <c r="X181" i="15" s="1"/>
  <c r="K205" i="3"/>
  <c r="K204" i="3" s="1"/>
  <c r="K197" i="3"/>
  <c r="K203" i="3"/>
  <c r="K202" i="3" s="1"/>
  <c r="K208" i="3"/>
  <c r="K207" i="3"/>
  <c r="K193" i="3"/>
  <c r="R176" i="2"/>
  <c r="K196" i="3"/>
  <c r="Y47" i="2"/>
  <c r="R18" i="2"/>
  <c r="Y18" i="2" s="1"/>
  <c r="R19" i="2"/>
  <c r="Y19" i="2" s="1"/>
  <c r="R20" i="2"/>
  <c r="Y20" i="2" s="1"/>
  <c r="R24" i="2"/>
  <c r="Y24" i="2" s="1"/>
  <c r="R25" i="2"/>
  <c r="Y25" i="2" s="1"/>
  <c r="R26" i="2"/>
  <c r="R27" i="2"/>
  <c r="Y27" i="2" s="1"/>
  <c r="R28" i="2"/>
  <c r="Y28" i="2" s="1"/>
  <c r="R29" i="2"/>
  <c r="R30" i="2"/>
  <c r="R31" i="2"/>
  <c r="R32" i="2"/>
  <c r="R33" i="2"/>
  <c r="R34" i="2"/>
  <c r="Y34" i="2" s="1"/>
  <c r="R35" i="2"/>
  <c r="Y35" i="2" s="1"/>
  <c r="R36" i="2"/>
  <c r="R37" i="2"/>
  <c r="R38" i="2"/>
  <c r="Y38" i="2" s="1"/>
  <c r="R39" i="2"/>
  <c r="Y39" i="2" s="1"/>
  <c r="R40" i="2"/>
  <c r="Y40" i="2" s="1"/>
  <c r="R41" i="2"/>
  <c r="Y41" i="2" s="1"/>
  <c r="R42" i="2"/>
  <c r="Y42" i="2" s="1"/>
  <c r="R43" i="2"/>
  <c r="Y43" i="2" s="1"/>
  <c r="R44" i="2"/>
  <c r="Y44" i="2" s="1"/>
  <c r="R45" i="2"/>
  <c r="Y45" i="2" s="1"/>
  <c r="R46" i="2"/>
  <c r="Y46" i="2" s="1"/>
  <c r="R47" i="2"/>
  <c r="R48" i="2"/>
  <c r="Y48" i="2" s="1"/>
  <c r="R49" i="2"/>
  <c r="Y49" i="2" s="1"/>
  <c r="R50" i="2"/>
  <c r="Y50" i="2" s="1"/>
  <c r="R51" i="2"/>
  <c r="Y51" i="2" s="1"/>
  <c r="R52" i="2"/>
  <c r="Y52" i="2" s="1"/>
  <c r="R53" i="2"/>
  <c r="Y53" i="2" s="1"/>
  <c r="R54" i="2"/>
  <c r="Y54" i="2" s="1"/>
  <c r="R55" i="2"/>
  <c r="Y55" i="2" s="1"/>
  <c r="R56" i="2"/>
  <c r="Y56" i="2" s="1"/>
  <c r="R57" i="2"/>
  <c r="Y57" i="2" s="1"/>
  <c r="R58" i="2"/>
  <c r="Y58" i="2" s="1"/>
  <c r="R59" i="2"/>
  <c r="Y59" i="2" s="1"/>
  <c r="R60" i="2"/>
  <c r="Y60" i="2" s="1"/>
  <c r="R61" i="2"/>
  <c r="Y61" i="2" s="1"/>
  <c r="R62" i="2"/>
  <c r="Y62" i="2" s="1"/>
  <c r="R63" i="2"/>
  <c r="Y63" i="2" s="1"/>
  <c r="R64" i="2"/>
  <c r="Y64" i="2" s="1"/>
  <c r="R65" i="2"/>
  <c r="Y65" i="2" s="1"/>
  <c r="R66" i="2"/>
  <c r="Y66" i="2" s="1"/>
  <c r="R67" i="2"/>
  <c r="Y67" i="2" s="1"/>
  <c r="R68" i="2"/>
  <c r="Y68" i="2" s="1"/>
  <c r="R69" i="2"/>
  <c r="Y69" i="2" s="1"/>
  <c r="R70" i="2"/>
  <c r="Y70" i="2" s="1"/>
  <c r="R71" i="2"/>
  <c r="Y71" i="2" s="1"/>
  <c r="R72" i="2"/>
  <c r="Y72" i="2" s="1"/>
  <c r="R73" i="2"/>
  <c r="Y73" i="2" s="1"/>
  <c r="R74" i="2"/>
  <c r="Y74" i="2" s="1"/>
  <c r="R75" i="2"/>
  <c r="Y75" i="2" s="1"/>
  <c r="R76" i="2"/>
  <c r="Y76" i="2" s="1"/>
  <c r="R77" i="2"/>
  <c r="Y77" i="2" s="1"/>
  <c r="R78" i="2"/>
  <c r="Y78" i="2" s="1"/>
  <c r="R79" i="2"/>
  <c r="Y79" i="2" s="1"/>
  <c r="R80" i="2"/>
  <c r="Y80" i="2" s="1"/>
  <c r="R81" i="2"/>
  <c r="Y81" i="2" s="1"/>
  <c r="R82" i="2"/>
  <c r="Y82" i="2" s="1"/>
  <c r="R83" i="2"/>
  <c r="Y83" i="2" s="1"/>
  <c r="R84" i="2"/>
  <c r="Y84" i="2" s="1"/>
  <c r="R85" i="2"/>
  <c r="Y85" i="2" s="1"/>
  <c r="R86" i="2"/>
  <c r="Y86" i="2" s="1"/>
  <c r="R87" i="2"/>
  <c r="Y87" i="2" s="1"/>
  <c r="R88" i="2"/>
  <c r="Y88" i="2" s="1"/>
  <c r="R89" i="2"/>
  <c r="Y89" i="2" s="1"/>
  <c r="R90" i="2"/>
  <c r="Y90" i="2" s="1"/>
  <c r="R91" i="2"/>
  <c r="Y91" i="2" s="1"/>
  <c r="R92" i="2"/>
  <c r="Y92" i="2" s="1"/>
  <c r="R93" i="2"/>
  <c r="Y93" i="2" s="1"/>
  <c r="R94" i="2"/>
  <c r="Y94" i="2" s="1"/>
  <c r="R95" i="2"/>
  <c r="Y95" i="2" s="1"/>
  <c r="R96" i="2"/>
  <c r="Y96" i="2" s="1"/>
  <c r="R97" i="2"/>
  <c r="Y97" i="2" s="1"/>
  <c r="R98" i="2"/>
  <c r="Y98" i="2" s="1"/>
  <c r="R99" i="2"/>
  <c r="Y99" i="2" s="1"/>
  <c r="R100" i="2"/>
  <c r="Y100" i="2" s="1"/>
  <c r="R101" i="2"/>
  <c r="Y101" i="2" s="1"/>
  <c r="R102" i="2"/>
  <c r="Y102" i="2" s="1"/>
  <c r="R103" i="2"/>
  <c r="Y103" i="2" s="1"/>
  <c r="R104" i="2"/>
  <c r="Y104" i="2" s="1"/>
  <c r="R105" i="2"/>
  <c r="Y105" i="2" s="1"/>
  <c r="R106" i="2"/>
  <c r="Y106" i="2" s="1"/>
  <c r="R107" i="2"/>
  <c r="Y107" i="2" s="1"/>
  <c r="R108" i="2"/>
  <c r="Y108" i="2" s="1"/>
  <c r="R109" i="2"/>
  <c r="Y109" i="2" s="1"/>
  <c r="R110" i="2"/>
  <c r="Y110" i="2" s="1"/>
  <c r="R111" i="2"/>
  <c r="Y111" i="2" s="1"/>
  <c r="R112" i="2"/>
  <c r="Y112" i="2" s="1"/>
  <c r="R113" i="2"/>
  <c r="Y113" i="2" s="1"/>
  <c r="R114" i="2"/>
  <c r="Y114" i="2" s="1"/>
  <c r="R115" i="2"/>
  <c r="Y115" i="2" s="1"/>
  <c r="R116" i="2"/>
  <c r="Y116" i="2" s="1"/>
  <c r="R117" i="2"/>
  <c r="Y117" i="2" s="1"/>
  <c r="R118" i="2"/>
  <c r="Y118" i="2" s="1"/>
  <c r="R119" i="2"/>
  <c r="Y119" i="2" s="1"/>
  <c r="R120" i="2"/>
  <c r="Y120" i="2" s="1"/>
  <c r="R121" i="2"/>
  <c r="Y121" i="2" s="1"/>
  <c r="R122" i="2"/>
  <c r="Y122" i="2" s="1"/>
  <c r="R123" i="2"/>
  <c r="Y123" i="2" s="1"/>
  <c r="R124" i="2"/>
  <c r="Y124" i="2" s="1"/>
  <c r="R125" i="2"/>
  <c r="Y125" i="2" s="1"/>
  <c r="R126" i="2"/>
  <c r="Y126" i="2" s="1"/>
  <c r="R127" i="2"/>
  <c r="Y127" i="2" s="1"/>
  <c r="R128" i="2"/>
  <c r="Y128" i="2" s="1"/>
  <c r="R129" i="2"/>
  <c r="Y129" i="2" s="1"/>
  <c r="R130" i="2"/>
  <c r="Y130" i="2" s="1"/>
  <c r="R131" i="2"/>
  <c r="Y131" i="2" s="1"/>
  <c r="R132" i="2"/>
  <c r="Y132" i="2" s="1"/>
  <c r="R133" i="2"/>
  <c r="Y133" i="2" s="1"/>
  <c r="R134" i="2"/>
  <c r="Y134" i="2" s="1"/>
  <c r="R135" i="2"/>
  <c r="Y135" i="2" s="1"/>
  <c r="R136" i="2"/>
  <c r="Y136" i="2" s="1"/>
  <c r="R137" i="2"/>
  <c r="Y137" i="2" s="1"/>
  <c r="R138" i="2"/>
  <c r="Y138" i="2" s="1"/>
  <c r="R139" i="2"/>
  <c r="Y139" i="2" s="1"/>
  <c r="R140" i="2"/>
  <c r="Y140" i="2" s="1"/>
  <c r="R141" i="2"/>
  <c r="Y141" i="2" s="1"/>
  <c r="R142" i="2"/>
  <c r="Y142" i="2" s="1"/>
  <c r="R143" i="2"/>
  <c r="Y143" i="2" s="1"/>
  <c r="R144" i="2"/>
  <c r="Y144" i="2" s="1"/>
  <c r="R145" i="2"/>
  <c r="Y145" i="2" s="1"/>
  <c r="R146" i="2"/>
  <c r="Y146" i="2" s="1"/>
  <c r="R147" i="2"/>
  <c r="Y147" i="2" s="1"/>
  <c r="R148" i="2"/>
  <c r="Y148" i="2" s="1"/>
  <c r="R149" i="2"/>
  <c r="Y149" i="2" s="1"/>
  <c r="R150" i="2"/>
  <c r="Y150" i="2" s="1"/>
  <c r="R151" i="2"/>
  <c r="Y151" i="2" s="1"/>
  <c r="R152" i="2"/>
  <c r="Y152" i="2" s="1"/>
  <c r="R153" i="2"/>
  <c r="Y153" i="2" s="1"/>
  <c r="R154" i="2"/>
  <c r="Y154" i="2" s="1"/>
  <c r="R155" i="2"/>
  <c r="Y155" i="2" s="1"/>
  <c r="R156" i="2"/>
  <c r="Y156" i="2" s="1"/>
  <c r="R157" i="2"/>
  <c r="Y157" i="2" s="1"/>
  <c r="R158" i="2"/>
  <c r="Y158" i="2" s="1"/>
  <c r="R159" i="2"/>
  <c r="Y159" i="2" s="1"/>
  <c r="R160" i="2"/>
  <c r="Y160" i="2" s="1"/>
  <c r="R161" i="2"/>
  <c r="Y161" i="2" s="1"/>
  <c r="R162" i="2"/>
  <c r="Y162" i="2" s="1"/>
  <c r="R163" i="2"/>
  <c r="Y163" i="2" s="1"/>
  <c r="R164" i="2"/>
  <c r="Y164" i="2" s="1"/>
  <c r="R165" i="2"/>
  <c r="Y165" i="2" s="1"/>
  <c r="R166" i="2"/>
  <c r="Y166" i="2" s="1"/>
  <c r="R167" i="2"/>
  <c r="Y167" i="2" s="1"/>
  <c r="R168" i="2"/>
  <c r="Y168" i="2" s="1"/>
  <c r="R169" i="2"/>
  <c r="Y169" i="2" s="1"/>
  <c r="R170" i="2"/>
  <c r="Y170" i="2" s="1"/>
  <c r="R171" i="2"/>
  <c r="Y171" i="2" s="1"/>
  <c r="R172" i="2"/>
  <c r="Y172" i="2" s="1"/>
  <c r="R173" i="2"/>
  <c r="Y173" i="2" s="1"/>
  <c r="R177" i="2"/>
  <c r="Y177" i="2" s="1"/>
  <c r="R187" i="2"/>
  <c r="Y187" i="2" s="1"/>
  <c r="R188" i="2"/>
  <c r="Y188" i="2" s="1"/>
  <c r="R189" i="2"/>
  <c r="Y189" i="2" s="1"/>
  <c r="R190" i="2"/>
  <c r="Y190" i="2" s="1"/>
  <c r="R191" i="2"/>
  <c r="Y191" i="2" s="1"/>
  <c r="R192" i="2"/>
  <c r="Y192" i="2" s="1"/>
  <c r="R193" i="2"/>
  <c r="Y193" i="2" s="1"/>
  <c r="R194" i="2"/>
  <c r="Y194" i="2" s="1"/>
  <c r="R195" i="2"/>
  <c r="Y195" i="2" s="1"/>
  <c r="R23" i="2"/>
  <c r="Y23" i="2" s="1"/>
  <c r="K199" i="3"/>
  <c r="K192" i="3"/>
  <c r="K191" i="3"/>
  <c r="Y176" i="2"/>
  <c r="K186" i="3"/>
  <c r="K185" i="3"/>
  <c r="K183" i="3"/>
  <c r="K25" i="3"/>
  <c r="K26" i="3"/>
  <c r="K27" i="3"/>
  <c r="K28" i="3"/>
  <c r="K29" i="3"/>
  <c r="K30" i="3"/>
  <c r="K24" i="3"/>
  <c r="K22" i="3"/>
  <c r="K20" i="3"/>
  <c r="K16" i="3"/>
  <c r="R16" i="2" s="1"/>
  <c r="K15" i="3"/>
  <c r="R15" i="2" s="1"/>
  <c r="Y15" i="2" s="1"/>
  <c r="K14" i="3"/>
  <c r="Y16" i="2" l="1"/>
  <c r="J262" i="22"/>
  <c r="L262" i="22" s="1"/>
  <c r="N262" i="22" s="1"/>
  <c r="J262" i="20"/>
  <c r="L262" i="20" s="1"/>
  <c r="N262" i="20" s="1"/>
  <c r="J262" i="18"/>
  <c r="L262" i="18" s="1"/>
  <c r="N262" i="18" s="1"/>
  <c r="J343" i="24"/>
  <c r="L343" i="24" s="1"/>
  <c r="N343" i="24" s="1"/>
  <c r="J330" i="20"/>
  <c r="L330" i="20" s="1"/>
  <c r="N330" i="20" s="1"/>
  <c r="J330" i="22"/>
  <c r="L330" i="22" s="1"/>
  <c r="N330" i="22" s="1"/>
  <c r="J330" i="18"/>
  <c r="L330" i="18" s="1"/>
  <c r="N330" i="18" s="1"/>
  <c r="J354" i="24"/>
  <c r="L354" i="24" s="1"/>
  <c r="N354" i="24" s="1"/>
  <c r="J216" i="24"/>
  <c r="L216" i="24" s="1"/>
  <c r="N216" i="24" s="1"/>
  <c r="J340" i="11"/>
  <c r="L340" i="11" s="1"/>
  <c r="N340" i="11" s="1"/>
  <c r="J340" i="22"/>
  <c r="L340" i="22" s="1"/>
  <c r="N340" i="22" s="1"/>
  <c r="J340" i="20"/>
  <c r="L340" i="20" s="1"/>
  <c r="N340" i="20" s="1"/>
  <c r="J340" i="18"/>
  <c r="L340" i="18" s="1"/>
  <c r="N340" i="18" s="1"/>
  <c r="AJ176" i="15"/>
  <c r="AJ36" i="15"/>
  <c r="AJ33" i="15"/>
  <c r="AJ26" i="15"/>
  <c r="H21" i="2"/>
  <c r="R21" i="2" s="1"/>
  <c r="Y21" i="2" s="1"/>
  <c r="H21" i="15"/>
  <c r="H185" i="2"/>
  <c r="R185" i="2" s="1"/>
  <c r="Y185" i="2" s="1"/>
  <c r="H185" i="15"/>
  <c r="I29" i="2"/>
  <c r="I29" i="15"/>
  <c r="H184" i="2"/>
  <c r="R184" i="2" s="1"/>
  <c r="Y184" i="2" s="1"/>
  <c r="H184" i="15"/>
  <c r="H174" i="2"/>
  <c r="R174" i="2" s="1"/>
  <c r="Y174" i="2" s="1"/>
  <c r="H174" i="15"/>
  <c r="J330" i="13"/>
  <c r="L330" i="13" s="1"/>
  <c r="N330" i="13" s="1"/>
  <c r="J330" i="16"/>
  <c r="L330" i="16" s="1"/>
  <c r="N330" i="16" s="1"/>
  <c r="J262" i="13"/>
  <c r="L262" i="13" s="1"/>
  <c r="N262" i="13" s="1"/>
  <c r="J262" i="16"/>
  <c r="L262" i="16" s="1"/>
  <c r="N262" i="16" s="1"/>
  <c r="X15" i="15"/>
  <c r="U15" i="15"/>
  <c r="U17" i="15"/>
  <c r="X17" i="15"/>
  <c r="H180" i="2"/>
  <c r="R180" i="2" s="1"/>
  <c r="Y180" i="2" s="1"/>
  <c r="H180" i="15"/>
  <c r="I186" i="2"/>
  <c r="S186" i="2" s="1"/>
  <c r="I186" i="15"/>
  <c r="X186" i="15" s="1"/>
  <c r="J340" i="13"/>
  <c r="L340" i="13" s="1"/>
  <c r="N340" i="13" s="1"/>
  <c r="J340" i="16"/>
  <c r="L340" i="16" s="1"/>
  <c r="N340" i="16" s="1"/>
  <c r="H14" i="2"/>
  <c r="H14" i="15"/>
  <c r="H178" i="2"/>
  <c r="R178" i="2" s="1"/>
  <c r="Y178" i="2" s="1"/>
  <c r="H178" i="15"/>
  <c r="I22" i="2"/>
  <c r="I22" i="15"/>
  <c r="X22" i="15" s="1"/>
  <c r="U16" i="15"/>
  <c r="X16" i="15"/>
  <c r="U37" i="15"/>
  <c r="X37" i="15"/>
  <c r="S37" i="2"/>
  <c r="H179" i="2"/>
  <c r="R179" i="2" s="1"/>
  <c r="Y179" i="2" s="1"/>
  <c r="H179" i="15"/>
  <c r="U30" i="15"/>
  <c r="X30" i="15"/>
  <c r="K206" i="3"/>
  <c r="S26" i="2"/>
  <c r="Y37" i="2"/>
  <c r="S29" i="2"/>
  <c r="Y29" i="2" s="1"/>
  <c r="J330" i="11"/>
  <c r="L330" i="11" s="1"/>
  <c r="N330" i="11" s="1"/>
  <c r="J262" i="11"/>
  <c r="L262" i="11" s="1"/>
  <c r="N262" i="11" s="1"/>
  <c r="S36" i="2"/>
  <c r="Y36" i="2" s="1"/>
  <c r="J330" i="9"/>
  <c r="L330" i="9" s="1"/>
  <c r="N330" i="9" s="1"/>
  <c r="S22" i="2"/>
  <c r="J68" i="9"/>
  <c r="Y31" i="2"/>
  <c r="S33" i="2"/>
  <c r="Y33" i="2" s="1"/>
  <c r="J262" i="9"/>
  <c r="L262" i="9" s="1"/>
  <c r="N262" i="9" s="1"/>
  <c r="R17" i="2"/>
  <c r="Y17" i="2" s="1"/>
  <c r="K17" i="3"/>
  <c r="Y26" i="2"/>
  <c r="G432" i="5"/>
  <c r="K431" i="5" s="1"/>
  <c r="I181" i="2"/>
  <c r="S181" i="2" s="1"/>
  <c r="I30" i="2"/>
  <c r="K151" i="5"/>
  <c r="O36" i="2"/>
  <c r="J221" i="5" s="1"/>
  <c r="R182" i="2"/>
  <c r="Y182" i="2" s="1"/>
  <c r="K195" i="3"/>
  <c r="H181" i="15" s="1"/>
  <c r="K184" i="3"/>
  <c r="R175" i="2" s="1"/>
  <c r="Y175" i="2" s="1"/>
  <c r="K23" i="3"/>
  <c r="O193" i="2"/>
  <c r="O194" i="2"/>
  <c r="O195" i="2"/>
  <c r="M16" i="3"/>
  <c r="M17" i="3"/>
  <c r="M18" i="3"/>
  <c r="M19" i="3"/>
  <c r="M22" i="3"/>
  <c r="M23" i="3"/>
  <c r="M31" i="3"/>
  <c r="M32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4" i="3"/>
  <c r="M65" i="3"/>
  <c r="M66" i="3"/>
  <c r="M67" i="3"/>
  <c r="M69" i="3"/>
  <c r="M70" i="3"/>
  <c r="M71" i="3"/>
  <c r="M72" i="3"/>
  <c r="M74" i="3"/>
  <c r="M75" i="3"/>
  <c r="M76" i="3"/>
  <c r="M77" i="3"/>
  <c r="M78" i="3"/>
  <c r="M79" i="3"/>
  <c r="M80" i="3"/>
  <c r="M81" i="3"/>
  <c r="M83" i="3"/>
  <c r="M84" i="3"/>
  <c r="M85" i="3"/>
  <c r="M86" i="3"/>
  <c r="M87" i="3"/>
  <c r="M88" i="3"/>
  <c r="M90" i="3"/>
  <c r="M91" i="3"/>
  <c r="M92" i="3"/>
  <c r="M93" i="3"/>
  <c r="M94" i="3"/>
  <c r="M95" i="3"/>
  <c r="M96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7" i="3"/>
  <c r="M128" i="3"/>
  <c r="M129" i="3"/>
  <c r="M130" i="3"/>
  <c r="M131" i="3"/>
  <c r="M132" i="3"/>
  <c r="M133" i="3"/>
  <c r="M134" i="3"/>
  <c r="M136" i="3"/>
  <c r="M137" i="3"/>
  <c r="M138" i="3"/>
  <c r="M139" i="3"/>
  <c r="M140" i="3"/>
  <c r="M141" i="3"/>
  <c r="M142" i="3"/>
  <c r="M143" i="3"/>
  <c r="M144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3" i="3"/>
  <c r="M184" i="3"/>
  <c r="M187" i="3"/>
  <c r="M188" i="3"/>
  <c r="M191" i="3"/>
  <c r="M192" i="3"/>
  <c r="M193" i="3"/>
  <c r="M195" i="3"/>
  <c r="M199" i="3"/>
  <c r="M200" i="3"/>
  <c r="M202" i="3"/>
  <c r="M204" i="3"/>
  <c r="M206" i="3"/>
  <c r="M209" i="3"/>
  <c r="M210" i="3"/>
  <c r="M211" i="3"/>
  <c r="M212" i="3"/>
  <c r="M213" i="3"/>
  <c r="M214" i="3"/>
  <c r="M216" i="3"/>
  <c r="M217" i="3"/>
  <c r="M15" i="3"/>
  <c r="M14" i="3"/>
  <c r="Q40" i="2"/>
  <c r="Q37" i="2"/>
  <c r="J68" i="24" l="1"/>
  <c r="L68" i="24" s="1"/>
  <c r="N68" i="24" s="1"/>
  <c r="J68" i="22"/>
  <c r="L68" i="22" s="1"/>
  <c r="N68" i="22" s="1"/>
  <c r="J68" i="20"/>
  <c r="L68" i="20" s="1"/>
  <c r="N68" i="20" s="1"/>
  <c r="J68" i="18"/>
  <c r="L68" i="18" s="1"/>
  <c r="N68" i="18" s="1"/>
  <c r="AJ15" i="15"/>
  <c r="AJ30" i="15"/>
  <c r="AJ37" i="15"/>
  <c r="AJ17" i="15"/>
  <c r="W181" i="15"/>
  <c r="U181" i="15"/>
  <c r="H186" i="2"/>
  <c r="R186" i="2" s="1"/>
  <c r="Y186" i="2" s="1"/>
  <c r="H186" i="15"/>
  <c r="AJ16" i="15"/>
  <c r="W184" i="15"/>
  <c r="U184" i="15"/>
  <c r="U29" i="15"/>
  <c r="X29" i="15"/>
  <c r="I32" i="2"/>
  <c r="I32" i="15"/>
  <c r="U179" i="15"/>
  <c r="W179" i="15"/>
  <c r="J68" i="13"/>
  <c r="L68" i="13" s="1"/>
  <c r="N68" i="13" s="1"/>
  <c r="J68" i="16"/>
  <c r="L68" i="16" s="1"/>
  <c r="N68" i="16" s="1"/>
  <c r="W178" i="15"/>
  <c r="U178" i="15"/>
  <c r="W180" i="15"/>
  <c r="U180" i="15"/>
  <c r="W185" i="15"/>
  <c r="U185" i="15"/>
  <c r="H22" i="2"/>
  <c r="R22" i="2" s="1"/>
  <c r="Y22" i="2" s="1"/>
  <c r="H22" i="15"/>
  <c r="I183" i="2"/>
  <c r="S183" i="2" s="1"/>
  <c r="I183" i="15"/>
  <c r="X183" i="15" s="1"/>
  <c r="J68" i="11"/>
  <c r="L68" i="11" s="1"/>
  <c r="N68" i="11" s="1"/>
  <c r="U14" i="15"/>
  <c r="W14" i="15"/>
  <c r="W174" i="15"/>
  <c r="U174" i="15"/>
  <c r="W21" i="15"/>
  <c r="U21" i="15"/>
  <c r="J713" i="11"/>
  <c r="L713" i="11" s="1"/>
  <c r="N713" i="11" s="1"/>
  <c r="J652" i="13"/>
  <c r="L652" i="13" s="1"/>
  <c r="N652" i="13" s="1"/>
  <c r="J712" i="11"/>
  <c r="L712" i="11" s="1"/>
  <c r="N712" i="11" s="1"/>
  <c r="J651" i="13"/>
  <c r="L651" i="13" s="1"/>
  <c r="N651" i="13" s="1"/>
  <c r="J260" i="11"/>
  <c r="L260" i="11" s="1"/>
  <c r="N260" i="11" s="1"/>
  <c r="S30" i="2"/>
  <c r="U196" i="2"/>
  <c r="S32" i="2"/>
  <c r="J260" i="9"/>
  <c r="L260" i="9" s="1"/>
  <c r="N260" i="9" s="1"/>
  <c r="J216" i="3"/>
  <c r="L216" i="3" s="1"/>
  <c r="J590" i="9"/>
  <c r="L590" i="9" s="1"/>
  <c r="N590" i="9" s="1"/>
  <c r="J447" i="5"/>
  <c r="L447" i="5" s="1"/>
  <c r="N447" i="5" s="1"/>
  <c r="J217" i="3"/>
  <c r="L217" i="3" s="1"/>
  <c r="N217" i="3" s="1"/>
  <c r="J591" i="9"/>
  <c r="L591" i="9" s="1"/>
  <c r="N591" i="9" s="1"/>
  <c r="J448" i="5"/>
  <c r="L448" i="5" s="1"/>
  <c r="N448" i="5" s="1"/>
  <c r="L221" i="5"/>
  <c r="N221" i="5" s="1"/>
  <c r="G201" i="3"/>
  <c r="K200" i="3" s="1"/>
  <c r="H181" i="2"/>
  <c r="R181" i="2" s="1"/>
  <c r="Y181" i="2" s="1"/>
  <c r="N216" i="3"/>
  <c r="J260" i="22" l="1"/>
  <c r="L260" i="22" s="1"/>
  <c r="N260" i="22" s="1"/>
  <c r="J260" i="20"/>
  <c r="L260" i="20" s="1"/>
  <c r="N260" i="20" s="1"/>
  <c r="J260" i="18"/>
  <c r="L260" i="18" s="1"/>
  <c r="N260" i="18" s="1"/>
  <c r="AJ184" i="15"/>
  <c r="AJ174" i="15"/>
  <c r="AJ179" i="15"/>
  <c r="AJ21" i="15"/>
  <c r="AJ185" i="15"/>
  <c r="AJ178" i="15"/>
  <c r="AJ180" i="15"/>
  <c r="AJ29" i="15"/>
  <c r="AJ181" i="15"/>
  <c r="W22" i="15"/>
  <c r="U22" i="15"/>
  <c r="U32" i="15"/>
  <c r="X32" i="15"/>
  <c r="U186" i="15"/>
  <c r="W186" i="15"/>
  <c r="J260" i="13"/>
  <c r="L260" i="13" s="1"/>
  <c r="N260" i="13" s="1"/>
  <c r="J260" i="16"/>
  <c r="L260" i="16" s="1"/>
  <c r="N260" i="16" s="1"/>
  <c r="H183" i="2"/>
  <c r="R183" i="2" s="1"/>
  <c r="Y183" i="2" s="1"/>
  <c r="H183" i="15"/>
  <c r="S196" i="2"/>
  <c r="E8" i="13"/>
  <c r="E8" i="14"/>
  <c r="E8" i="6"/>
  <c r="E8" i="9"/>
  <c r="E8" i="11"/>
  <c r="E8" i="10"/>
  <c r="E8" i="12"/>
  <c r="E8" i="5"/>
  <c r="Y32" i="2"/>
  <c r="Y30" i="2"/>
  <c r="Z20" i="2"/>
  <c r="Z25" i="2"/>
  <c r="Z37" i="2"/>
  <c r="Z39" i="2"/>
  <c r="Z55" i="2"/>
  <c r="Z60" i="2"/>
  <c r="Z65" i="2"/>
  <c r="Z74" i="2"/>
  <c r="Z81" i="2"/>
  <c r="Z89" i="2"/>
  <c r="Z118" i="2"/>
  <c r="Z127" i="2"/>
  <c r="Z137" i="2"/>
  <c r="Z160" i="2"/>
  <c r="Z173" i="2"/>
  <c r="Z193" i="2"/>
  <c r="O15" i="2"/>
  <c r="O16" i="2"/>
  <c r="O17" i="2"/>
  <c r="O18" i="2"/>
  <c r="O19" i="2"/>
  <c r="O21" i="2"/>
  <c r="O22" i="2"/>
  <c r="O23" i="2"/>
  <c r="O24" i="2"/>
  <c r="O26" i="2"/>
  <c r="O27" i="2"/>
  <c r="O28" i="2"/>
  <c r="O29" i="2"/>
  <c r="O30" i="2"/>
  <c r="J99" i="5" s="1"/>
  <c r="L99" i="5" s="1"/>
  <c r="N99" i="5" s="1"/>
  <c r="O31" i="2"/>
  <c r="O32" i="2"/>
  <c r="O33" i="2"/>
  <c r="O34" i="2"/>
  <c r="O35" i="2"/>
  <c r="L195" i="5" s="1"/>
  <c r="N195" i="5" s="1"/>
  <c r="O37" i="2"/>
  <c r="J238" i="5" s="1"/>
  <c r="O38" i="2"/>
  <c r="O40" i="2"/>
  <c r="O41" i="2"/>
  <c r="O42" i="2"/>
  <c r="O43" i="2"/>
  <c r="O44" i="2"/>
  <c r="O45" i="2"/>
  <c r="O46" i="2"/>
  <c r="O48" i="2"/>
  <c r="O49" i="2"/>
  <c r="O50" i="2"/>
  <c r="O51" i="2"/>
  <c r="J400" i="16" s="1"/>
  <c r="L400" i="16" s="1"/>
  <c r="N400" i="16" s="1"/>
  <c r="O52" i="2"/>
  <c r="O53" i="2"/>
  <c r="O54" i="2"/>
  <c r="O56" i="2"/>
  <c r="O57" i="2"/>
  <c r="O58" i="2"/>
  <c r="O59" i="2"/>
  <c r="O61" i="2"/>
  <c r="O62" i="2"/>
  <c r="O63" i="2"/>
  <c r="O64" i="2"/>
  <c r="O66" i="2"/>
  <c r="O67" i="2"/>
  <c r="O68" i="2"/>
  <c r="O69" i="2"/>
  <c r="O70" i="2"/>
  <c r="O71" i="2"/>
  <c r="O72" i="2"/>
  <c r="O73" i="2"/>
  <c r="O75" i="2"/>
  <c r="O76" i="2"/>
  <c r="O77" i="2"/>
  <c r="O78" i="2"/>
  <c r="O79" i="2"/>
  <c r="O80" i="2"/>
  <c r="O82" i="2"/>
  <c r="O83" i="2"/>
  <c r="O84" i="2"/>
  <c r="O85" i="2"/>
  <c r="O86" i="2"/>
  <c r="O87" i="2"/>
  <c r="O88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9" i="2"/>
  <c r="O120" i="2"/>
  <c r="O121" i="2"/>
  <c r="O122" i="2"/>
  <c r="O123" i="2"/>
  <c r="O124" i="2"/>
  <c r="O125" i="2"/>
  <c r="O126" i="2"/>
  <c r="O128" i="2"/>
  <c r="O129" i="2"/>
  <c r="O130" i="2"/>
  <c r="O131" i="2"/>
  <c r="O132" i="2"/>
  <c r="O133" i="2"/>
  <c r="O134" i="2"/>
  <c r="O135" i="2"/>
  <c r="O136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4" i="2"/>
  <c r="O175" i="2"/>
  <c r="O176" i="2"/>
  <c r="O177" i="2"/>
  <c r="O178" i="2"/>
  <c r="O179" i="2"/>
  <c r="O180" i="2"/>
  <c r="O181" i="2"/>
  <c r="J629" i="13" s="1"/>
  <c r="O182" i="2"/>
  <c r="O183" i="2"/>
  <c r="O184" i="2"/>
  <c r="O185" i="2"/>
  <c r="O186" i="2"/>
  <c r="O187" i="2"/>
  <c r="O188" i="2"/>
  <c r="O189" i="2"/>
  <c r="O190" i="2"/>
  <c r="O191" i="2"/>
  <c r="O192" i="2"/>
  <c r="P194" i="2"/>
  <c r="P195" i="2"/>
  <c r="Q194" i="2"/>
  <c r="Z194" i="2" s="1"/>
  <c r="Q195" i="2"/>
  <c r="Z195" i="2" s="1"/>
  <c r="Q174" i="2"/>
  <c r="Z174" i="2" s="1"/>
  <c r="Q175" i="2"/>
  <c r="Z175" i="2" s="1"/>
  <c r="Q176" i="2"/>
  <c r="Z176" i="2" s="1"/>
  <c r="Q177" i="2"/>
  <c r="Z177" i="2" s="1"/>
  <c r="Q178" i="2"/>
  <c r="Z178" i="2" s="1"/>
  <c r="Q179" i="2"/>
  <c r="Z179" i="2" s="1"/>
  <c r="Q180" i="2"/>
  <c r="Z180" i="2" s="1"/>
  <c r="Q181" i="2"/>
  <c r="Z181" i="2" s="1"/>
  <c r="Q182" i="2"/>
  <c r="Z182" i="2" s="1"/>
  <c r="Q183" i="2"/>
  <c r="Q184" i="2"/>
  <c r="Z184" i="2" s="1"/>
  <c r="Q185" i="2"/>
  <c r="Z185" i="2" s="1"/>
  <c r="Q186" i="2"/>
  <c r="Z186" i="2" s="1"/>
  <c r="Q187" i="2"/>
  <c r="Z187" i="2" s="1"/>
  <c r="Q188" i="2"/>
  <c r="Z188" i="2" s="1"/>
  <c r="Q189" i="2"/>
  <c r="Z189" i="2" s="1"/>
  <c r="Q190" i="2"/>
  <c r="Z190" i="2" s="1"/>
  <c r="Q191" i="2"/>
  <c r="Z191" i="2" s="1"/>
  <c r="Q192" i="2"/>
  <c r="Z192" i="2" s="1"/>
  <c r="Q161" i="2"/>
  <c r="Z161" i="2" s="1"/>
  <c r="Q162" i="2"/>
  <c r="Z162" i="2" s="1"/>
  <c r="Q163" i="2"/>
  <c r="Z163" i="2" s="1"/>
  <c r="Q164" i="2"/>
  <c r="Z164" i="2" s="1"/>
  <c r="Q165" i="2"/>
  <c r="Z165" i="2" s="1"/>
  <c r="Q166" i="2"/>
  <c r="Z166" i="2" s="1"/>
  <c r="Q167" i="2"/>
  <c r="Z167" i="2" s="1"/>
  <c r="Q168" i="2"/>
  <c r="Z168" i="2" s="1"/>
  <c r="Q169" i="2"/>
  <c r="Z169" i="2" s="1"/>
  <c r="Q170" i="2"/>
  <c r="Z170" i="2" s="1"/>
  <c r="Q171" i="2"/>
  <c r="Z171" i="2" s="1"/>
  <c r="Q172" i="2"/>
  <c r="Z172" i="2" s="1"/>
  <c r="Q138" i="2"/>
  <c r="Z138" i="2" s="1"/>
  <c r="Q139" i="2"/>
  <c r="Z139" i="2" s="1"/>
  <c r="Q140" i="2"/>
  <c r="Z140" i="2" s="1"/>
  <c r="Q141" i="2"/>
  <c r="Z141" i="2" s="1"/>
  <c r="Q142" i="2"/>
  <c r="Z142" i="2" s="1"/>
  <c r="Q143" i="2"/>
  <c r="Z143" i="2" s="1"/>
  <c r="Q144" i="2"/>
  <c r="Z144" i="2" s="1"/>
  <c r="Q145" i="2"/>
  <c r="Z145" i="2" s="1"/>
  <c r="Q146" i="2"/>
  <c r="Z146" i="2" s="1"/>
  <c r="Q147" i="2"/>
  <c r="Z147" i="2" s="1"/>
  <c r="Q148" i="2"/>
  <c r="Z148" i="2" s="1"/>
  <c r="Q149" i="2"/>
  <c r="Z149" i="2" s="1"/>
  <c r="Q150" i="2"/>
  <c r="Z150" i="2" s="1"/>
  <c r="Q151" i="2"/>
  <c r="Z151" i="2" s="1"/>
  <c r="Q152" i="2"/>
  <c r="Z152" i="2" s="1"/>
  <c r="Q153" i="2"/>
  <c r="Z153" i="2" s="1"/>
  <c r="Q154" i="2"/>
  <c r="Z154" i="2" s="1"/>
  <c r="Q155" i="2"/>
  <c r="Z155" i="2" s="1"/>
  <c r="Q156" i="2"/>
  <c r="Z156" i="2" s="1"/>
  <c r="Q157" i="2"/>
  <c r="Z157" i="2" s="1"/>
  <c r="Q158" i="2"/>
  <c r="Z158" i="2" s="1"/>
  <c r="Q159" i="2"/>
  <c r="Z159" i="2" s="1"/>
  <c r="Q128" i="2"/>
  <c r="Z128" i="2" s="1"/>
  <c r="Q129" i="2"/>
  <c r="Z129" i="2" s="1"/>
  <c r="Q130" i="2"/>
  <c r="Z130" i="2" s="1"/>
  <c r="Q131" i="2"/>
  <c r="Z131" i="2" s="1"/>
  <c r="Q132" i="2"/>
  <c r="Z132" i="2" s="1"/>
  <c r="Q133" i="2"/>
  <c r="Z133" i="2" s="1"/>
  <c r="Q134" i="2"/>
  <c r="Z134" i="2" s="1"/>
  <c r="Q135" i="2"/>
  <c r="Z135" i="2" s="1"/>
  <c r="Q136" i="2"/>
  <c r="Z136" i="2" s="1"/>
  <c r="Q119" i="2"/>
  <c r="Z119" i="2" s="1"/>
  <c r="Q120" i="2"/>
  <c r="Z120" i="2" s="1"/>
  <c r="Q121" i="2"/>
  <c r="Z121" i="2" s="1"/>
  <c r="Q122" i="2"/>
  <c r="Z122" i="2" s="1"/>
  <c r="Q123" i="2"/>
  <c r="Z123" i="2" s="1"/>
  <c r="Q124" i="2"/>
  <c r="Z124" i="2" s="1"/>
  <c r="Q125" i="2"/>
  <c r="Z125" i="2" s="1"/>
  <c r="Q126" i="2"/>
  <c r="Z126" i="2" s="1"/>
  <c r="X14" i="2"/>
  <c r="W14" i="2"/>
  <c r="R14" i="2"/>
  <c r="R196" i="2" s="1"/>
  <c r="Q15" i="2"/>
  <c r="Z15" i="2" s="1"/>
  <c r="Q16" i="2"/>
  <c r="Z16" i="2" s="1"/>
  <c r="Q17" i="2"/>
  <c r="Z17" i="2" s="1"/>
  <c r="Q18" i="2"/>
  <c r="Z18" i="2" s="1"/>
  <c r="Q19" i="2"/>
  <c r="Z19" i="2" s="1"/>
  <c r="Q21" i="2"/>
  <c r="Z21" i="2" s="1"/>
  <c r="Q22" i="2"/>
  <c r="Z22" i="2" s="1"/>
  <c r="Q23" i="2"/>
  <c r="Z23" i="2" s="1"/>
  <c r="Q24" i="2"/>
  <c r="Z24" i="2" s="1"/>
  <c r="Q26" i="2"/>
  <c r="Z26" i="2" s="1"/>
  <c r="Q27" i="2"/>
  <c r="Z27" i="2" s="1"/>
  <c r="Q28" i="2"/>
  <c r="Z28" i="2" s="1"/>
  <c r="Q29" i="2"/>
  <c r="Z29" i="2" s="1"/>
  <c r="Q30" i="2"/>
  <c r="Q31" i="2"/>
  <c r="Z31" i="2" s="1"/>
  <c r="Q32" i="2"/>
  <c r="Z32" i="2" s="1"/>
  <c r="Q33" i="2"/>
  <c r="Z33" i="2" s="1"/>
  <c r="Q34" i="2"/>
  <c r="Z34" i="2" s="1"/>
  <c r="Q35" i="2"/>
  <c r="Z35" i="2" s="1"/>
  <c r="Q36" i="2"/>
  <c r="Z36" i="2" s="1"/>
  <c r="Q38" i="2"/>
  <c r="Z38" i="2" s="1"/>
  <c r="Z40" i="2"/>
  <c r="Q41" i="2"/>
  <c r="Z41" i="2" s="1"/>
  <c r="Q42" i="2"/>
  <c r="Z42" i="2" s="1"/>
  <c r="Q43" i="2"/>
  <c r="Z43" i="2" s="1"/>
  <c r="Q44" i="2"/>
  <c r="Z44" i="2" s="1"/>
  <c r="Q45" i="2"/>
  <c r="Z45" i="2" s="1"/>
  <c r="Q46" i="2"/>
  <c r="Z46" i="2" s="1"/>
  <c r="Q47" i="2"/>
  <c r="Z47" i="2" s="1"/>
  <c r="Q48" i="2"/>
  <c r="Z48" i="2" s="1"/>
  <c r="Q49" i="2"/>
  <c r="Z49" i="2" s="1"/>
  <c r="Q50" i="2"/>
  <c r="Z50" i="2" s="1"/>
  <c r="Q51" i="2"/>
  <c r="Z51" i="2" s="1"/>
  <c r="Q52" i="2"/>
  <c r="Z52" i="2" s="1"/>
  <c r="Q53" i="2"/>
  <c r="Z53" i="2" s="1"/>
  <c r="Q54" i="2"/>
  <c r="Z54" i="2" s="1"/>
  <c r="Q56" i="2"/>
  <c r="Z56" i="2" s="1"/>
  <c r="Q57" i="2"/>
  <c r="Z57" i="2" s="1"/>
  <c r="Q58" i="2"/>
  <c r="Z58" i="2" s="1"/>
  <c r="Q59" i="2"/>
  <c r="Z59" i="2" s="1"/>
  <c r="Q61" i="2"/>
  <c r="Z61" i="2" s="1"/>
  <c r="Q62" i="2"/>
  <c r="Z62" i="2" s="1"/>
  <c r="Q63" i="2"/>
  <c r="Z63" i="2" s="1"/>
  <c r="Q64" i="2"/>
  <c r="Z64" i="2" s="1"/>
  <c r="Q66" i="2"/>
  <c r="Z66" i="2" s="1"/>
  <c r="Q67" i="2"/>
  <c r="Z67" i="2" s="1"/>
  <c r="Q68" i="2"/>
  <c r="Z68" i="2" s="1"/>
  <c r="Q69" i="2"/>
  <c r="Z69" i="2" s="1"/>
  <c r="Q70" i="2"/>
  <c r="Z70" i="2" s="1"/>
  <c r="Q71" i="2"/>
  <c r="Z71" i="2" s="1"/>
  <c r="Q72" i="2"/>
  <c r="Z72" i="2" s="1"/>
  <c r="Q73" i="2"/>
  <c r="Z73" i="2" s="1"/>
  <c r="Q75" i="2"/>
  <c r="Z75" i="2" s="1"/>
  <c r="Q76" i="2"/>
  <c r="Z76" i="2" s="1"/>
  <c r="Q77" i="2"/>
  <c r="Z77" i="2" s="1"/>
  <c r="Q78" i="2"/>
  <c r="Z78" i="2" s="1"/>
  <c r="Q79" i="2"/>
  <c r="Z79" i="2" s="1"/>
  <c r="Q80" i="2"/>
  <c r="Z80" i="2" s="1"/>
  <c r="Q82" i="2"/>
  <c r="Z82" i="2" s="1"/>
  <c r="Q83" i="2"/>
  <c r="Z83" i="2" s="1"/>
  <c r="Q84" i="2"/>
  <c r="Z84" i="2" s="1"/>
  <c r="Q85" i="2"/>
  <c r="Z85" i="2" s="1"/>
  <c r="Q86" i="2"/>
  <c r="Z86" i="2" s="1"/>
  <c r="Q87" i="2"/>
  <c r="Z87" i="2" s="1"/>
  <c r="Q88" i="2"/>
  <c r="Z88" i="2" s="1"/>
  <c r="Q90" i="2"/>
  <c r="Z90" i="2" s="1"/>
  <c r="Q91" i="2"/>
  <c r="Z91" i="2" s="1"/>
  <c r="Q92" i="2"/>
  <c r="Z92" i="2" s="1"/>
  <c r="Q93" i="2"/>
  <c r="Z93" i="2" s="1"/>
  <c r="Q94" i="2"/>
  <c r="Z94" i="2" s="1"/>
  <c r="Q95" i="2"/>
  <c r="Z95" i="2" s="1"/>
  <c r="Q96" i="2"/>
  <c r="Z96" i="2" s="1"/>
  <c r="Q97" i="2"/>
  <c r="Z97" i="2" s="1"/>
  <c r="Q98" i="2"/>
  <c r="Z98" i="2" s="1"/>
  <c r="Q99" i="2"/>
  <c r="Z99" i="2" s="1"/>
  <c r="Q100" i="2"/>
  <c r="Z100" i="2" s="1"/>
  <c r="Q101" i="2"/>
  <c r="Z101" i="2" s="1"/>
  <c r="Q102" i="2"/>
  <c r="Z102" i="2" s="1"/>
  <c r="Q103" i="2"/>
  <c r="Z103" i="2" s="1"/>
  <c r="Q104" i="2"/>
  <c r="Z104" i="2" s="1"/>
  <c r="Q105" i="2"/>
  <c r="Z105" i="2" s="1"/>
  <c r="Q106" i="2"/>
  <c r="Z106" i="2" s="1"/>
  <c r="Q107" i="2"/>
  <c r="Z107" i="2" s="1"/>
  <c r="Q108" i="2"/>
  <c r="Z108" i="2" s="1"/>
  <c r="Q109" i="2"/>
  <c r="Z109" i="2" s="1"/>
  <c r="Q110" i="2"/>
  <c r="Z110" i="2" s="1"/>
  <c r="Q111" i="2"/>
  <c r="Z111" i="2" s="1"/>
  <c r="Q112" i="2"/>
  <c r="Z112" i="2" s="1"/>
  <c r="Q113" i="2"/>
  <c r="Z113" i="2" s="1"/>
  <c r="Q114" i="2"/>
  <c r="Z114" i="2" s="1"/>
  <c r="Q115" i="2"/>
  <c r="Z115" i="2" s="1"/>
  <c r="Q116" i="2"/>
  <c r="Z116" i="2" s="1"/>
  <c r="Q117" i="2"/>
  <c r="Z117" i="2" s="1"/>
  <c r="Q14" i="2"/>
  <c r="O14" i="2"/>
  <c r="J390" i="16" l="1"/>
  <c r="L390" i="16" s="1"/>
  <c r="N390" i="16" s="1"/>
  <c r="J392" i="20"/>
  <c r="L392" i="20" s="1"/>
  <c r="N392" i="20" s="1"/>
  <c r="J393" i="18"/>
  <c r="L393" i="18" s="1"/>
  <c r="N393" i="18" s="1"/>
  <c r="J257" i="16"/>
  <c r="L257" i="16" s="1"/>
  <c r="N257" i="16" s="1"/>
  <c r="J264" i="24"/>
  <c r="L264" i="24" s="1"/>
  <c r="N264" i="24" s="1"/>
  <c r="J257" i="20"/>
  <c r="L257" i="20" s="1"/>
  <c r="N257" i="20" s="1"/>
  <c r="J257" i="22"/>
  <c r="L257" i="22" s="1"/>
  <c r="N257" i="22" s="1"/>
  <c r="J257" i="18"/>
  <c r="L257" i="18" s="1"/>
  <c r="N257" i="18" s="1"/>
  <c r="J25" i="16"/>
  <c r="L25" i="16" s="1"/>
  <c r="N25" i="16" s="1"/>
  <c r="J25" i="24"/>
  <c r="L25" i="24" s="1"/>
  <c r="N25" i="24" s="1"/>
  <c r="J25" i="20"/>
  <c r="L25" i="20" s="1"/>
  <c r="N25" i="20" s="1"/>
  <c r="J25" i="22"/>
  <c r="L25" i="22" s="1"/>
  <c r="N25" i="22" s="1"/>
  <c r="J25" i="18"/>
  <c r="L25" i="18" s="1"/>
  <c r="N25" i="18" s="1"/>
  <c r="J14" i="16"/>
  <c r="L14" i="16" s="1"/>
  <c r="N14" i="16" s="1"/>
  <c r="J14" i="24"/>
  <c r="L14" i="24" s="1"/>
  <c r="N14" i="24" s="1"/>
  <c r="J14" i="22"/>
  <c r="L14" i="22" s="1"/>
  <c r="N14" i="22" s="1"/>
  <c r="J14" i="20"/>
  <c r="L14" i="20" s="1"/>
  <c r="N14" i="20" s="1"/>
  <c r="J14" i="18"/>
  <c r="L14" i="18" s="1"/>
  <c r="N14" i="18" s="1"/>
  <c r="J426" i="24"/>
  <c r="L426" i="24" s="1"/>
  <c r="N426" i="24" s="1"/>
  <c r="J390" i="20"/>
  <c r="L390" i="20" s="1"/>
  <c r="N390" i="20" s="1"/>
  <c r="J394" i="22"/>
  <c r="L394" i="22" s="1"/>
  <c r="N394" i="22" s="1"/>
  <c r="J391" i="18"/>
  <c r="L391" i="18" s="1"/>
  <c r="N391" i="18" s="1"/>
  <c r="J302" i="16"/>
  <c r="L302" i="16" s="1"/>
  <c r="N302" i="16" s="1"/>
  <c r="J314" i="24"/>
  <c r="L314" i="24" s="1"/>
  <c r="N314" i="24" s="1"/>
  <c r="J302" i="22"/>
  <c r="L302" i="22" s="1"/>
  <c r="N302" i="22" s="1"/>
  <c r="J302" i="20"/>
  <c r="L302" i="20" s="1"/>
  <c r="N302" i="20" s="1"/>
  <c r="J302" i="18"/>
  <c r="L302" i="18" s="1"/>
  <c r="N302" i="18" s="1"/>
  <c r="J24" i="16"/>
  <c r="L24" i="16" s="1"/>
  <c r="N24" i="16" s="1"/>
  <c r="J24" i="24"/>
  <c r="L24" i="24" s="1"/>
  <c r="N24" i="24" s="1"/>
  <c r="J24" i="22"/>
  <c r="L24" i="22" s="1"/>
  <c r="N24" i="22" s="1"/>
  <c r="J24" i="20"/>
  <c r="L24" i="20" s="1"/>
  <c r="N24" i="20" s="1"/>
  <c r="J24" i="18"/>
  <c r="L24" i="18" s="1"/>
  <c r="N24" i="18" s="1"/>
  <c r="J16" i="24"/>
  <c r="L16" i="24" s="1"/>
  <c r="N16" i="24" s="1"/>
  <c r="J16" i="22"/>
  <c r="L16" i="22" s="1"/>
  <c r="N16" i="22" s="1"/>
  <c r="J16" i="20"/>
  <c r="L16" i="20" s="1"/>
  <c r="N16" i="20" s="1"/>
  <c r="J16" i="18"/>
  <c r="L16" i="18" s="1"/>
  <c r="N16" i="18" s="1"/>
  <c r="J154" i="16"/>
  <c r="L154" i="16" s="1"/>
  <c r="N154" i="16" s="1"/>
  <c r="J189" i="24"/>
  <c r="L189" i="24" s="1"/>
  <c r="N189" i="24" s="1"/>
  <c r="J154" i="22"/>
  <c r="L154" i="22" s="1"/>
  <c r="N154" i="22" s="1"/>
  <c r="J154" i="20"/>
  <c r="L154" i="20" s="1"/>
  <c r="N154" i="20" s="1"/>
  <c r="J154" i="18"/>
  <c r="L154" i="18" s="1"/>
  <c r="N154" i="18" s="1"/>
  <c r="J17" i="16"/>
  <c r="L17" i="16" s="1"/>
  <c r="N17" i="16" s="1"/>
  <c r="J17" i="24"/>
  <c r="L17" i="24" s="1"/>
  <c r="N17" i="24" s="1"/>
  <c r="J17" i="22"/>
  <c r="L17" i="22" s="1"/>
  <c r="N17" i="22" s="1"/>
  <c r="J17" i="20"/>
  <c r="L17" i="20" s="1"/>
  <c r="N17" i="20" s="1"/>
  <c r="J17" i="18"/>
  <c r="L17" i="18" s="1"/>
  <c r="N17" i="18" s="1"/>
  <c r="J417" i="16"/>
  <c r="L417" i="16" s="1"/>
  <c r="N417" i="16" s="1"/>
  <c r="J429" i="18"/>
  <c r="L429" i="18" s="1"/>
  <c r="N429" i="18" s="1"/>
  <c r="J403" i="16"/>
  <c r="L403" i="16" s="1"/>
  <c r="N403" i="16" s="1"/>
  <c r="J442" i="24"/>
  <c r="L442" i="24" s="1"/>
  <c r="N442" i="24" s="1"/>
  <c r="J410" i="22"/>
  <c r="L410" i="22" s="1"/>
  <c r="N410" i="22" s="1"/>
  <c r="J406" i="20"/>
  <c r="L406" i="20" s="1"/>
  <c r="N406" i="20" s="1"/>
  <c r="J407" i="18"/>
  <c r="L407" i="18" s="1"/>
  <c r="N407" i="18" s="1"/>
  <c r="J386" i="16"/>
  <c r="L386" i="16" s="1"/>
  <c r="N386" i="16" s="1"/>
  <c r="J388" i="20"/>
  <c r="L388" i="20" s="1"/>
  <c r="N388" i="20" s="1"/>
  <c r="J389" i="18"/>
  <c r="L389" i="18" s="1"/>
  <c r="N389" i="18" s="1"/>
  <c r="J381" i="16"/>
  <c r="L381" i="16" s="1"/>
  <c r="N381" i="16" s="1"/>
  <c r="J413" i="24"/>
  <c r="L413" i="24" s="1"/>
  <c r="N413" i="24" s="1"/>
  <c r="J381" i="22"/>
  <c r="L381" i="22" s="1"/>
  <c r="N381" i="22" s="1"/>
  <c r="J381" i="20"/>
  <c r="L381" i="20" s="1"/>
  <c r="N381" i="20" s="1"/>
  <c r="J381" i="18"/>
  <c r="L381" i="18" s="1"/>
  <c r="N381" i="18" s="1"/>
  <c r="J172" i="16"/>
  <c r="L172" i="16" s="1"/>
  <c r="N172" i="16" s="1"/>
  <c r="J172" i="22"/>
  <c r="L172" i="22" s="1"/>
  <c r="N172" i="22" s="1"/>
  <c r="J172" i="20"/>
  <c r="L172" i="20" s="1"/>
  <c r="N172" i="20" s="1"/>
  <c r="J172" i="18"/>
  <c r="L172" i="18" s="1"/>
  <c r="N172" i="18" s="1"/>
  <c r="J21" i="16"/>
  <c r="L21" i="16" s="1"/>
  <c r="N21" i="16" s="1"/>
  <c r="J21" i="24"/>
  <c r="L21" i="24" s="1"/>
  <c r="N21" i="24" s="1"/>
  <c r="J21" i="22"/>
  <c r="L21" i="22" s="1"/>
  <c r="N21" i="22" s="1"/>
  <c r="J21" i="20"/>
  <c r="L21" i="20" s="1"/>
  <c r="N21" i="20" s="1"/>
  <c r="J21" i="18"/>
  <c r="L21" i="18" s="1"/>
  <c r="N21" i="18" s="1"/>
  <c r="J15" i="16"/>
  <c r="L15" i="16" s="1"/>
  <c r="N15" i="16" s="1"/>
  <c r="J15" i="24"/>
  <c r="L15" i="24" s="1"/>
  <c r="N15" i="24" s="1"/>
  <c r="J15" i="22"/>
  <c r="L15" i="22" s="1"/>
  <c r="N15" i="22" s="1"/>
  <c r="J15" i="20"/>
  <c r="L15" i="20" s="1"/>
  <c r="N15" i="20" s="1"/>
  <c r="J15" i="18"/>
  <c r="L15" i="18" s="1"/>
  <c r="N15" i="18" s="1"/>
  <c r="J420" i="16"/>
  <c r="L420" i="16" s="1"/>
  <c r="N420" i="16" s="1"/>
  <c r="J579" i="24"/>
  <c r="L579" i="24" s="1"/>
  <c r="N579" i="24" s="1"/>
  <c r="J545" i="20"/>
  <c r="L545" i="20" s="1"/>
  <c r="N545" i="20" s="1"/>
  <c r="J547" i="22"/>
  <c r="L547" i="22" s="1"/>
  <c r="N547" i="22" s="1"/>
  <c r="J544" i="18"/>
  <c r="L544" i="18" s="1"/>
  <c r="N544" i="18" s="1"/>
  <c r="J415" i="16"/>
  <c r="L415" i="16" s="1"/>
  <c r="N415" i="16" s="1"/>
  <c r="J427" i="18"/>
  <c r="L427" i="18" s="1"/>
  <c r="N427" i="18" s="1"/>
  <c r="J392" i="16"/>
  <c r="L392" i="16" s="1"/>
  <c r="N392" i="16" s="1"/>
  <c r="J394" i="20"/>
  <c r="L394" i="20" s="1"/>
  <c r="N394" i="20" s="1"/>
  <c r="J395" i="18"/>
  <c r="L395" i="18" s="1"/>
  <c r="N395" i="18" s="1"/>
  <c r="J163" i="16"/>
  <c r="L163" i="16" s="1"/>
  <c r="N163" i="16" s="1"/>
  <c r="J198" i="24"/>
  <c r="L198" i="24" s="1"/>
  <c r="N198" i="24" s="1"/>
  <c r="J163" i="22"/>
  <c r="L163" i="22" s="1"/>
  <c r="N163" i="22" s="1"/>
  <c r="J163" i="20"/>
  <c r="L163" i="20" s="1"/>
  <c r="N163" i="20" s="1"/>
  <c r="J163" i="18"/>
  <c r="L163" i="18" s="1"/>
  <c r="N163" i="18" s="1"/>
  <c r="J19" i="16"/>
  <c r="L19" i="16" s="1"/>
  <c r="N19" i="16" s="1"/>
  <c r="J19" i="24"/>
  <c r="L19" i="24" s="1"/>
  <c r="N19" i="24" s="1"/>
  <c r="J19" i="22"/>
  <c r="L19" i="22" s="1"/>
  <c r="N19" i="22" s="1"/>
  <c r="J19" i="20"/>
  <c r="L19" i="20" s="1"/>
  <c r="N19" i="20" s="1"/>
  <c r="J19" i="18"/>
  <c r="L19" i="18" s="1"/>
  <c r="N19" i="18" s="1"/>
  <c r="AJ186" i="15"/>
  <c r="AJ22" i="15"/>
  <c r="Z183" i="2"/>
  <c r="J393" i="13"/>
  <c r="L393" i="13" s="1"/>
  <c r="N393" i="13" s="1"/>
  <c r="J388" i="16"/>
  <c r="L388" i="16" s="1"/>
  <c r="N388" i="16" s="1"/>
  <c r="AJ32" i="15"/>
  <c r="W183" i="15"/>
  <c r="U183" i="15"/>
  <c r="AJ14" i="15"/>
  <c r="J16" i="13"/>
  <c r="L16" i="13" s="1"/>
  <c r="N16" i="13" s="1"/>
  <c r="J16" i="16"/>
  <c r="L16" i="16" s="1"/>
  <c r="N16" i="16" s="1"/>
  <c r="J597" i="11"/>
  <c r="L597" i="11" s="1"/>
  <c r="N597" i="11" s="1"/>
  <c r="J602" i="13"/>
  <c r="L602" i="13" s="1"/>
  <c r="N602" i="13" s="1"/>
  <c r="J562" i="11"/>
  <c r="L562" i="11" s="1"/>
  <c r="N562" i="11" s="1"/>
  <c r="J567" i="13"/>
  <c r="L567" i="13" s="1"/>
  <c r="N567" i="13" s="1"/>
  <c r="J537" i="11"/>
  <c r="L537" i="11" s="1"/>
  <c r="N537" i="11" s="1"/>
  <c r="J542" i="13"/>
  <c r="L542" i="13" s="1"/>
  <c r="N542" i="13" s="1"/>
  <c r="J520" i="11"/>
  <c r="L520" i="11" s="1"/>
  <c r="N520" i="11" s="1"/>
  <c r="J525" i="13"/>
  <c r="L525" i="13" s="1"/>
  <c r="N525" i="13" s="1"/>
  <c r="J19" i="11"/>
  <c r="L19" i="11" s="1"/>
  <c r="N19" i="11" s="1"/>
  <c r="J19" i="13"/>
  <c r="L19" i="13" s="1"/>
  <c r="N19" i="13" s="1"/>
  <c r="J587" i="11"/>
  <c r="L587" i="11" s="1"/>
  <c r="N587" i="11" s="1"/>
  <c r="J592" i="13"/>
  <c r="L592" i="13" s="1"/>
  <c r="N592" i="13" s="1"/>
  <c r="J579" i="11"/>
  <c r="L579" i="11" s="1"/>
  <c r="N579" i="11" s="1"/>
  <c r="J584" i="13"/>
  <c r="L584" i="13" s="1"/>
  <c r="N584" i="13" s="1"/>
  <c r="J561" i="11"/>
  <c r="L561" i="11" s="1"/>
  <c r="N561" i="11" s="1"/>
  <c r="J566" i="13"/>
  <c r="L566" i="13" s="1"/>
  <c r="N566" i="13" s="1"/>
  <c r="J536" i="11"/>
  <c r="L536" i="11" s="1"/>
  <c r="N536" i="11" s="1"/>
  <c r="J541" i="13"/>
  <c r="L541" i="13" s="1"/>
  <c r="N541" i="13" s="1"/>
  <c r="J519" i="11"/>
  <c r="L519" i="11" s="1"/>
  <c r="N519" i="11" s="1"/>
  <c r="J524" i="13"/>
  <c r="L524" i="13" s="1"/>
  <c r="N524" i="13" s="1"/>
  <c r="J509" i="11"/>
  <c r="L509" i="11" s="1"/>
  <c r="N509" i="11" s="1"/>
  <c r="J514" i="13"/>
  <c r="L514" i="13" s="1"/>
  <c r="N514" i="13" s="1"/>
  <c r="J408" i="11"/>
  <c r="L408" i="11" s="1"/>
  <c r="N408" i="11" s="1"/>
  <c r="J411" i="13"/>
  <c r="L411" i="13" s="1"/>
  <c r="N411" i="13" s="1"/>
  <c r="J154" i="11"/>
  <c r="L154" i="11" s="1"/>
  <c r="N154" i="11" s="1"/>
  <c r="J154" i="13"/>
  <c r="L154" i="13" s="1"/>
  <c r="N154" i="13" s="1"/>
  <c r="J710" i="11"/>
  <c r="L710" i="11" s="1"/>
  <c r="N710" i="11" s="1"/>
  <c r="J649" i="13"/>
  <c r="L649" i="13" s="1"/>
  <c r="N649" i="13" s="1"/>
  <c r="J594" i="11"/>
  <c r="L594" i="11" s="1"/>
  <c r="N594" i="11" s="1"/>
  <c r="J599" i="13"/>
  <c r="L599" i="13" s="1"/>
  <c r="N599" i="13" s="1"/>
  <c r="J560" i="11"/>
  <c r="L560" i="11" s="1"/>
  <c r="N560" i="11" s="1"/>
  <c r="J565" i="13"/>
  <c r="L565" i="13" s="1"/>
  <c r="N565" i="13" s="1"/>
  <c r="J535" i="11"/>
  <c r="L535" i="11" s="1"/>
  <c r="N535" i="11" s="1"/>
  <c r="J540" i="13"/>
  <c r="L540" i="13" s="1"/>
  <c r="N540" i="13" s="1"/>
  <c r="J527" i="11"/>
  <c r="L527" i="11" s="1"/>
  <c r="N527" i="11" s="1"/>
  <c r="J532" i="13"/>
  <c r="L532" i="13" s="1"/>
  <c r="N532" i="13" s="1"/>
  <c r="J407" i="11"/>
  <c r="L407" i="11" s="1"/>
  <c r="N407" i="11" s="1"/>
  <c r="J410" i="13"/>
  <c r="L410" i="13" s="1"/>
  <c r="N410" i="13" s="1"/>
  <c r="J302" i="11"/>
  <c r="L302" i="11" s="1"/>
  <c r="N302" i="11" s="1"/>
  <c r="J302" i="13"/>
  <c r="L302" i="13" s="1"/>
  <c r="N302" i="13" s="1"/>
  <c r="J709" i="11"/>
  <c r="L709" i="11" s="1"/>
  <c r="N709" i="11" s="1"/>
  <c r="J648" i="13"/>
  <c r="L648" i="13" s="1"/>
  <c r="N648" i="13" s="1"/>
  <c r="J611" i="11"/>
  <c r="L611" i="11" s="1"/>
  <c r="N611" i="11" s="1"/>
  <c r="J623" i="13"/>
  <c r="J616" i="13"/>
  <c r="L616" i="13" s="1"/>
  <c r="N616" i="13" s="1"/>
  <c r="J602" i="11"/>
  <c r="L602" i="11" s="1"/>
  <c r="N602" i="11" s="1"/>
  <c r="J607" i="13"/>
  <c r="L607" i="13" s="1"/>
  <c r="N607" i="13" s="1"/>
  <c r="J593" i="11"/>
  <c r="L593" i="11" s="1"/>
  <c r="N593" i="11" s="1"/>
  <c r="J598" i="13"/>
  <c r="L598" i="13" s="1"/>
  <c r="N598" i="13" s="1"/>
  <c r="J585" i="11"/>
  <c r="L585" i="11" s="1"/>
  <c r="N585" i="11" s="1"/>
  <c r="J590" i="13"/>
  <c r="L590" i="13" s="1"/>
  <c r="N590" i="13" s="1"/>
  <c r="J577" i="11"/>
  <c r="L577" i="11" s="1"/>
  <c r="N577" i="11" s="1"/>
  <c r="J582" i="13"/>
  <c r="L582" i="13" s="1"/>
  <c r="N582" i="13" s="1"/>
  <c r="J568" i="11"/>
  <c r="L568" i="11" s="1"/>
  <c r="N568" i="11" s="1"/>
  <c r="J573" i="13"/>
  <c r="L573" i="13" s="1"/>
  <c r="N573" i="13" s="1"/>
  <c r="J559" i="11"/>
  <c r="L559" i="11" s="1"/>
  <c r="N559" i="11" s="1"/>
  <c r="J564" i="13"/>
  <c r="L564" i="13" s="1"/>
  <c r="N564" i="13" s="1"/>
  <c r="J550" i="11"/>
  <c r="L550" i="11" s="1"/>
  <c r="N550" i="11" s="1"/>
  <c r="J555" i="13"/>
  <c r="L555" i="13" s="1"/>
  <c r="N555" i="13" s="1"/>
  <c r="J542" i="11"/>
  <c r="L542" i="11" s="1"/>
  <c r="N542" i="11" s="1"/>
  <c r="J547" i="13"/>
  <c r="L547" i="13" s="1"/>
  <c r="N547" i="13" s="1"/>
  <c r="J534" i="11"/>
  <c r="L534" i="11" s="1"/>
  <c r="N534" i="11" s="1"/>
  <c r="J539" i="13"/>
  <c r="L539" i="13" s="1"/>
  <c r="N539" i="13" s="1"/>
  <c r="J526" i="11"/>
  <c r="L526" i="11" s="1"/>
  <c r="N526" i="11" s="1"/>
  <c r="J531" i="13"/>
  <c r="L531" i="13" s="1"/>
  <c r="N531" i="13" s="1"/>
  <c r="J516" i="11"/>
  <c r="L516" i="11" s="1"/>
  <c r="N516" i="11" s="1"/>
  <c r="J521" i="13"/>
  <c r="L521" i="13" s="1"/>
  <c r="N521" i="13" s="1"/>
  <c r="J507" i="11"/>
  <c r="L507" i="11" s="1"/>
  <c r="N507" i="11" s="1"/>
  <c r="J512" i="13"/>
  <c r="L512" i="13" s="1"/>
  <c r="N512" i="13" s="1"/>
  <c r="J498" i="11"/>
  <c r="L498" i="11" s="1"/>
  <c r="N498" i="11" s="1"/>
  <c r="J503" i="13"/>
  <c r="L503" i="13" s="1"/>
  <c r="N503" i="13" s="1"/>
  <c r="J15" i="11"/>
  <c r="L15" i="11" s="1"/>
  <c r="N15" i="11" s="1"/>
  <c r="J15" i="13"/>
  <c r="L15" i="13" s="1"/>
  <c r="N15" i="13" s="1"/>
  <c r="J571" i="11"/>
  <c r="L571" i="11" s="1"/>
  <c r="N571" i="11" s="1"/>
  <c r="J576" i="13"/>
  <c r="L576" i="13" s="1"/>
  <c r="N576" i="13" s="1"/>
  <c r="J595" i="11"/>
  <c r="L595" i="11" s="1"/>
  <c r="N595" i="11" s="1"/>
  <c r="J600" i="13"/>
  <c r="L600" i="13" s="1"/>
  <c r="N600" i="13" s="1"/>
  <c r="J570" i="11"/>
  <c r="L570" i="11" s="1"/>
  <c r="N570" i="11" s="1"/>
  <c r="J575" i="13"/>
  <c r="L575" i="13" s="1"/>
  <c r="N575" i="13" s="1"/>
  <c r="J544" i="11"/>
  <c r="L544" i="11" s="1"/>
  <c r="N544" i="11" s="1"/>
  <c r="J549" i="13"/>
  <c r="L549" i="13" s="1"/>
  <c r="N549" i="13" s="1"/>
  <c r="J528" i="11"/>
  <c r="L528" i="11" s="1"/>
  <c r="N528" i="11" s="1"/>
  <c r="J533" i="13"/>
  <c r="L533" i="13" s="1"/>
  <c r="N533" i="13" s="1"/>
  <c r="J500" i="11"/>
  <c r="L500" i="11" s="1"/>
  <c r="N500" i="11" s="1"/>
  <c r="J505" i="13"/>
  <c r="L505" i="13" s="1"/>
  <c r="N505" i="13" s="1"/>
  <c r="J17" i="11"/>
  <c r="L17" i="11" s="1"/>
  <c r="N17" i="11" s="1"/>
  <c r="J17" i="13"/>
  <c r="L17" i="13" s="1"/>
  <c r="N17" i="13" s="1"/>
  <c r="J603" i="11"/>
  <c r="L603" i="11" s="1"/>
  <c r="N603" i="11" s="1"/>
  <c r="J608" i="13"/>
  <c r="L608" i="13" s="1"/>
  <c r="N608" i="13" s="1"/>
  <c r="J569" i="11"/>
  <c r="L569" i="11" s="1"/>
  <c r="N569" i="11" s="1"/>
  <c r="J574" i="13"/>
  <c r="L574" i="13" s="1"/>
  <c r="N574" i="13" s="1"/>
  <c r="J543" i="11"/>
  <c r="L543" i="11" s="1"/>
  <c r="N543" i="11" s="1"/>
  <c r="J548" i="13"/>
  <c r="L548" i="13" s="1"/>
  <c r="N548" i="13" s="1"/>
  <c r="J518" i="11"/>
  <c r="L518" i="11" s="1"/>
  <c r="N518" i="11" s="1"/>
  <c r="J523" i="13"/>
  <c r="L523" i="13" s="1"/>
  <c r="N523" i="13" s="1"/>
  <c r="J601" i="11"/>
  <c r="L601" i="11" s="1"/>
  <c r="N601" i="11" s="1"/>
  <c r="J606" i="13"/>
  <c r="L606" i="13" s="1"/>
  <c r="N606" i="13" s="1"/>
  <c r="J576" i="11"/>
  <c r="L576" i="11" s="1"/>
  <c r="N576" i="11" s="1"/>
  <c r="J581" i="13"/>
  <c r="L581" i="13" s="1"/>
  <c r="N581" i="13" s="1"/>
  <c r="J549" i="11"/>
  <c r="L549" i="11" s="1"/>
  <c r="N549" i="11" s="1"/>
  <c r="J554" i="13"/>
  <c r="L554" i="13" s="1"/>
  <c r="N554" i="13" s="1"/>
  <c r="J524" i="11"/>
  <c r="L524" i="11" s="1"/>
  <c r="N524" i="11" s="1"/>
  <c r="J529" i="13"/>
  <c r="L529" i="13" s="1"/>
  <c r="N529" i="13" s="1"/>
  <c r="J608" i="11"/>
  <c r="L608" i="11" s="1"/>
  <c r="N608" i="11" s="1"/>
  <c r="J613" i="13"/>
  <c r="L613" i="13" s="1"/>
  <c r="N613" i="13" s="1"/>
  <c r="J600" i="11"/>
  <c r="L600" i="11" s="1"/>
  <c r="N600" i="11" s="1"/>
  <c r="J605" i="13"/>
  <c r="L605" i="13" s="1"/>
  <c r="N605" i="13" s="1"/>
  <c r="J591" i="11"/>
  <c r="L591" i="11" s="1"/>
  <c r="N591" i="11" s="1"/>
  <c r="J596" i="13"/>
  <c r="L596" i="13" s="1"/>
  <c r="N596" i="13" s="1"/>
  <c r="J583" i="11"/>
  <c r="L583" i="11" s="1"/>
  <c r="N583" i="11" s="1"/>
  <c r="J588" i="13"/>
  <c r="L588" i="13" s="1"/>
  <c r="N588" i="13" s="1"/>
  <c r="J575" i="11"/>
  <c r="L575" i="11" s="1"/>
  <c r="N575" i="11" s="1"/>
  <c r="J580" i="13"/>
  <c r="L580" i="13" s="1"/>
  <c r="N580" i="13" s="1"/>
  <c r="J566" i="11"/>
  <c r="L566" i="11" s="1"/>
  <c r="N566" i="11" s="1"/>
  <c r="J571" i="13"/>
  <c r="L571" i="13" s="1"/>
  <c r="N571" i="13" s="1"/>
  <c r="J557" i="11"/>
  <c r="L557" i="11" s="1"/>
  <c r="N557" i="11" s="1"/>
  <c r="J562" i="13"/>
  <c r="L562" i="13" s="1"/>
  <c r="N562" i="13" s="1"/>
  <c r="J548" i="11"/>
  <c r="L548" i="11" s="1"/>
  <c r="N548" i="11" s="1"/>
  <c r="J553" i="13"/>
  <c r="L553" i="13" s="1"/>
  <c r="N553" i="13" s="1"/>
  <c r="J540" i="11"/>
  <c r="L540" i="11" s="1"/>
  <c r="N540" i="11" s="1"/>
  <c r="J545" i="13"/>
  <c r="L545" i="13" s="1"/>
  <c r="N545" i="13" s="1"/>
  <c r="J532" i="11"/>
  <c r="L532" i="11" s="1"/>
  <c r="N532" i="11" s="1"/>
  <c r="J537" i="13"/>
  <c r="L537" i="13" s="1"/>
  <c r="N537" i="13" s="1"/>
  <c r="J523" i="11"/>
  <c r="L523" i="11" s="1"/>
  <c r="N523" i="11" s="1"/>
  <c r="J528" i="13"/>
  <c r="L528" i="13" s="1"/>
  <c r="N528" i="13" s="1"/>
  <c r="J514" i="11"/>
  <c r="L514" i="11" s="1"/>
  <c r="N514" i="11" s="1"/>
  <c r="J519" i="13"/>
  <c r="L519" i="13" s="1"/>
  <c r="N519" i="13" s="1"/>
  <c r="J505" i="11"/>
  <c r="L505" i="11" s="1"/>
  <c r="N505" i="11" s="1"/>
  <c r="J510" i="13"/>
  <c r="L510" i="13" s="1"/>
  <c r="N510" i="13" s="1"/>
  <c r="J401" i="11"/>
  <c r="L401" i="11" s="1"/>
  <c r="N401" i="11" s="1"/>
  <c r="J405" i="13"/>
  <c r="L405" i="13" s="1"/>
  <c r="N405" i="13" s="1"/>
  <c r="J387" i="11"/>
  <c r="L387" i="11" s="1"/>
  <c r="N387" i="11" s="1"/>
  <c r="J387" i="13"/>
  <c r="L387" i="13" s="1"/>
  <c r="N387" i="13" s="1"/>
  <c r="J257" i="11"/>
  <c r="L257" i="11" s="1"/>
  <c r="N257" i="11" s="1"/>
  <c r="J257" i="13"/>
  <c r="L257" i="13" s="1"/>
  <c r="N257" i="13" s="1"/>
  <c r="J25" i="11"/>
  <c r="L25" i="11" s="1"/>
  <c r="N25" i="11" s="1"/>
  <c r="J25" i="13"/>
  <c r="L25" i="13" s="1"/>
  <c r="N25" i="13" s="1"/>
  <c r="J620" i="11"/>
  <c r="L620" i="11" s="1"/>
  <c r="N620" i="11" s="1"/>
  <c r="J626" i="13"/>
  <c r="L626" i="13" s="1"/>
  <c r="N626" i="13" s="1"/>
  <c r="J588" i="11"/>
  <c r="L588" i="11" s="1"/>
  <c r="N588" i="11" s="1"/>
  <c r="J593" i="13"/>
  <c r="L593" i="13" s="1"/>
  <c r="N593" i="13" s="1"/>
  <c r="J553" i="11"/>
  <c r="L553" i="11" s="1"/>
  <c r="N553" i="11" s="1"/>
  <c r="J558" i="13"/>
  <c r="L558" i="13" s="1"/>
  <c r="N558" i="13" s="1"/>
  <c r="J529" i="11"/>
  <c r="L529" i="11" s="1"/>
  <c r="N529" i="11" s="1"/>
  <c r="J534" i="13"/>
  <c r="L534" i="13" s="1"/>
  <c r="N534" i="13" s="1"/>
  <c r="J502" i="11"/>
  <c r="L502" i="11" s="1"/>
  <c r="N502" i="11" s="1"/>
  <c r="J507" i="13"/>
  <c r="L507" i="13" s="1"/>
  <c r="N507" i="13" s="1"/>
  <c r="J578" i="11"/>
  <c r="L578" i="11" s="1"/>
  <c r="N578" i="11" s="1"/>
  <c r="J583" i="13"/>
  <c r="L583" i="13" s="1"/>
  <c r="N583" i="13" s="1"/>
  <c r="J508" i="11"/>
  <c r="L508" i="11" s="1"/>
  <c r="N508" i="11" s="1"/>
  <c r="J513" i="13"/>
  <c r="L513" i="13" s="1"/>
  <c r="N513" i="13" s="1"/>
  <c r="J643" i="11"/>
  <c r="L643" i="11" s="1"/>
  <c r="N643" i="11" s="1"/>
  <c r="J631" i="13"/>
  <c r="L631" i="13" s="1"/>
  <c r="N631" i="13" s="1"/>
  <c r="J592" i="11"/>
  <c r="L592" i="11" s="1"/>
  <c r="N592" i="11" s="1"/>
  <c r="J597" i="13"/>
  <c r="L597" i="13" s="1"/>
  <c r="N597" i="13" s="1"/>
  <c r="J567" i="11"/>
  <c r="L567" i="11" s="1"/>
  <c r="N567" i="11" s="1"/>
  <c r="J572" i="13"/>
  <c r="L572" i="13" s="1"/>
  <c r="N572" i="13" s="1"/>
  <c r="J541" i="11"/>
  <c r="L541" i="11" s="1"/>
  <c r="N541" i="11" s="1"/>
  <c r="J546" i="13"/>
  <c r="L546" i="13" s="1"/>
  <c r="N546" i="13" s="1"/>
  <c r="J533" i="11"/>
  <c r="L533" i="11" s="1"/>
  <c r="N533" i="11" s="1"/>
  <c r="J538" i="13"/>
  <c r="L538" i="13" s="1"/>
  <c r="N538" i="13" s="1"/>
  <c r="J506" i="11"/>
  <c r="L506" i="11" s="1"/>
  <c r="N506" i="11" s="1"/>
  <c r="J511" i="13"/>
  <c r="L511" i="13" s="1"/>
  <c r="N511" i="13" s="1"/>
  <c r="J622" i="11"/>
  <c r="L622" i="11" s="1"/>
  <c r="N622" i="11" s="1"/>
  <c r="J628" i="13"/>
  <c r="J607" i="11"/>
  <c r="L607" i="11" s="1"/>
  <c r="N607" i="11" s="1"/>
  <c r="J612" i="13"/>
  <c r="L612" i="13" s="1"/>
  <c r="N612" i="13" s="1"/>
  <c r="J599" i="11"/>
  <c r="L599" i="11" s="1"/>
  <c r="N599" i="11" s="1"/>
  <c r="J604" i="13"/>
  <c r="L604" i="13" s="1"/>
  <c r="N604" i="13" s="1"/>
  <c r="J590" i="11"/>
  <c r="L590" i="11" s="1"/>
  <c r="N590" i="11" s="1"/>
  <c r="J595" i="13"/>
  <c r="L595" i="13" s="1"/>
  <c r="N595" i="13" s="1"/>
  <c r="J582" i="11"/>
  <c r="L582" i="11" s="1"/>
  <c r="N582" i="11" s="1"/>
  <c r="J587" i="13"/>
  <c r="L587" i="13" s="1"/>
  <c r="N587" i="13" s="1"/>
  <c r="J574" i="11"/>
  <c r="L574" i="11" s="1"/>
  <c r="N574" i="11" s="1"/>
  <c r="J579" i="13"/>
  <c r="L579" i="13" s="1"/>
  <c r="N579" i="13" s="1"/>
  <c r="J565" i="11"/>
  <c r="L565" i="11" s="1"/>
  <c r="N565" i="11" s="1"/>
  <c r="J570" i="13"/>
  <c r="L570" i="13" s="1"/>
  <c r="N570" i="13" s="1"/>
  <c r="J556" i="11"/>
  <c r="L556" i="11" s="1"/>
  <c r="N556" i="11" s="1"/>
  <c r="J561" i="13"/>
  <c r="L561" i="13" s="1"/>
  <c r="N561" i="13" s="1"/>
  <c r="J547" i="11"/>
  <c r="L547" i="11" s="1"/>
  <c r="N547" i="11" s="1"/>
  <c r="J552" i="13"/>
  <c r="L552" i="13" s="1"/>
  <c r="N552" i="13" s="1"/>
  <c r="J539" i="11"/>
  <c r="L539" i="11" s="1"/>
  <c r="N539" i="11" s="1"/>
  <c r="J544" i="13"/>
  <c r="L544" i="13" s="1"/>
  <c r="N544" i="13" s="1"/>
  <c r="J531" i="11"/>
  <c r="L531" i="11" s="1"/>
  <c r="N531" i="11" s="1"/>
  <c r="J536" i="13"/>
  <c r="L536" i="13" s="1"/>
  <c r="N536" i="13" s="1"/>
  <c r="J522" i="11"/>
  <c r="L522" i="11" s="1"/>
  <c r="N522" i="11" s="1"/>
  <c r="J527" i="13"/>
  <c r="L527" i="13" s="1"/>
  <c r="N527" i="13" s="1"/>
  <c r="J513" i="11"/>
  <c r="L513" i="11" s="1"/>
  <c r="N513" i="11" s="1"/>
  <c r="J518" i="13"/>
  <c r="L518" i="13" s="1"/>
  <c r="N518" i="13" s="1"/>
  <c r="J504" i="11"/>
  <c r="L504" i="11" s="1"/>
  <c r="N504" i="11" s="1"/>
  <c r="J509" i="13"/>
  <c r="L509" i="13" s="1"/>
  <c r="N509" i="13" s="1"/>
  <c r="J400" i="11"/>
  <c r="L400" i="11" s="1"/>
  <c r="N400" i="11" s="1"/>
  <c r="J404" i="13"/>
  <c r="L404" i="13" s="1"/>
  <c r="N404" i="13" s="1"/>
  <c r="J24" i="11"/>
  <c r="L24" i="11" s="1"/>
  <c r="N24" i="11" s="1"/>
  <c r="J24" i="13"/>
  <c r="L24" i="13" s="1"/>
  <c r="N24" i="13" s="1"/>
  <c r="J605" i="11"/>
  <c r="L605" i="11" s="1"/>
  <c r="N605" i="11" s="1"/>
  <c r="J610" i="13"/>
  <c r="L610" i="13" s="1"/>
  <c r="N610" i="13" s="1"/>
  <c r="J580" i="11"/>
  <c r="L580" i="11" s="1"/>
  <c r="N580" i="11" s="1"/>
  <c r="J585" i="13"/>
  <c r="L585" i="13" s="1"/>
  <c r="N585" i="13" s="1"/>
  <c r="J545" i="11"/>
  <c r="L545" i="11" s="1"/>
  <c r="N545" i="11" s="1"/>
  <c r="J550" i="13"/>
  <c r="L550" i="13" s="1"/>
  <c r="N550" i="13" s="1"/>
  <c r="J511" i="11"/>
  <c r="L511" i="11" s="1"/>
  <c r="N511" i="11" s="1"/>
  <c r="J516" i="13"/>
  <c r="L516" i="13" s="1"/>
  <c r="N516" i="13" s="1"/>
  <c r="J163" i="11"/>
  <c r="L163" i="11" s="1"/>
  <c r="N163" i="11" s="1"/>
  <c r="J163" i="13"/>
  <c r="L163" i="13" s="1"/>
  <c r="N163" i="13" s="1"/>
  <c r="J604" i="11"/>
  <c r="L604" i="11" s="1"/>
  <c r="N604" i="11" s="1"/>
  <c r="J609" i="13"/>
  <c r="L609" i="13" s="1"/>
  <c r="N609" i="13" s="1"/>
  <c r="J552" i="11"/>
  <c r="L552" i="11" s="1"/>
  <c r="N552" i="11" s="1"/>
  <c r="J557" i="13"/>
  <c r="L557" i="13" s="1"/>
  <c r="N557" i="13" s="1"/>
  <c r="J614" i="11"/>
  <c r="L614" i="11" s="1"/>
  <c r="N614" i="11" s="1"/>
  <c r="J619" i="13"/>
  <c r="L619" i="13" s="1"/>
  <c r="N619" i="13" s="1"/>
  <c r="J586" i="11"/>
  <c r="L586" i="11" s="1"/>
  <c r="N586" i="11" s="1"/>
  <c r="J591" i="13"/>
  <c r="L591" i="13" s="1"/>
  <c r="N591" i="13" s="1"/>
  <c r="J551" i="11"/>
  <c r="L551" i="11" s="1"/>
  <c r="N551" i="11" s="1"/>
  <c r="J556" i="13"/>
  <c r="L556" i="13" s="1"/>
  <c r="N556" i="13" s="1"/>
  <c r="J499" i="11"/>
  <c r="L499" i="11" s="1"/>
  <c r="N499" i="11" s="1"/>
  <c r="J504" i="13"/>
  <c r="L504" i="13" s="1"/>
  <c r="N504" i="13" s="1"/>
  <c r="J610" i="11"/>
  <c r="L610" i="11" s="1"/>
  <c r="N610" i="11" s="1"/>
  <c r="J615" i="13"/>
  <c r="L615" i="13" s="1"/>
  <c r="N615" i="13" s="1"/>
  <c r="J584" i="11"/>
  <c r="L584" i="11" s="1"/>
  <c r="N584" i="11" s="1"/>
  <c r="J589" i="13"/>
  <c r="L589" i="13" s="1"/>
  <c r="N589" i="13" s="1"/>
  <c r="J558" i="11"/>
  <c r="L558" i="11" s="1"/>
  <c r="N558" i="11" s="1"/>
  <c r="J563" i="13"/>
  <c r="L563" i="13" s="1"/>
  <c r="N563" i="13" s="1"/>
  <c r="J515" i="11"/>
  <c r="L515" i="11" s="1"/>
  <c r="N515" i="11" s="1"/>
  <c r="J520" i="13"/>
  <c r="L520" i="13" s="1"/>
  <c r="N520" i="13" s="1"/>
  <c r="J388" i="11"/>
  <c r="L388" i="11" s="1"/>
  <c r="N388" i="11" s="1"/>
  <c r="J388" i="13"/>
  <c r="L388" i="13" s="1"/>
  <c r="N388" i="13" s="1"/>
  <c r="J14" i="11"/>
  <c r="L14" i="11" s="1"/>
  <c r="N14" i="11" s="1"/>
  <c r="J14" i="13"/>
  <c r="L14" i="13" s="1"/>
  <c r="N14" i="13" s="1"/>
  <c r="Z30" i="2"/>
  <c r="J702" i="11"/>
  <c r="L702" i="11" s="1"/>
  <c r="N702" i="11" s="1"/>
  <c r="J641" i="13"/>
  <c r="L641" i="13" s="1"/>
  <c r="N641" i="13" s="1"/>
  <c r="J621" i="11"/>
  <c r="L621" i="11" s="1"/>
  <c r="N621" i="11" s="1"/>
  <c r="J627" i="13"/>
  <c r="L627" i="13" s="1"/>
  <c r="N627" i="13" s="1"/>
  <c r="J606" i="11"/>
  <c r="L606" i="11" s="1"/>
  <c r="N606" i="11" s="1"/>
  <c r="J611" i="13"/>
  <c r="L611" i="13" s="1"/>
  <c r="N611" i="13" s="1"/>
  <c r="J598" i="11"/>
  <c r="L598" i="11" s="1"/>
  <c r="N598" i="11" s="1"/>
  <c r="J603" i="13"/>
  <c r="L603" i="13" s="1"/>
  <c r="N603" i="13" s="1"/>
  <c r="J589" i="11"/>
  <c r="L589" i="11" s="1"/>
  <c r="N589" i="11" s="1"/>
  <c r="J594" i="13"/>
  <c r="L594" i="13" s="1"/>
  <c r="N594" i="13" s="1"/>
  <c r="J581" i="11"/>
  <c r="L581" i="11" s="1"/>
  <c r="N581" i="11" s="1"/>
  <c r="J586" i="13"/>
  <c r="L586" i="13" s="1"/>
  <c r="N586" i="13" s="1"/>
  <c r="J572" i="11"/>
  <c r="L572" i="11" s="1"/>
  <c r="N572" i="11" s="1"/>
  <c r="J577" i="13"/>
  <c r="L577" i="13" s="1"/>
  <c r="N577" i="13" s="1"/>
  <c r="J564" i="11"/>
  <c r="L564" i="11" s="1"/>
  <c r="N564" i="11" s="1"/>
  <c r="J569" i="13"/>
  <c r="L569" i="13" s="1"/>
  <c r="N569" i="13" s="1"/>
  <c r="J555" i="11"/>
  <c r="L555" i="11" s="1"/>
  <c r="N555" i="11" s="1"/>
  <c r="J560" i="13"/>
  <c r="L560" i="13" s="1"/>
  <c r="N560" i="13" s="1"/>
  <c r="J546" i="11"/>
  <c r="L546" i="11" s="1"/>
  <c r="N546" i="11" s="1"/>
  <c r="J551" i="13"/>
  <c r="L551" i="13" s="1"/>
  <c r="N551" i="13" s="1"/>
  <c r="J538" i="11"/>
  <c r="L538" i="11" s="1"/>
  <c r="N538" i="11" s="1"/>
  <c r="J543" i="13"/>
  <c r="L543" i="13" s="1"/>
  <c r="N543" i="13" s="1"/>
  <c r="J530" i="11"/>
  <c r="L530" i="11" s="1"/>
  <c r="N530" i="11" s="1"/>
  <c r="J535" i="13"/>
  <c r="L535" i="13" s="1"/>
  <c r="N535" i="13" s="1"/>
  <c r="J521" i="11"/>
  <c r="L521" i="11" s="1"/>
  <c r="N521" i="11" s="1"/>
  <c r="J526" i="13"/>
  <c r="L526" i="13" s="1"/>
  <c r="N526" i="13" s="1"/>
  <c r="J512" i="11"/>
  <c r="L512" i="11" s="1"/>
  <c r="N512" i="11" s="1"/>
  <c r="J517" i="13"/>
  <c r="L517" i="13" s="1"/>
  <c r="N517" i="13" s="1"/>
  <c r="J503" i="11"/>
  <c r="L503" i="11" s="1"/>
  <c r="N503" i="11" s="1"/>
  <c r="J508" i="13"/>
  <c r="L508" i="13" s="1"/>
  <c r="N508" i="13" s="1"/>
  <c r="J399" i="11"/>
  <c r="L399" i="11" s="1"/>
  <c r="N399" i="11" s="1"/>
  <c r="J403" i="13"/>
  <c r="L403" i="13" s="1"/>
  <c r="N403" i="13" s="1"/>
  <c r="J381" i="11"/>
  <c r="L381" i="11" s="1"/>
  <c r="N381" i="11" s="1"/>
  <c r="J381" i="13"/>
  <c r="L381" i="13" s="1"/>
  <c r="N381" i="13" s="1"/>
  <c r="J172" i="11"/>
  <c r="L172" i="11" s="1"/>
  <c r="N172" i="11" s="1"/>
  <c r="J172" i="13"/>
  <c r="L172" i="13" s="1"/>
  <c r="N172" i="13" s="1"/>
  <c r="J21" i="11"/>
  <c r="L21" i="11" s="1"/>
  <c r="N21" i="11" s="1"/>
  <c r="J21" i="13"/>
  <c r="L21" i="13" s="1"/>
  <c r="N21" i="13" s="1"/>
  <c r="J392" i="11"/>
  <c r="L392" i="11" s="1"/>
  <c r="N392" i="11" s="1"/>
  <c r="J395" i="13"/>
  <c r="L395" i="13" s="1"/>
  <c r="N395" i="13" s="1"/>
  <c r="J708" i="11"/>
  <c r="L708" i="11" s="1"/>
  <c r="N708" i="11" s="1"/>
  <c r="J646" i="13"/>
  <c r="L646" i="13" s="1"/>
  <c r="N646" i="13" s="1"/>
  <c r="J705" i="11"/>
  <c r="L705" i="11" s="1"/>
  <c r="N705" i="11" s="1"/>
  <c r="J644" i="13"/>
  <c r="L644" i="13" s="1"/>
  <c r="N644" i="13" s="1"/>
  <c r="J497" i="11"/>
  <c r="L497" i="11" s="1"/>
  <c r="N497" i="11" s="1"/>
  <c r="J441" i="5"/>
  <c r="L441" i="5" s="1"/>
  <c r="N441" i="5" s="1"/>
  <c r="J642" i="13"/>
  <c r="L642" i="13" s="1"/>
  <c r="N642" i="13" s="1"/>
  <c r="J682" i="11"/>
  <c r="L682" i="11" s="1"/>
  <c r="N682" i="11" s="1"/>
  <c r="J638" i="13"/>
  <c r="L638" i="13" s="1"/>
  <c r="N638" i="13" s="1"/>
  <c r="J664" i="11"/>
  <c r="L664" i="11" s="1"/>
  <c r="N664" i="11" s="1"/>
  <c r="J636" i="13"/>
  <c r="L636" i="13" s="1"/>
  <c r="N636" i="13" s="1"/>
  <c r="J646" i="11"/>
  <c r="L646" i="11" s="1"/>
  <c r="N646" i="11" s="1"/>
  <c r="J634" i="13"/>
  <c r="L634" i="13" s="1"/>
  <c r="N634" i="13" s="1"/>
  <c r="J421" i="5"/>
  <c r="L421" i="5" s="1"/>
  <c r="N421" i="5" s="1"/>
  <c r="J622" i="13"/>
  <c r="L622" i="13" s="1"/>
  <c r="N622" i="13" s="1"/>
  <c r="J625" i="13"/>
  <c r="L625" i="13" s="1"/>
  <c r="N625" i="13" s="1"/>
  <c r="J644" i="11"/>
  <c r="L644" i="11" s="1"/>
  <c r="N644" i="11" s="1"/>
  <c r="J632" i="13"/>
  <c r="L632" i="13" s="1"/>
  <c r="N632" i="13" s="1"/>
  <c r="J624" i="11"/>
  <c r="L624" i="11" s="1"/>
  <c r="N624" i="11" s="1"/>
  <c r="L629" i="13"/>
  <c r="N629" i="13" s="1"/>
  <c r="J492" i="11"/>
  <c r="L492" i="11" s="1"/>
  <c r="N492" i="11" s="1"/>
  <c r="J493" i="13"/>
  <c r="L493" i="13" s="1"/>
  <c r="N493" i="13" s="1"/>
  <c r="J488" i="11"/>
  <c r="L488" i="11" s="1"/>
  <c r="N488" i="11" s="1"/>
  <c r="J486" i="13"/>
  <c r="L486" i="13" s="1"/>
  <c r="N486" i="13" s="1"/>
  <c r="J484" i="11"/>
  <c r="L484" i="11" s="1"/>
  <c r="N484" i="11" s="1"/>
  <c r="J479" i="13"/>
  <c r="L479" i="13" s="1"/>
  <c r="N479" i="13" s="1"/>
  <c r="J410" i="11"/>
  <c r="L410" i="11" s="1"/>
  <c r="N410" i="11" s="1"/>
  <c r="J413" i="13"/>
  <c r="J405" i="11"/>
  <c r="L405" i="11" s="1"/>
  <c r="N405" i="11" s="1"/>
  <c r="J408" i="13"/>
  <c r="L408" i="13" s="1"/>
  <c r="N408" i="13" s="1"/>
  <c r="J402" i="11"/>
  <c r="L402" i="11" s="1"/>
  <c r="N402" i="11" s="1"/>
  <c r="J406" i="13"/>
  <c r="L406" i="13" s="1"/>
  <c r="N406" i="13" s="1"/>
  <c r="J393" i="11"/>
  <c r="L393" i="11" s="1"/>
  <c r="N393" i="11" s="1"/>
  <c r="J397" i="13"/>
  <c r="L397" i="13" s="1"/>
  <c r="N397" i="13" s="1"/>
  <c r="J389" i="11"/>
  <c r="L389" i="11" s="1"/>
  <c r="N389" i="11" s="1"/>
  <c r="J389" i="13"/>
  <c r="L389" i="13" s="1"/>
  <c r="N389" i="13" s="1"/>
  <c r="J384" i="11"/>
  <c r="L384" i="11" s="1"/>
  <c r="N384" i="11" s="1"/>
  <c r="J384" i="13"/>
  <c r="L384" i="13" s="1"/>
  <c r="N384" i="13" s="1"/>
  <c r="J16" i="9"/>
  <c r="L16" i="9" s="1"/>
  <c r="N16" i="9" s="1"/>
  <c r="J16" i="11"/>
  <c r="L16" i="11" s="1"/>
  <c r="N16" i="11" s="1"/>
  <c r="J517" i="9"/>
  <c r="L517" i="9" s="1"/>
  <c r="N517" i="9" s="1"/>
  <c r="J414" i="5"/>
  <c r="L414" i="5" s="1"/>
  <c r="N414" i="5" s="1"/>
  <c r="J491" i="9"/>
  <c r="L491" i="9" s="1"/>
  <c r="N491" i="9" s="1"/>
  <c r="J388" i="5"/>
  <c r="L388" i="5" s="1"/>
  <c r="N388" i="5" s="1"/>
  <c r="J456" i="9"/>
  <c r="L456" i="9" s="1"/>
  <c r="N456" i="9" s="1"/>
  <c r="J353" i="5"/>
  <c r="L353" i="5" s="1"/>
  <c r="N353" i="5" s="1"/>
  <c r="J431" i="9"/>
  <c r="L431" i="9" s="1"/>
  <c r="N431" i="9" s="1"/>
  <c r="J328" i="5"/>
  <c r="L328" i="5" s="1"/>
  <c r="N328" i="5" s="1"/>
  <c r="J301" i="5"/>
  <c r="L301" i="5" s="1"/>
  <c r="N301" i="5" s="1"/>
  <c r="J404" i="9"/>
  <c r="L404" i="9" s="1"/>
  <c r="N404" i="9" s="1"/>
  <c r="J15" i="5"/>
  <c r="J15" i="9"/>
  <c r="L15" i="9" s="1"/>
  <c r="N15" i="9" s="1"/>
  <c r="J395" i="5"/>
  <c r="L395" i="5" s="1"/>
  <c r="N395" i="5" s="1"/>
  <c r="J498" i="9"/>
  <c r="L498" i="9" s="1"/>
  <c r="N498" i="9" s="1"/>
  <c r="J482" i="9"/>
  <c r="L482" i="9" s="1"/>
  <c r="N482" i="9" s="1"/>
  <c r="J379" i="5"/>
  <c r="L379" i="5" s="1"/>
  <c r="N379" i="5" s="1"/>
  <c r="J464" i="9"/>
  <c r="L464" i="9" s="1"/>
  <c r="N464" i="9" s="1"/>
  <c r="J361" i="5"/>
  <c r="L361" i="5" s="1"/>
  <c r="N361" i="5" s="1"/>
  <c r="J447" i="9"/>
  <c r="L447" i="9" s="1"/>
  <c r="N447" i="9" s="1"/>
  <c r="J344" i="5"/>
  <c r="L344" i="5" s="1"/>
  <c r="N344" i="5" s="1"/>
  <c r="J95" i="3"/>
  <c r="L95" i="3" s="1"/>
  <c r="N95" i="3" s="1"/>
  <c r="J327" i="5"/>
  <c r="L327" i="5" s="1"/>
  <c r="N327" i="5" s="1"/>
  <c r="J430" i="9"/>
  <c r="L430" i="9" s="1"/>
  <c r="N430" i="9" s="1"/>
  <c r="J309" i="5"/>
  <c r="L309" i="5" s="1"/>
  <c r="N309" i="5" s="1"/>
  <c r="J412" i="9"/>
  <c r="L412" i="9" s="1"/>
  <c r="N412" i="9" s="1"/>
  <c r="J402" i="9"/>
  <c r="L402" i="9" s="1"/>
  <c r="N402" i="9" s="1"/>
  <c r="J299" i="5"/>
  <c r="L299" i="5" s="1"/>
  <c r="N299" i="5" s="1"/>
  <c r="J393" i="9"/>
  <c r="L393" i="9" s="1"/>
  <c r="N393" i="9" s="1"/>
  <c r="J290" i="5"/>
  <c r="L290" i="5" s="1"/>
  <c r="N290" i="5" s="1"/>
  <c r="J50" i="3"/>
  <c r="L50" i="3" s="1"/>
  <c r="N50" i="3" s="1"/>
  <c r="J282" i="5"/>
  <c r="L282" i="5" s="1"/>
  <c r="N282" i="5" s="1"/>
  <c r="J385" i="9"/>
  <c r="L385" i="9" s="1"/>
  <c r="N385" i="9" s="1"/>
  <c r="J424" i="5"/>
  <c r="L424" i="5" s="1"/>
  <c r="N424" i="5" s="1"/>
  <c r="J528" i="9"/>
  <c r="L528" i="9" s="1"/>
  <c r="N528" i="9" s="1"/>
  <c r="J506" i="9"/>
  <c r="L506" i="9" s="1"/>
  <c r="N506" i="9" s="1"/>
  <c r="J403" i="5"/>
  <c r="L403" i="5" s="1"/>
  <c r="N403" i="5" s="1"/>
  <c r="J481" i="9"/>
  <c r="L481" i="9" s="1"/>
  <c r="N481" i="9" s="1"/>
  <c r="J378" i="5"/>
  <c r="L378" i="5" s="1"/>
  <c r="N378" i="5" s="1"/>
  <c r="J472" i="9"/>
  <c r="L472" i="9" s="1"/>
  <c r="N472" i="9" s="1"/>
  <c r="J369" i="5"/>
  <c r="L369" i="5" s="1"/>
  <c r="N369" i="5" s="1"/>
  <c r="J119" i="3"/>
  <c r="L119" i="3" s="1"/>
  <c r="N119" i="3" s="1"/>
  <c r="J454" i="9"/>
  <c r="L454" i="9" s="1"/>
  <c r="N454" i="9" s="1"/>
  <c r="J351" i="5"/>
  <c r="L351" i="5" s="1"/>
  <c r="N351" i="5" s="1"/>
  <c r="J438" i="9"/>
  <c r="L438" i="9" s="1"/>
  <c r="N438" i="9" s="1"/>
  <c r="J335" i="5"/>
  <c r="L335" i="5" s="1"/>
  <c r="N335" i="5" s="1"/>
  <c r="J429" i="9"/>
  <c r="L429" i="9" s="1"/>
  <c r="N429" i="9" s="1"/>
  <c r="J326" i="5"/>
  <c r="L326" i="5" s="1"/>
  <c r="N326" i="5" s="1"/>
  <c r="J76" i="3"/>
  <c r="L76" i="3" s="1"/>
  <c r="N76" i="3" s="1"/>
  <c r="J411" i="9"/>
  <c r="L411" i="9" s="1"/>
  <c r="N411" i="9" s="1"/>
  <c r="J308" i="5"/>
  <c r="L308" i="5" s="1"/>
  <c r="N308" i="5" s="1"/>
  <c r="J401" i="9"/>
  <c r="L401" i="9" s="1"/>
  <c r="N401" i="9" s="1"/>
  <c r="J298" i="5"/>
  <c r="L298" i="5" s="1"/>
  <c r="N298" i="5" s="1"/>
  <c r="J392" i="9"/>
  <c r="L392" i="9" s="1"/>
  <c r="N392" i="9" s="1"/>
  <c r="J289" i="5"/>
  <c r="L289" i="5" s="1"/>
  <c r="N289" i="5" s="1"/>
  <c r="J148" i="5"/>
  <c r="L148" i="5" s="1"/>
  <c r="N148" i="5" s="1"/>
  <c r="J257" i="9"/>
  <c r="L257" i="9" s="1"/>
  <c r="N257" i="9" s="1"/>
  <c r="J580" i="9"/>
  <c r="L580" i="9" s="1"/>
  <c r="N580" i="9" s="1"/>
  <c r="J440" i="5"/>
  <c r="L440" i="5" s="1"/>
  <c r="N440" i="5" s="1"/>
  <c r="J423" i="5"/>
  <c r="L423" i="5" s="1"/>
  <c r="N423" i="5" s="1"/>
  <c r="J527" i="9"/>
  <c r="L527" i="9" s="1"/>
  <c r="N527" i="9" s="1"/>
  <c r="J410" i="5"/>
  <c r="L410" i="5" s="1"/>
  <c r="N410" i="5" s="1"/>
  <c r="J513" i="9"/>
  <c r="L513" i="9" s="1"/>
  <c r="N513" i="9" s="1"/>
  <c r="J505" i="9"/>
  <c r="L505" i="9" s="1"/>
  <c r="N505" i="9" s="1"/>
  <c r="J402" i="5"/>
  <c r="L402" i="5" s="1"/>
  <c r="N402" i="5" s="1"/>
  <c r="J393" i="5"/>
  <c r="L393" i="5" s="1"/>
  <c r="N393" i="5" s="1"/>
  <c r="J496" i="9"/>
  <c r="L496" i="9" s="1"/>
  <c r="N496" i="9" s="1"/>
  <c r="J385" i="5"/>
  <c r="L385" i="5" s="1"/>
  <c r="N385" i="5" s="1"/>
  <c r="J488" i="9"/>
  <c r="L488" i="9" s="1"/>
  <c r="N488" i="9" s="1"/>
  <c r="J144" i="3"/>
  <c r="L144" i="3" s="1"/>
  <c r="N144" i="3" s="1"/>
  <c r="J376" i="5"/>
  <c r="L376" i="5" s="1"/>
  <c r="N376" i="5" s="1"/>
  <c r="J479" i="9"/>
  <c r="L479" i="9" s="1"/>
  <c r="N479" i="9" s="1"/>
  <c r="J368" i="5"/>
  <c r="L368" i="5" s="1"/>
  <c r="N368" i="5" s="1"/>
  <c r="J471" i="9"/>
  <c r="L471" i="9" s="1"/>
  <c r="N471" i="9" s="1"/>
  <c r="J359" i="5"/>
  <c r="L359" i="5" s="1"/>
  <c r="N359" i="5" s="1"/>
  <c r="J462" i="9"/>
  <c r="L462" i="9" s="1"/>
  <c r="N462" i="9" s="1"/>
  <c r="J350" i="5"/>
  <c r="L350" i="5" s="1"/>
  <c r="N350" i="5" s="1"/>
  <c r="J453" i="9"/>
  <c r="L453" i="9" s="1"/>
  <c r="N453" i="9" s="1"/>
  <c r="J445" i="9"/>
  <c r="L445" i="9" s="1"/>
  <c r="N445" i="9" s="1"/>
  <c r="J342" i="5"/>
  <c r="L342" i="5" s="1"/>
  <c r="N342" i="5" s="1"/>
  <c r="J102" i="3"/>
  <c r="L102" i="3" s="1"/>
  <c r="N102" i="3" s="1"/>
  <c r="J334" i="5"/>
  <c r="L334" i="5" s="1"/>
  <c r="N334" i="5" s="1"/>
  <c r="J437" i="9"/>
  <c r="L437" i="9" s="1"/>
  <c r="N437" i="9" s="1"/>
  <c r="J325" i="5"/>
  <c r="L325" i="5" s="1"/>
  <c r="N325" i="5" s="1"/>
  <c r="J428" i="9"/>
  <c r="L428" i="9" s="1"/>
  <c r="N428" i="9" s="1"/>
  <c r="J316" i="5"/>
  <c r="L316" i="5" s="1"/>
  <c r="N316" i="5" s="1"/>
  <c r="J419" i="9"/>
  <c r="L419" i="9" s="1"/>
  <c r="N419" i="9" s="1"/>
  <c r="J75" i="3"/>
  <c r="L75" i="3" s="1"/>
  <c r="N75" i="3" s="1"/>
  <c r="J307" i="5"/>
  <c r="L307" i="5" s="1"/>
  <c r="N307" i="5" s="1"/>
  <c r="J410" i="9"/>
  <c r="L410" i="9" s="1"/>
  <c r="N410" i="9" s="1"/>
  <c r="J297" i="5"/>
  <c r="L297" i="5" s="1"/>
  <c r="N297" i="5" s="1"/>
  <c r="J400" i="9"/>
  <c r="L400" i="9" s="1"/>
  <c r="N400" i="9" s="1"/>
  <c r="J288" i="5"/>
  <c r="L288" i="5" s="1"/>
  <c r="N288" i="5" s="1"/>
  <c r="J391" i="9"/>
  <c r="L391" i="9" s="1"/>
  <c r="N391" i="9" s="1"/>
  <c r="J383" i="9"/>
  <c r="L383" i="9" s="1"/>
  <c r="N383" i="9" s="1"/>
  <c r="J280" i="5"/>
  <c r="L280" i="5" s="1"/>
  <c r="N280" i="5" s="1"/>
  <c r="J14" i="9"/>
  <c r="L14" i="9" s="1"/>
  <c r="N14" i="9" s="1"/>
  <c r="J14" i="5"/>
  <c r="L14" i="5" s="1"/>
  <c r="N14" i="5" s="1"/>
  <c r="J586" i="9"/>
  <c r="L586" i="9" s="1"/>
  <c r="N586" i="9" s="1"/>
  <c r="J443" i="5"/>
  <c r="L443" i="5" s="1"/>
  <c r="N443" i="5" s="1"/>
  <c r="J508" i="9"/>
  <c r="L508" i="9" s="1"/>
  <c r="N508" i="9" s="1"/>
  <c r="J405" i="5"/>
  <c r="L405" i="5" s="1"/>
  <c r="N405" i="5" s="1"/>
  <c r="J465" i="9"/>
  <c r="L465" i="9" s="1"/>
  <c r="N465" i="9" s="1"/>
  <c r="J362" i="5"/>
  <c r="L362" i="5" s="1"/>
  <c r="N362" i="5" s="1"/>
  <c r="J422" i="9"/>
  <c r="L422" i="9" s="1"/>
  <c r="N422" i="9" s="1"/>
  <c r="J319" i="5"/>
  <c r="L319" i="5" s="1"/>
  <c r="N319" i="5" s="1"/>
  <c r="N72" i="9"/>
  <c r="J52" i="5"/>
  <c r="L52" i="5" s="1"/>
  <c r="N52" i="5" s="1"/>
  <c r="J585" i="9"/>
  <c r="L585" i="9" s="1"/>
  <c r="N585" i="9" s="1"/>
  <c r="J442" i="5"/>
  <c r="L442" i="5" s="1"/>
  <c r="N442" i="5" s="1"/>
  <c r="J515" i="9"/>
  <c r="L515" i="9" s="1"/>
  <c r="N515" i="9" s="1"/>
  <c r="J412" i="5"/>
  <c r="L412" i="5" s="1"/>
  <c r="N412" i="5" s="1"/>
  <c r="J507" i="9"/>
  <c r="L507" i="9" s="1"/>
  <c r="N507" i="9" s="1"/>
  <c r="J404" i="5"/>
  <c r="L404" i="5" s="1"/>
  <c r="N404" i="5" s="1"/>
  <c r="J490" i="9"/>
  <c r="L490" i="9" s="1"/>
  <c r="N490" i="9" s="1"/>
  <c r="J387" i="5"/>
  <c r="L387" i="5" s="1"/>
  <c r="N387" i="5" s="1"/>
  <c r="J473" i="9"/>
  <c r="L473" i="9" s="1"/>
  <c r="N473" i="9" s="1"/>
  <c r="J370" i="5"/>
  <c r="L370" i="5" s="1"/>
  <c r="N370" i="5" s="1"/>
  <c r="J120" i="3"/>
  <c r="L120" i="3" s="1"/>
  <c r="N120" i="3" s="1"/>
  <c r="J455" i="9"/>
  <c r="L455" i="9" s="1"/>
  <c r="N455" i="9" s="1"/>
  <c r="J352" i="5"/>
  <c r="L352" i="5" s="1"/>
  <c r="N352" i="5" s="1"/>
  <c r="J439" i="9"/>
  <c r="L439" i="9" s="1"/>
  <c r="N439" i="9" s="1"/>
  <c r="J336" i="5"/>
  <c r="L336" i="5" s="1"/>
  <c r="N336" i="5" s="1"/>
  <c r="J421" i="9"/>
  <c r="L421" i="9" s="1"/>
  <c r="N421" i="9" s="1"/>
  <c r="J318" i="5"/>
  <c r="L318" i="5" s="1"/>
  <c r="N318" i="5" s="1"/>
  <c r="J514" i="9"/>
  <c r="L514" i="9" s="1"/>
  <c r="N514" i="9" s="1"/>
  <c r="J411" i="5"/>
  <c r="L411" i="5" s="1"/>
  <c r="N411" i="5" s="1"/>
  <c r="J497" i="9"/>
  <c r="L497" i="9" s="1"/>
  <c r="N497" i="9" s="1"/>
  <c r="J394" i="5"/>
  <c r="L394" i="5" s="1"/>
  <c r="N394" i="5" s="1"/>
  <c r="J489" i="9"/>
  <c r="L489" i="9" s="1"/>
  <c r="N489" i="9" s="1"/>
  <c r="J386" i="5"/>
  <c r="L386" i="5" s="1"/>
  <c r="N386" i="5" s="1"/>
  <c r="J463" i="9"/>
  <c r="L463" i="9" s="1"/>
  <c r="N463" i="9" s="1"/>
  <c r="J360" i="5"/>
  <c r="L360" i="5" s="1"/>
  <c r="N360" i="5" s="1"/>
  <c r="J446" i="9"/>
  <c r="L446" i="9" s="1"/>
  <c r="N446" i="9" s="1"/>
  <c r="J343" i="5"/>
  <c r="L343" i="5" s="1"/>
  <c r="N343" i="5" s="1"/>
  <c r="J420" i="9"/>
  <c r="L420" i="9" s="1"/>
  <c r="N420" i="9" s="1"/>
  <c r="J317" i="5"/>
  <c r="L317" i="5" s="1"/>
  <c r="N317" i="5" s="1"/>
  <c r="J49" i="3"/>
  <c r="L49" i="3" s="1"/>
  <c r="N49" i="3" s="1"/>
  <c r="J384" i="9"/>
  <c r="L384" i="9" s="1"/>
  <c r="N384" i="9" s="1"/>
  <c r="J281" i="5"/>
  <c r="L281" i="5" s="1"/>
  <c r="N281" i="5" s="1"/>
  <c r="J422" i="5"/>
  <c r="L422" i="5" s="1"/>
  <c r="N422" i="5" s="1"/>
  <c r="J526" i="9"/>
  <c r="L526" i="9" s="1"/>
  <c r="N526" i="9" s="1"/>
  <c r="J512" i="9"/>
  <c r="L512" i="9" s="1"/>
  <c r="N512" i="9" s="1"/>
  <c r="J409" i="5"/>
  <c r="L409" i="5" s="1"/>
  <c r="N409" i="5" s="1"/>
  <c r="J504" i="9"/>
  <c r="L504" i="9" s="1"/>
  <c r="N504" i="9" s="1"/>
  <c r="J401" i="5"/>
  <c r="L401" i="5" s="1"/>
  <c r="N401" i="5" s="1"/>
  <c r="J495" i="9"/>
  <c r="L495" i="9" s="1"/>
  <c r="N495" i="9" s="1"/>
  <c r="J392" i="5"/>
  <c r="L392" i="5" s="1"/>
  <c r="N392" i="5" s="1"/>
  <c r="J384" i="5"/>
  <c r="L384" i="5" s="1"/>
  <c r="N384" i="5" s="1"/>
  <c r="J487" i="9"/>
  <c r="L487" i="9" s="1"/>
  <c r="N487" i="9" s="1"/>
  <c r="J375" i="5"/>
  <c r="L375" i="5" s="1"/>
  <c r="N375" i="5" s="1"/>
  <c r="J478" i="9"/>
  <c r="L478" i="9" s="1"/>
  <c r="N478" i="9" s="1"/>
  <c r="J469" i="9"/>
  <c r="L469" i="9" s="1"/>
  <c r="N469" i="9" s="1"/>
  <c r="J366" i="5"/>
  <c r="L366" i="5" s="1"/>
  <c r="N366" i="5" s="1"/>
  <c r="J357" i="5"/>
  <c r="L357" i="5" s="1"/>
  <c r="N357" i="5" s="1"/>
  <c r="J460" i="9"/>
  <c r="L460" i="9" s="1"/>
  <c r="N460" i="9" s="1"/>
  <c r="J349" i="5"/>
  <c r="L349" i="5" s="1"/>
  <c r="N349" i="5" s="1"/>
  <c r="J452" i="9"/>
  <c r="L452" i="9" s="1"/>
  <c r="N452" i="9" s="1"/>
  <c r="J444" i="9"/>
  <c r="L444" i="9" s="1"/>
  <c r="N444" i="9" s="1"/>
  <c r="J341" i="5"/>
  <c r="L341" i="5" s="1"/>
  <c r="N341" i="5" s="1"/>
  <c r="J436" i="9"/>
  <c r="L436" i="9" s="1"/>
  <c r="N436" i="9" s="1"/>
  <c r="J333" i="5"/>
  <c r="L333" i="5" s="1"/>
  <c r="N333" i="5" s="1"/>
  <c r="J427" i="9"/>
  <c r="L427" i="9" s="1"/>
  <c r="N427" i="9" s="1"/>
  <c r="J324" i="5"/>
  <c r="L324" i="5" s="1"/>
  <c r="N324" i="5" s="1"/>
  <c r="J315" i="5"/>
  <c r="L315" i="5" s="1"/>
  <c r="N315" i="5" s="1"/>
  <c r="J418" i="9"/>
  <c r="L418" i="9" s="1"/>
  <c r="N418" i="9" s="1"/>
  <c r="J409" i="9"/>
  <c r="L409" i="9" s="1"/>
  <c r="N409" i="9" s="1"/>
  <c r="J306" i="5"/>
  <c r="L306" i="5" s="1"/>
  <c r="N306" i="5" s="1"/>
  <c r="J399" i="9"/>
  <c r="L399" i="9" s="1"/>
  <c r="N399" i="9" s="1"/>
  <c r="J296" i="5"/>
  <c r="L296" i="5" s="1"/>
  <c r="N296" i="5" s="1"/>
  <c r="J381" i="9"/>
  <c r="L381" i="9" s="1"/>
  <c r="N381" i="9" s="1"/>
  <c r="J278" i="5"/>
  <c r="L278" i="5" s="1"/>
  <c r="N278" i="5" s="1"/>
  <c r="J21" i="5"/>
  <c r="L21" i="5" s="1"/>
  <c r="N21" i="5" s="1"/>
  <c r="J21" i="9"/>
  <c r="L21" i="9" s="1"/>
  <c r="N21" i="9" s="1"/>
  <c r="J499" i="9"/>
  <c r="L499" i="9" s="1"/>
  <c r="N499" i="9" s="1"/>
  <c r="J396" i="5"/>
  <c r="L396" i="5" s="1"/>
  <c r="N396" i="5" s="1"/>
  <c r="J440" i="9"/>
  <c r="L440" i="9" s="1"/>
  <c r="N440" i="9" s="1"/>
  <c r="J337" i="5"/>
  <c r="L337" i="5" s="1"/>
  <c r="N337" i="5" s="1"/>
  <c r="J588" i="9"/>
  <c r="L588" i="9" s="1"/>
  <c r="N588" i="9" s="1"/>
  <c r="J445" i="5"/>
  <c r="L445" i="5" s="1"/>
  <c r="N445" i="5" s="1"/>
  <c r="J418" i="5"/>
  <c r="L418" i="5" s="1"/>
  <c r="N418" i="5" s="1"/>
  <c r="J521" i="9"/>
  <c r="L521" i="9" s="1"/>
  <c r="N521" i="9" s="1"/>
  <c r="J510" i="9"/>
  <c r="L510" i="9" s="1"/>
  <c r="N510" i="9" s="1"/>
  <c r="J407" i="5"/>
  <c r="L407" i="5" s="1"/>
  <c r="N407" i="5" s="1"/>
  <c r="J501" i="9"/>
  <c r="L501" i="9" s="1"/>
  <c r="N501" i="9" s="1"/>
  <c r="J398" i="5"/>
  <c r="L398" i="5" s="1"/>
  <c r="N398" i="5" s="1"/>
  <c r="J493" i="9"/>
  <c r="L493" i="9" s="1"/>
  <c r="N493" i="9" s="1"/>
  <c r="J390" i="5"/>
  <c r="L390" i="5" s="1"/>
  <c r="N390" i="5" s="1"/>
  <c r="J485" i="9"/>
  <c r="L485" i="9" s="1"/>
  <c r="N485" i="9" s="1"/>
  <c r="J382" i="5"/>
  <c r="L382" i="5" s="1"/>
  <c r="N382" i="5" s="1"/>
  <c r="J476" i="9"/>
  <c r="L476" i="9" s="1"/>
  <c r="N476" i="9" s="1"/>
  <c r="J373" i="5"/>
  <c r="L373" i="5" s="1"/>
  <c r="N373" i="5" s="1"/>
  <c r="J467" i="9"/>
  <c r="L467" i="9" s="1"/>
  <c r="N467" i="9" s="1"/>
  <c r="J364" i="5"/>
  <c r="L364" i="5" s="1"/>
  <c r="N364" i="5" s="1"/>
  <c r="J458" i="9"/>
  <c r="L458" i="9" s="1"/>
  <c r="N458" i="9" s="1"/>
  <c r="J355" i="5"/>
  <c r="L355" i="5" s="1"/>
  <c r="N355" i="5" s="1"/>
  <c r="J450" i="9"/>
  <c r="L450" i="9" s="1"/>
  <c r="N450" i="9" s="1"/>
  <c r="J347" i="5"/>
  <c r="L347" i="5" s="1"/>
  <c r="N347" i="5" s="1"/>
  <c r="J442" i="9"/>
  <c r="L442" i="9" s="1"/>
  <c r="N442" i="9" s="1"/>
  <c r="J339" i="5"/>
  <c r="L339" i="5" s="1"/>
  <c r="N339" i="5" s="1"/>
  <c r="J434" i="9"/>
  <c r="L434" i="9" s="1"/>
  <c r="N434" i="9" s="1"/>
  <c r="J331" i="5"/>
  <c r="L331" i="5" s="1"/>
  <c r="N331" i="5" s="1"/>
  <c r="J425" i="9"/>
  <c r="L425" i="9" s="1"/>
  <c r="N425" i="9" s="1"/>
  <c r="J322" i="5"/>
  <c r="L322" i="5" s="1"/>
  <c r="N322" i="5" s="1"/>
  <c r="J415" i="9"/>
  <c r="L415" i="9" s="1"/>
  <c r="N415" i="9" s="1"/>
  <c r="J312" i="5"/>
  <c r="L312" i="5" s="1"/>
  <c r="N312" i="5" s="1"/>
  <c r="J406" i="9"/>
  <c r="L406" i="9" s="1"/>
  <c r="N406" i="9" s="1"/>
  <c r="J303" i="5"/>
  <c r="L303" i="5" s="1"/>
  <c r="N303" i="5" s="1"/>
  <c r="J396" i="9"/>
  <c r="L396" i="9" s="1"/>
  <c r="N396" i="9" s="1"/>
  <c r="J293" i="5"/>
  <c r="L293" i="5" s="1"/>
  <c r="N293" i="5" s="1"/>
  <c r="J388" i="9"/>
  <c r="L388" i="9" s="1"/>
  <c r="N388" i="9" s="1"/>
  <c r="J285" i="5"/>
  <c r="L285" i="5" s="1"/>
  <c r="N285" i="5" s="1"/>
  <c r="J72" i="5"/>
  <c r="L72" i="5" s="1"/>
  <c r="N72" i="5" s="1"/>
  <c r="J154" i="9"/>
  <c r="L154" i="9" s="1"/>
  <c r="N154" i="9" s="1"/>
  <c r="J17" i="5"/>
  <c r="L17" i="5" s="1"/>
  <c r="N17" i="5" s="1"/>
  <c r="J17" i="9"/>
  <c r="L17" i="9" s="1"/>
  <c r="N17" i="9" s="1"/>
  <c r="J430" i="5"/>
  <c r="L430" i="5" s="1"/>
  <c r="N430" i="5" s="1"/>
  <c r="J542" i="9"/>
  <c r="L542" i="9" s="1"/>
  <c r="N542" i="9" s="1"/>
  <c r="J380" i="5"/>
  <c r="L380" i="5" s="1"/>
  <c r="N380" i="5" s="1"/>
  <c r="J483" i="9"/>
  <c r="L483" i="9" s="1"/>
  <c r="N483" i="9" s="1"/>
  <c r="J345" i="5"/>
  <c r="L345" i="5" s="1"/>
  <c r="N345" i="5" s="1"/>
  <c r="J448" i="9"/>
  <c r="L448" i="9" s="1"/>
  <c r="N448" i="9" s="1"/>
  <c r="J310" i="5"/>
  <c r="L310" i="5" s="1"/>
  <c r="N310" i="5" s="1"/>
  <c r="J413" i="9"/>
  <c r="L413" i="9" s="1"/>
  <c r="N413" i="9" s="1"/>
  <c r="J283" i="5"/>
  <c r="L283" i="5" s="1"/>
  <c r="N283" i="5" s="1"/>
  <c r="J386" i="9"/>
  <c r="L386" i="9" s="1"/>
  <c r="N386" i="9" s="1"/>
  <c r="J511" i="9"/>
  <c r="L511" i="9" s="1"/>
  <c r="N511" i="9" s="1"/>
  <c r="J408" i="5"/>
  <c r="L408" i="5" s="1"/>
  <c r="N408" i="5" s="1"/>
  <c r="J502" i="9"/>
  <c r="L502" i="9" s="1"/>
  <c r="N502" i="9" s="1"/>
  <c r="J399" i="5"/>
  <c r="L399" i="5" s="1"/>
  <c r="N399" i="5" s="1"/>
  <c r="J494" i="9"/>
  <c r="L494" i="9" s="1"/>
  <c r="N494" i="9" s="1"/>
  <c r="J391" i="5"/>
  <c r="L391" i="5" s="1"/>
  <c r="N391" i="5" s="1"/>
  <c r="J486" i="9"/>
  <c r="L486" i="9" s="1"/>
  <c r="N486" i="9" s="1"/>
  <c r="J383" i="5"/>
  <c r="L383" i="5" s="1"/>
  <c r="N383" i="5" s="1"/>
  <c r="J374" i="5"/>
  <c r="L374" i="5" s="1"/>
  <c r="N374" i="5" s="1"/>
  <c r="J477" i="9"/>
  <c r="L477" i="9" s="1"/>
  <c r="N477" i="9" s="1"/>
  <c r="J468" i="9"/>
  <c r="L468" i="9" s="1"/>
  <c r="N468" i="9" s="1"/>
  <c r="J365" i="5"/>
  <c r="L365" i="5" s="1"/>
  <c r="N365" i="5" s="1"/>
  <c r="J356" i="5"/>
  <c r="L356" i="5" s="1"/>
  <c r="N356" i="5" s="1"/>
  <c r="J459" i="9"/>
  <c r="L459" i="9" s="1"/>
  <c r="N459" i="9" s="1"/>
  <c r="J451" i="9"/>
  <c r="L451" i="9" s="1"/>
  <c r="N451" i="9" s="1"/>
  <c r="J348" i="5"/>
  <c r="L348" i="5" s="1"/>
  <c r="N348" i="5" s="1"/>
  <c r="J443" i="9"/>
  <c r="L443" i="9" s="1"/>
  <c r="N443" i="9" s="1"/>
  <c r="J340" i="5"/>
  <c r="L340" i="5" s="1"/>
  <c r="N340" i="5" s="1"/>
  <c r="J435" i="9"/>
  <c r="L435" i="9" s="1"/>
  <c r="N435" i="9" s="1"/>
  <c r="J332" i="5"/>
  <c r="L332" i="5" s="1"/>
  <c r="N332" i="5" s="1"/>
  <c r="J426" i="9"/>
  <c r="L426" i="9" s="1"/>
  <c r="N426" i="9" s="1"/>
  <c r="J323" i="5"/>
  <c r="L323" i="5" s="1"/>
  <c r="N323" i="5" s="1"/>
  <c r="J416" i="9"/>
  <c r="L416" i="9" s="1"/>
  <c r="N416" i="9" s="1"/>
  <c r="J313" i="5"/>
  <c r="L313" i="5" s="1"/>
  <c r="N313" i="5" s="1"/>
  <c r="J407" i="9"/>
  <c r="L407" i="9" s="1"/>
  <c r="N407" i="9" s="1"/>
  <c r="J304" i="5"/>
  <c r="L304" i="5" s="1"/>
  <c r="N304" i="5" s="1"/>
  <c r="J294" i="5"/>
  <c r="L294" i="5" s="1"/>
  <c r="N294" i="5" s="1"/>
  <c r="J397" i="9"/>
  <c r="L397" i="9" s="1"/>
  <c r="N397" i="9" s="1"/>
  <c r="J389" i="9"/>
  <c r="L389" i="9" s="1"/>
  <c r="N389" i="9" s="1"/>
  <c r="J286" i="5"/>
  <c r="L286" i="5" s="1"/>
  <c r="N286" i="5" s="1"/>
  <c r="J81" i="5"/>
  <c r="L81" i="5" s="1"/>
  <c r="N81" i="5" s="1"/>
  <c r="J163" i="9"/>
  <c r="L163" i="9" s="1"/>
  <c r="N163" i="9" s="1"/>
  <c r="J19" i="5"/>
  <c r="L19" i="5" s="1"/>
  <c r="N19" i="5" s="1"/>
  <c r="J19" i="9"/>
  <c r="L19" i="9" s="1"/>
  <c r="N19" i="9" s="1"/>
  <c r="J587" i="9"/>
  <c r="L587" i="9" s="1"/>
  <c r="N587" i="9" s="1"/>
  <c r="J444" i="5"/>
  <c r="L444" i="5" s="1"/>
  <c r="N444" i="5" s="1"/>
  <c r="J518" i="9"/>
  <c r="L518" i="9" s="1"/>
  <c r="N518" i="9" s="1"/>
  <c r="J415" i="5"/>
  <c r="L415" i="5" s="1"/>
  <c r="N415" i="5" s="1"/>
  <c r="J406" i="5"/>
  <c r="L406" i="5" s="1"/>
  <c r="N406" i="5" s="1"/>
  <c r="J509" i="9"/>
  <c r="L509" i="9" s="1"/>
  <c r="N509" i="9" s="1"/>
  <c r="J397" i="5"/>
  <c r="L397" i="5" s="1"/>
  <c r="N397" i="5" s="1"/>
  <c r="J500" i="9"/>
  <c r="L500" i="9" s="1"/>
  <c r="N500" i="9" s="1"/>
  <c r="J389" i="5"/>
  <c r="L389" i="5" s="1"/>
  <c r="N389" i="5" s="1"/>
  <c r="J492" i="9"/>
  <c r="L492" i="9" s="1"/>
  <c r="N492" i="9" s="1"/>
  <c r="J484" i="9"/>
  <c r="L484" i="9" s="1"/>
  <c r="N484" i="9" s="1"/>
  <c r="J381" i="5"/>
  <c r="L381" i="5" s="1"/>
  <c r="N381" i="5" s="1"/>
  <c r="J372" i="5"/>
  <c r="L372" i="5" s="1"/>
  <c r="N372" i="5" s="1"/>
  <c r="J475" i="9"/>
  <c r="L475" i="9" s="1"/>
  <c r="N475" i="9" s="1"/>
  <c r="J363" i="5"/>
  <c r="L363" i="5" s="1"/>
  <c r="N363" i="5" s="1"/>
  <c r="J466" i="9"/>
  <c r="L466" i="9" s="1"/>
  <c r="N466" i="9" s="1"/>
  <c r="J354" i="5"/>
  <c r="L354" i="5" s="1"/>
  <c r="N354" i="5" s="1"/>
  <c r="J457" i="9"/>
  <c r="L457" i="9" s="1"/>
  <c r="N457" i="9" s="1"/>
  <c r="J346" i="5"/>
  <c r="L346" i="5" s="1"/>
  <c r="N346" i="5" s="1"/>
  <c r="J449" i="9"/>
  <c r="L449" i="9" s="1"/>
  <c r="N449" i="9" s="1"/>
  <c r="J441" i="9"/>
  <c r="L441" i="9" s="1"/>
  <c r="N441" i="9" s="1"/>
  <c r="J338" i="5"/>
  <c r="L338" i="5" s="1"/>
  <c r="N338" i="5" s="1"/>
  <c r="J330" i="5"/>
  <c r="L330" i="5" s="1"/>
  <c r="N330" i="5" s="1"/>
  <c r="J433" i="9"/>
  <c r="L433" i="9" s="1"/>
  <c r="N433" i="9" s="1"/>
  <c r="J320" i="5"/>
  <c r="L320" i="5" s="1"/>
  <c r="N320" i="5" s="1"/>
  <c r="J423" i="9"/>
  <c r="L423" i="9" s="1"/>
  <c r="N423" i="9" s="1"/>
  <c r="J311" i="5"/>
  <c r="L311" i="5" s="1"/>
  <c r="N311" i="5" s="1"/>
  <c r="J414" i="9"/>
  <c r="L414" i="9" s="1"/>
  <c r="N414" i="9" s="1"/>
  <c r="J302" i="5"/>
  <c r="L302" i="5" s="1"/>
  <c r="N302" i="5" s="1"/>
  <c r="J405" i="9"/>
  <c r="L405" i="9" s="1"/>
  <c r="N405" i="9" s="1"/>
  <c r="J292" i="5"/>
  <c r="L292" i="5" s="1"/>
  <c r="N292" i="5" s="1"/>
  <c r="J395" i="9"/>
  <c r="L395" i="9" s="1"/>
  <c r="N395" i="9" s="1"/>
  <c r="J387" i="9"/>
  <c r="L387" i="9" s="1"/>
  <c r="N387" i="9" s="1"/>
  <c r="J284" i="5"/>
  <c r="L284" i="5" s="1"/>
  <c r="N284" i="5" s="1"/>
  <c r="J193" i="5"/>
  <c r="L193" i="5" s="1"/>
  <c r="N193" i="5" s="1"/>
  <c r="J302" i="9"/>
  <c r="L302" i="9" s="1"/>
  <c r="N302" i="9" s="1"/>
  <c r="J371" i="5"/>
  <c r="L371" i="5" s="1"/>
  <c r="N371" i="5" s="1"/>
  <c r="J474" i="9"/>
  <c r="L474" i="9" s="1"/>
  <c r="N474" i="9" s="1"/>
  <c r="J394" i="9"/>
  <c r="L394" i="9" s="1"/>
  <c r="N394" i="9" s="1"/>
  <c r="J291" i="5"/>
  <c r="L291" i="5" s="1"/>
  <c r="N291" i="5" s="1"/>
  <c r="J431" i="5"/>
  <c r="L431" i="5" s="1"/>
  <c r="N431" i="5" s="1"/>
  <c r="J543" i="9"/>
  <c r="L543" i="9" s="1"/>
  <c r="N543" i="9" s="1"/>
  <c r="J530" i="9"/>
  <c r="L530" i="9" s="1"/>
  <c r="N530" i="9" s="1"/>
  <c r="J437" i="5"/>
  <c r="L437" i="5" s="1"/>
  <c r="N437" i="5" s="1"/>
  <c r="J567" i="9"/>
  <c r="L567" i="9" s="1"/>
  <c r="N567" i="9" s="1"/>
  <c r="J435" i="5"/>
  <c r="L435" i="5" s="1"/>
  <c r="N435" i="5" s="1"/>
  <c r="J556" i="9"/>
  <c r="L556" i="9" s="1"/>
  <c r="N556" i="9" s="1"/>
  <c r="J433" i="5"/>
  <c r="L433" i="5" s="1"/>
  <c r="N433" i="5" s="1"/>
  <c r="J545" i="9"/>
  <c r="L545" i="9" s="1"/>
  <c r="N545" i="9" s="1"/>
  <c r="J90" i="5"/>
  <c r="L90" i="5" s="1"/>
  <c r="N90" i="5" s="1"/>
  <c r="J172" i="9"/>
  <c r="L172" i="9" s="1"/>
  <c r="N172" i="9" s="1"/>
  <c r="J48" i="5"/>
  <c r="L48" i="5" s="1"/>
  <c r="N48" i="5" s="1"/>
  <c r="L68" i="9"/>
  <c r="N68" i="9" s="1"/>
  <c r="J24" i="9"/>
  <c r="L24" i="9" s="1"/>
  <c r="N24" i="9" s="1"/>
  <c r="J24" i="5"/>
  <c r="L24" i="5" s="1"/>
  <c r="N24" i="5" s="1"/>
  <c r="J25" i="5"/>
  <c r="L25" i="5" s="1"/>
  <c r="J25" i="9"/>
  <c r="L25" i="9" s="1"/>
  <c r="J54" i="5"/>
  <c r="L54" i="5" s="1"/>
  <c r="N54" i="5" s="1"/>
  <c r="L108" i="9"/>
  <c r="N108" i="9" s="1"/>
  <c r="J151" i="5"/>
  <c r="L151" i="5" s="1"/>
  <c r="N151" i="5" s="1"/>
  <c r="J153" i="5"/>
  <c r="L153" i="5" s="1"/>
  <c r="N153" i="5" s="1"/>
  <c r="L238" i="5"/>
  <c r="N238" i="5" s="1"/>
  <c r="J23" i="3"/>
  <c r="L23" i="3" s="1"/>
  <c r="N23" i="3" s="1"/>
  <c r="J16" i="5"/>
  <c r="L16" i="5" s="1"/>
  <c r="N16" i="5" s="1"/>
  <c r="J195" i="3"/>
  <c r="L195" i="3" s="1"/>
  <c r="N195" i="3" s="1"/>
  <c r="J426" i="5"/>
  <c r="L426" i="5" s="1"/>
  <c r="N426" i="5" s="1"/>
  <c r="J15" i="3"/>
  <c r="L15" i="3" s="1"/>
  <c r="N15" i="3" s="1"/>
  <c r="L15" i="5"/>
  <c r="N15" i="5" s="1"/>
  <c r="E8" i="3"/>
  <c r="E8" i="4"/>
  <c r="P185" i="2"/>
  <c r="J204" i="3"/>
  <c r="L204" i="3" s="1"/>
  <c r="N204" i="3" s="1"/>
  <c r="P177" i="2"/>
  <c r="J188" i="3"/>
  <c r="L188" i="3" s="1"/>
  <c r="N188" i="3" s="1"/>
  <c r="P168" i="2"/>
  <c r="J176" i="3"/>
  <c r="L176" i="3" s="1"/>
  <c r="N176" i="3" s="1"/>
  <c r="P159" i="2"/>
  <c r="J167" i="3"/>
  <c r="L167" i="3" s="1"/>
  <c r="N167" i="3" s="1"/>
  <c r="P151" i="2"/>
  <c r="J159" i="3"/>
  <c r="L159" i="3" s="1"/>
  <c r="N159" i="3" s="1"/>
  <c r="P143" i="2"/>
  <c r="J151" i="3"/>
  <c r="L151" i="3" s="1"/>
  <c r="N151" i="3" s="1"/>
  <c r="P134" i="2"/>
  <c r="J142" i="3"/>
  <c r="L142" i="3" s="1"/>
  <c r="N142" i="3" s="1"/>
  <c r="P125" i="2"/>
  <c r="J133" i="3"/>
  <c r="L133" i="3" s="1"/>
  <c r="N133" i="3" s="1"/>
  <c r="P116" i="2"/>
  <c r="J124" i="3"/>
  <c r="L124" i="3" s="1"/>
  <c r="N124" i="3" s="1"/>
  <c r="P108" i="2"/>
  <c r="J116" i="3"/>
  <c r="L116" i="3" s="1"/>
  <c r="N116" i="3" s="1"/>
  <c r="P100" i="2"/>
  <c r="J108" i="3"/>
  <c r="L108" i="3" s="1"/>
  <c r="N108" i="3" s="1"/>
  <c r="P92" i="2"/>
  <c r="J100" i="3"/>
  <c r="L100" i="3" s="1"/>
  <c r="N100" i="3" s="1"/>
  <c r="P83" i="2"/>
  <c r="J91" i="3"/>
  <c r="L91" i="3" s="1"/>
  <c r="N91" i="3" s="1"/>
  <c r="P111" i="2"/>
  <c r="P192" i="2"/>
  <c r="J214" i="3"/>
  <c r="L214" i="3" s="1"/>
  <c r="N214" i="3" s="1"/>
  <c r="P184" i="2"/>
  <c r="J202" i="3"/>
  <c r="L202" i="3" s="1"/>
  <c r="N202" i="3" s="1"/>
  <c r="P176" i="2"/>
  <c r="J187" i="3"/>
  <c r="L187" i="3" s="1"/>
  <c r="N187" i="3" s="1"/>
  <c r="P167" i="2"/>
  <c r="J175" i="3"/>
  <c r="L175" i="3" s="1"/>
  <c r="N175" i="3" s="1"/>
  <c r="P158" i="2"/>
  <c r="J166" i="3"/>
  <c r="L166" i="3" s="1"/>
  <c r="N166" i="3" s="1"/>
  <c r="P150" i="2"/>
  <c r="J158" i="3"/>
  <c r="L158" i="3" s="1"/>
  <c r="N158" i="3" s="1"/>
  <c r="P142" i="2"/>
  <c r="J150" i="3"/>
  <c r="L150" i="3" s="1"/>
  <c r="N150" i="3" s="1"/>
  <c r="P133" i="2"/>
  <c r="J141" i="3"/>
  <c r="L141" i="3" s="1"/>
  <c r="N141" i="3" s="1"/>
  <c r="P124" i="2"/>
  <c r="J132" i="3"/>
  <c r="L132" i="3" s="1"/>
  <c r="N132" i="3" s="1"/>
  <c r="P115" i="2"/>
  <c r="J123" i="3"/>
  <c r="L123" i="3" s="1"/>
  <c r="N123" i="3" s="1"/>
  <c r="P107" i="2"/>
  <c r="J115" i="3"/>
  <c r="L115" i="3" s="1"/>
  <c r="N115" i="3" s="1"/>
  <c r="P99" i="2"/>
  <c r="J107" i="3"/>
  <c r="L107" i="3" s="1"/>
  <c r="N107" i="3" s="1"/>
  <c r="P91" i="2"/>
  <c r="J99" i="3"/>
  <c r="L99" i="3" s="1"/>
  <c r="N99" i="3" s="1"/>
  <c r="P82" i="2"/>
  <c r="J90" i="3"/>
  <c r="L90" i="3" s="1"/>
  <c r="N90" i="3" s="1"/>
  <c r="P94" i="2"/>
  <c r="P191" i="2"/>
  <c r="J213" i="3"/>
  <c r="L213" i="3" s="1"/>
  <c r="N213" i="3" s="1"/>
  <c r="P183" i="2"/>
  <c r="J200" i="3"/>
  <c r="L200" i="3" s="1"/>
  <c r="N200" i="3" s="1"/>
  <c r="P175" i="2"/>
  <c r="J184" i="3"/>
  <c r="L184" i="3" s="1"/>
  <c r="N184" i="3" s="1"/>
  <c r="P166" i="2"/>
  <c r="J174" i="3"/>
  <c r="L174" i="3" s="1"/>
  <c r="N174" i="3" s="1"/>
  <c r="P157" i="2"/>
  <c r="J165" i="3"/>
  <c r="L165" i="3" s="1"/>
  <c r="N165" i="3" s="1"/>
  <c r="P149" i="2"/>
  <c r="J157" i="3"/>
  <c r="L157" i="3" s="1"/>
  <c r="N157" i="3" s="1"/>
  <c r="P141" i="2"/>
  <c r="J149" i="3"/>
  <c r="L149" i="3" s="1"/>
  <c r="N149" i="3" s="1"/>
  <c r="P132" i="2"/>
  <c r="J140" i="3"/>
  <c r="L140" i="3" s="1"/>
  <c r="N140" i="3" s="1"/>
  <c r="P123" i="2"/>
  <c r="J131" i="3"/>
  <c r="L131" i="3" s="1"/>
  <c r="N131" i="3" s="1"/>
  <c r="P114" i="2"/>
  <c r="J122" i="3"/>
  <c r="L122" i="3" s="1"/>
  <c r="N122" i="3" s="1"/>
  <c r="P106" i="2"/>
  <c r="J114" i="3"/>
  <c r="L114" i="3" s="1"/>
  <c r="N114" i="3" s="1"/>
  <c r="P98" i="2"/>
  <c r="J106" i="3"/>
  <c r="L106" i="3" s="1"/>
  <c r="N106" i="3" s="1"/>
  <c r="P90" i="2"/>
  <c r="J98" i="3"/>
  <c r="L98" i="3" s="1"/>
  <c r="N98" i="3" s="1"/>
  <c r="P80" i="2"/>
  <c r="J88" i="3"/>
  <c r="L88" i="3" s="1"/>
  <c r="N88" i="3" s="1"/>
  <c r="P87" i="2"/>
  <c r="Q196" i="2"/>
  <c r="P190" i="2"/>
  <c r="J212" i="3"/>
  <c r="L212" i="3" s="1"/>
  <c r="N212" i="3" s="1"/>
  <c r="P182" i="2"/>
  <c r="J199" i="3"/>
  <c r="L199" i="3" s="1"/>
  <c r="N199" i="3" s="1"/>
  <c r="P174" i="2"/>
  <c r="J183" i="3"/>
  <c r="L183" i="3" s="1"/>
  <c r="N183" i="3" s="1"/>
  <c r="P165" i="2"/>
  <c r="J173" i="3"/>
  <c r="L173" i="3" s="1"/>
  <c r="N173" i="3" s="1"/>
  <c r="P156" i="2"/>
  <c r="J164" i="3"/>
  <c r="L164" i="3" s="1"/>
  <c r="N164" i="3" s="1"/>
  <c r="P148" i="2"/>
  <c r="J156" i="3"/>
  <c r="L156" i="3" s="1"/>
  <c r="N156" i="3" s="1"/>
  <c r="P140" i="2"/>
  <c r="J148" i="3"/>
  <c r="L148" i="3" s="1"/>
  <c r="N148" i="3" s="1"/>
  <c r="P131" i="2"/>
  <c r="J139" i="3"/>
  <c r="L139" i="3" s="1"/>
  <c r="N139" i="3" s="1"/>
  <c r="P122" i="2"/>
  <c r="J130" i="3"/>
  <c r="L130" i="3" s="1"/>
  <c r="N130" i="3" s="1"/>
  <c r="P113" i="2"/>
  <c r="J121" i="3"/>
  <c r="L121" i="3" s="1"/>
  <c r="N121" i="3" s="1"/>
  <c r="P105" i="2"/>
  <c r="J113" i="3"/>
  <c r="L113" i="3" s="1"/>
  <c r="N113" i="3" s="1"/>
  <c r="P97" i="2"/>
  <c r="J105" i="3"/>
  <c r="L105" i="3" s="1"/>
  <c r="N105" i="3" s="1"/>
  <c r="P88" i="2"/>
  <c r="J96" i="3"/>
  <c r="L96" i="3" s="1"/>
  <c r="N96" i="3" s="1"/>
  <c r="P79" i="2"/>
  <c r="J87" i="3"/>
  <c r="L87" i="3" s="1"/>
  <c r="N87" i="3" s="1"/>
  <c r="P42" i="2"/>
  <c r="P189" i="2"/>
  <c r="J211" i="3"/>
  <c r="L211" i="3" s="1"/>
  <c r="N211" i="3" s="1"/>
  <c r="P172" i="2"/>
  <c r="J180" i="3"/>
  <c r="L180" i="3" s="1"/>
  <c r="N180" i="3" s="1"/>
  <c r="P164" i="2"/>
  <c r="J172" i="3"/>
  <c r="L172" i="3" s="1"/>
  <c r="N172" i="3" s="1"/>
  <c r="P155" i="2"/>
  <c r="J163" i="3"/>
  <c r="L163" i="3" s="1"/>
  <c r="N163" i="3" s="1"/>
  <c r="P147" i="2"/>
  <c r="J155" i="3"/>
  <c r="L155" i="3" s="1"/>
  <c r="N155" i="3" s="1"/>
  <c r="P139" i="2"/>
  <c r="J147" i="3"/>
  <c r="L147" i="3" s="1"/>
  <c r="N147" i="3" s="1"/>
  <c r="P130" i="2"/>
  <c r="J138" i="3"/>
  <c r="L138" i="3" s="1"/>
  <c r="N138" i="3" s="1"/>
  <c r="P121" i="2"/>
  <c r="J129" i="3"/>
  <c r="L129" i="3" s="1"/>
  <c r="N129" i="3" s="1"/>
  <c r="P104" i="2"/>
  <c r="J112" i="3"/>
  <c r="L112" i="3" s="1"/>
  <c r="N112" i="3" s="1"/>
  <c r="P96" i="2"/>
  <c r="J104" i="3"/>
  <c r="L104" i="3" s="1"/>
  <c r="N104" i="3" s="1"/>
  <c r="P15" i="2"/>
  <c r="P188" i="2"/>
  <c r="J210" i="3"/>
  <c r="L210" i="3" s="1"/>
  <c r="N210" i="3" s="1"/>
  <c r="P180" i="2"/>
  <c r="J193" i="3"/>
  <c r="L193" i="3" s="1"/>
  <c r="N193" i="3" s="1"/>
  <c r="P171" i="2"/>
  <c r="J179" i="3"/>
  <c r="L179" i="3" s="1"/>
  <c r="N179" i="3" s="1"/>
  <c r="P163" i="2"/>
  <c r="J171" i="3"/>
  <c r="L171" i="3" s="1"/>
  <c r="N171" i="3" s="1"/>
  <c r="P154" i="2"/>
  <c r="J162" i="3"/>
  <c r="L162" i="3" s="1"/>
  <c r="N162" i="3" s="1"/>
  <c r="P146" i="2"/>
  <c r="J154" i="3"/>
  <c r="L154" i="3" s="1"/>
  <c r="N154" i="3" s="1"/>
  <c r="P138" i="2"/>
  <c r="J146" i="3"/>
  <c r="L146" i="3" s="1"/>
  <c r="N146" i="3" s="1"/>
  <c r="P129" i="2"/>
  <c r="J137" i="3"/>
  <c r="L137" i="3" s="1"/>
  <c r="N137" i="3" s="1"/>
  <c r="P120" i="2"/>
  <c r="J128" i="3"/>
  <c r="L128" i="3" s="1"/>
  <c r="N128" i="3" s="1"/>
  <c r="P103" i="2"/>
  <c r="J111" i="3"/>
  <c r="L111" i="3" s="1"/>
  <c r="N111" i="3" s="1"/>
  <c r="P95" i="2"/>
  <c r="J103" i="3"/>
  <c r="L103" i="3" s="1"/>
  <c r="N103" i="3" s="1"/>
  <c r="P86" i="2"/>
  <c r="J94" i="3"/>
  <c r="L94" i="3" s="1"/>
  <c r="N94" i="3" s="1"/>
  <c r="P181" i="2"/>
  <c r="P187" i="2"/>
  <c r="J209" i="3"/>
  <c r="L209" i="3" s="1"/>
  <c r="N209" i="3" s="1"/>
  <c r="P179" i="2"/>
  <c r="J192" i="3"/>
  <c r="L192" i="3" s="1"/>
  <c r="N192" i="3" s="1"/>
  <c r="P170" i="2"/>
  <c r="J178" i="3"/>
  <c r="L178" i="3" s="1"/>
  <c r="N178" i="3" s="1"/>
  <c r="P162" i="2"/>
  <c r="J170" i="3"/>
  <c r="L170" i="3" s="1"/>
  <c r="N170" i="3" s="1"/>
  <c r="P153" i="2"/>
  <c r="J161" i="3"/>
  <c r="L161" i="3" s="1"/>
  <c r="N161" i="3" s="1"/>
  <c r="P145" i="2"/>
  <c r="J153" i="3"/>
  <c r="L153" i="3" s="1"/>
  <c r="N153" i="3" s="1"/>
  <c r="P128" i="2"/>
  <c r="J136" i="3"/>
  <c r="L136" i="3" s="1"/>
  <c r="N136" i="3" s="1"/>
  <c r="P119" i="2"/>
  <c r="J127" i="3"/>
  <c r="L127" i="3" s="1"/>
  <c r="N127" i="3" s="1"/>
  <c r="P110" i="2"/>
  <c r="J118" i="3"/>
  <c r="L118" i="3" s="1"/>
  <c r="N118" i="3" s="1"/>
  <c r="P102" i="2"/>
  <c r="J110" i="3"/>
  <c r="L110" i="3" s="1"/>
  <c r="N110" i="3" s="1"/>
  <c r="P85" i="2"/>
  <c r="J93" i="3"/>
  <c r="L93" i="3" s="1"/>
  <c r="N93" i="3" s="1"/>
  <c r="P136" i="2"/>
  <c r="P186" i="2"/>
  <c r="J206" i="3"/>
  <c r="L206" i="3" s="1"/>
  <c r="N206" i="3" s="1"/>
  <c r="P178" i="2"/>
  <c r="J191" i="3"/>
  <c r="L191" i="3" s="1"/>
  <c r="N191" i="3" s="1"/>
  <c r="P169" i="2"/>
  <c r="J177" i="3"/>
  <c r="L177" i="3" s="1"/>
  <c r="N177" i="3" s="1"/>
  <c r="P161" i="2"/>
  <c r="J169" i="3"/>
  <c r="L169" i="3" s="1"/>
  <c r="N169" i="3" s="1"/>
  <c r="P152" i="2"/>
  <c r="J160" i="3"/>
  <c r="L160" i="3" s="1"/>
  <c r="N160" i="3" s="1"/>
  <c r="P144" i="2"/>
  <c r="J152" i="3"/>
  <c r="L152" i="3" s="1"/>
  <c r="N152" i="3" s="1"/>
  <c r="P135" i="2"/>
  <c r="J143" i="3"/>
  <c r="L143" i="3" s="1"/>
  <c r="N143" i="3" s="1"/>
  <c r="P126" i="2"/>
  <c r="J134" i="3"/>
  <c r="L134" i="3" s="1"/>
  <c r="N134" i="3" s="1"/>
  <c r="P117" i="2"/>
  <c r="J125" i="3"/>
  <c r="L125" i="3" s="1"/>
  <c r="N125" i="3" s="1"/>
  <c r="P109" i="2"/>
  <c r="J117" i="3"/>
  <c r="L117" i="3" s="1"/>
  <c r="N117" i="3" s="1"/>
  <c r="P101" i="2"/>
  <c r="J109" i="3"/>
  <c r="L109" i="3" s="1"/>
  <c r="N109" i="3" s="1"/>
  <c r="P93" i="2"/>
  <c r="J101" i="3"/>
  <c r="L101" i="3" s="1"/>
  <c r="N101" i="3" s="1"/>
  <c r="P84" i="2"/>
  <c r="J92" i="3"/>
  <c r="L92" i="3" s="1"/>
  <c r="N92" i="3" s="1"/>
  <c r="P112" i="2"/>
  <c r="P70" i="2"/>
  <c r="J78" i="3"/>
  <c r="L78" i="3" s="1"/>
  <c r="N78" i="3" s="1"/>
  <c r="P61" i="2"/>
  <c r="J69" i="3"/>
  <c r="L69" i="3" s="1"/>
  <c r="N69" i="3" s="1"/>
  <c r="P51" i="2"/>
  <c r="J59" i="3"/>
  <c r="L59" i="3" s="1"/>
  <c r="N59" i="3" s="1"/>
  <c r="P43" i="2"/>
  <c r="J51" i="3"/>
  <c r="L51" i="3" s="1"/>
  <c r="N51" i="3" s="1"/>
  <c r="P78" i="2"/>
  <c r="J86" i="3"/>
  <c r="L86" i="3" s="1"/>
  <c r="N86" i="3" s="1"/>
  <c r="P69" i="2"/>
  <c r="J77" i="3"/>
  <c r="L77" i="3" s="1"/>
  <c r="N77" i="3" s="1"/>
  <c r="P59" i="2"/>
  <c r="J67" i="3"/>
  <c r="L67" i="3" s="1"/>
  <c r="N67" i="3" s="1"/>
  <c r="P50" i="2"/>
  <c r="J58" i="3"/>
  <c r="L58" i="3" s="1"/>
  <c r="N58" i="3" s="1"/>
  <c r="P33" i="2"/>
  <c r="J41" i="3"/>
  <c r="L41" i="3" s="1"/>
  <c r="N41" i="3" s="1"/>
  <c r="P24" i="2"/>
  <c r="J32" i="3"/>
  <c r="L32" i="3" s="1"/>
  <c r="N32" i="3" s="1"/>
  <c r="P67" i="2"/>
  <c r="P76" i="2"/>
  <c r="J84" i="3"/>
  <c r="L84" i="3" s="1"/>
  <c r="N84" i="3" s="1"/>
  <c r="P48" i="2"/>
  <c r="J56" i="3"/>
  <c r="L56" i="3" s="1"/>
  <c r="N56" i="3" s="1"/>
  <c r="P31" i="2"/>
  <c r="J39" i="3"/>
  <c r="L39" i="3" s="1"/>
  <c r="N39" i="3" s="1"/>
  <c r="P75" i="2"/>
  <c r="J83" i="3"/>
  <c r="L83" i="3" s="1"/>
  <c r="N83" i="3" s="1"/>
  <c r="P66" i="2"/>
  <c r="J74" i="3"/>
  <c r="L74" i="3" s="1"/>
  <c r="N74" i="3" s="1"/>
  <c r="P56" i="2"/>
  <c r="J64" i="3"/>
  <c r="L64" i="3" s="1"/>
  <c r="N64" i="3" s="1"/>
  <c r="P38" i="2"/>
  <c r="J46" i="3"/>
  <c r="L46" i="3" s="1"/>
  <c r="N46" i="3" s="1"/>
  <c r="P30" i="2"/>
  <c r="J38" i="3"/>
  <c r="L38" i="3" s="1"/>
  <c r="N38" i="3" s="1"/>
  <c r="P21" i="2"/>
  <c r="J22" i="3"/>
  <c r="L22" i="3" s="1"/>
  <c r="N22" i="3" s="1"/>
  <c r="P22" i="2"/>
  <c r="P77" i="2"/>
  <c r="J85" i="3"/>
  <c r="L85" i="3" s="1"/>
  <c r="N85" i="3" s="1"/>
  <c r="P40" i="2"/>
  <c r="J48" i="3"/>
  <c r="L48" i="3" s="1"/>
  <c r="N48" i="3" s="1"/>
  <c r="P73" i="2"/>
  <c r="J81" i="3"/>
  <c r="L81" i="3" s="1"/>
  <c r="N81" i="3" s="1"/>
  <c r="P64" i="2"/>
  <c r="J72" i="3"/>
  <c r="L72" i="3" s="1"/>
  <c r="N72" i="3" s="1"/>
  <c r="P54" i="2"/>
  <c r="J62" i="3"/>
  <c r="L62" i="3" s="1"/>
  <c r="N62" i="3" s="1"/>
  <c r="P46" i="2"/>
  <c r="J54" i="3"/>
  <c r="L54" i="3" s="1"/>
  <c r="N54" i="3" s="1"/>
  <c r="P37" i="2"/>
  <c r="J45" i="3"/>
  <c r="L45" i="3" s="1"/>
  <c r="N45" i="3" s="1"/>
  <c r="P29" i="2"/>
  <c r="J37" i="3"/>
  <c r="L37" i="3" s="1"/>
  <c r="N37" i="3" s="1"/>
  <c r="P19" i="2"/>
  <c r="J19" i="3"/>
  <c r="L19" i="3" s="1"/>
  <c r="N19" i="3" s="1"/>
  <c r="P49" i="2"/>
  <c r="J57" i="3"/>
  <c r="L57" i="3" s="1"/>
  <c r="N57" i="3" s="1"/>
  <c r="P32" i="2"/>
  <c r="J40" i="3"/>
  <c r="L40" i="3" s="1"/>
  <c r="N40" i="3" s="1"/>
  <c r="P57" i="2"/>
  <c r="J65" i="3"/>
  <c r="L65" i="3" s="1"/>
  <c r="N65" i="3" s="1"/>
  <c r="P41" i="2"/>
  <c r="P72" i="2"/>
  <c r="J80" i="3"/>
  <c r="L80" i="3" s="1"/>
  <c r="N80" i="3" s="1"/>
  <c r="P63" i="2"/>
  <c r="J71" i="3"/>
  <c r="L71" i="3" s="1"/>
  <c r="N71" i="3" s="1"/>
  <c r="P53" i="2"/>
  <c r="J61" i="3"/>
  <c r="L61" i="3" s="1"/>
  <c r="N61" i="3" s="1"/>
  <c r="P45" i="2"/>
  <c r="J53" i="3"/>
  <c r="L53" i="3" s="1"/>
  <c r="N53" i="3" s="1"/>
  <c r="P36" i="2"/>
  <c r="J44" i="3"/>
  <c r="L44" i="3" s="1"/>
  <c r="N44" i="3" s="1"/>
  <c r="P28" i="2"/>
  <c r="J36" i="3"/>
  <c r="L36" i="3" s="1"/>
  <c r="N36" i="3" s="1"/>
  <c r="P18" i="2"/>
  <c r="J18" i="3"/>
  <c r="L18" i="3" s="1"/>
  <c r="N18" i="3" s="1"/>
  <c r="P58" i="2"/>
  <c r="J66" i="3"/>
  <c r="L66" i="3" s="1"/>
  <c r="N66" i="3" s="1"/>
  <c r="P23" i="2"/>
  <c r="J31" i="3"/>
  <c r="L31" i="3" s="1"/>
  <c r="N31" i="3" s="1"/>
  <c r="P71" i="2"/>
  <c r="J79" i="3"/>
  <c r="L79" i="3" s="1"/>
  <c r="N79" i="3" s="1"/>
  <c r="P62" i="2"/>
  <c r="J70" i="3"/>
  <c r="L70" i="3" s="1"/>
  <c r="N70" i="3" s="1"/>
  <c r="P52" i="2"/>
  <c r="J60" i="3"/>
  <c r="L60" i="3" s="1"/>
  <c r="N60" i="3" s="1"/>
  <c r="P44" i="2"/>
  <c r="J52" i="3"/>
  <c r="L52" i="3" s="1"/>
  <c r="N52" i="3" s="1"/>
  <c r="P35" i="2"/>
  <c r="J43" i="3"/>
  <c r="L43" i="3" s="1"/>
  <c r="N43" i="3" s="1"/>
  <c r="P27" i="2"/>
  <c r="J35" i="3"/>
  <c r="L35" i="3" s="1"/>
  <c r="N35" i="3" s="1"/>
  <c r="P17" i="2"/>
  <c r="J17" i="3"/>
  <c r="L17" i="3" s="1"/>
  <c r="N17" i="3" s="1"/>
  <c r="P34" i="2"/>
  <c r="J42" i="3"/>
  <c r="L42" i="3" s="1"/>
  <c r="N42" i="3" s="1"/>
  <c r="P26" i="2"/>
  <c r="J34" i="3"/>
  <c r="L34" i="3" s="1"/>
  <c r="N34" i="3" s="1"/>
  <c r="P16" i="2"/>
  <c r="J16" i="3"/>
  <c r="L16" i="3" s="1"/>
  <c r="N16" i="3" s="1"/>
  <c r="P68" i="2"/>
  <c r="P14" i="2"/>
  <c r="J14" i="3"/>
  <c r="L14" i="3" s="1"/>
  <c r="N14" i="3" s="1"/>
  <c r="Y14" i="2"/>
  <c r="AJ183" i="15" l="1"/>
  <c r="AJ209" i="15" s="1"/>
  <c r="L413" i="13"/>
  <c r="N413" i="13" s="1"/>
  <c r="G501" i="13"/>
  <c r="K502" i="13" s="1"/>
  <c r="N25" i="5"/>
  <c r="G50" i="5"/>
  <c r="N25" i="9"/>
  <c r="Z14" i="2"/>
  <c r="Y196" i="2"/>
  <c r="J8" i="2" s="1"/>
  <c r="P8" i="15" l="1"/>
  <c r="H8" i="24" s="1"/>
  <c r="J8" i="15"/>
  <c r="H8" i="15"/>
  <c r="H8" i="2"/>
  <c r="Z196" i="2"/>
  <c r="H8" i="23" l="1"/>
  <c r="H8" i="22"/>
  <c r="H8" i="21"/>
  <c r="H8" i="20"/>
  <c r="H8" i="18"/>
  <c r="H8" i="19"/>
  <c r="H8" i="17"/>
  <c r="H8" i="16"/>
  <c r="H8" i="14"/>
  <c r="H8" i="13"/>
  <c r="H8" i="11"/>
  <c r="H8" i="12"/>
  <c r="H8" i="10"/>
  <c r="H8" i="9"/>
  <c r="H8" i="6"/>
  <c r="H8" i="5"/>
  <c r="H8" i="3"/>
  <c r="H8" i="4"/>
  <c r="O47" i="2"/>
  <c r="J287" i="5" l="1"/>
  <c r="L287" i="5" s="1"/>
  <c r="N287" i="5" s="1"/>
  <c r="J401" i="13"/>
  <c r="L401" i="13" s="1"/>
  <c r="N401" i="13" s="1"/>
  <c r="J55" i="3"/>
  <c r="L55" i="3" s="1"/>
  <c r="N55" i="3" s="1"/>
  <c r="J390" i="9"/>
  <c r="L390" i="9" s="1"/>
  <c r="N390" i="9" s="1"/>
  <c r="P47" i="2"/>
  <c r="J396" i="11"/>
  <c r="L396" i="11" s="1"/>
  <c r="N396" i="11" s="1"/>
  <c r="J501" i="13"/>
  <c r="L501" i="13" s="1"/>
  <c r="N501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57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K111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15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198" authorId="0" shapeId="0" xr:uid="{00000000-0006-0000-01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223" authorId="0" shapeId="0" xr:uid="{00000000-0006-0000-01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248" authorId="0" shapeId="0" xr:uid="{00000000-0006-0000-0100-000006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4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4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4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4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4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6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6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6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6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6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8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8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8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8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8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111" authorId="0" shapeId="0" xr:uid="{F2F747EF-8C38-4744-997B-0B0385880B6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Cálculo: Olhando a parede de alvenaria como uma área em trapézio ((B+b)/2* H) e multiplicando pela sua profundidade (que acaba sendo a largura da parede) Encontrando assim o volume prismático. </t>
        </r>
      </text>
    </comment>
    <comment ref="D177" authorId="0" shapeId="0" xr:uid="{93C4C165-DC4F-443E-8E6C-A285A2AA9975}">
      <text>
        <r>
          <rPr>
            <b/>
            <sz val="9"/>
            <color indexed="81"/>
            <rFont val="Segoe UI"/>
            <family val="2"/>
          </rPr>
          <t>OBS: TRECHOS 01,02...INDICADOS NA PLANILHA NOMEADA ANEXOS (ADITIVO 01). PARA MELHOR ENTENDIMENTO</t>
        </r>
      </text>
    </comment>
    <comment ref="K177" authorId="0" shapeId="0" xr:uid="{D2A199A4-57D5-4C58-86B2-0BEF0BF09688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CONSIDERANDO ÁREA LATERAL DE CADA TRECHO VEZES 0.2 (PROFUNDIDADE) PARA ENCONTRAR O VOLUME. 
</t>
        </r>
      </text>
    </comment>
    <comment ref="J228" authorId="0" shapeId="0" xr:uid="{732967D0-C3A5-4025-B701-16574AD87D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K235" authorId="0" shapeId="0" xr:uid="{4E613B98-9023-4F05-9941-87A3AE1AF33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76" authorId="0" shapeId="0" xr:uid="{A2D78236-68DA-40FE-AA9B-A424AB131DB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18" authorId="0" shapeId="0" xr:uid="{03774770-913A-4308-A9AA-16D3F8623122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45" authorId="0" shapeId="0" xr:uid="{28C49CB5-D3C6-4166-BBF5-266BE96FAC7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72" authorId="0" shapeId="0" xr:uid="{42CFCB1D-B64B-42E2-8721-B619ADCC0867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E31ACD6B-7B83-4047-BECE-2693BA4F724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3CB36F03-23F7-4B6A-B27E-6A76149F449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637FBBEA-A5E9-404B-9A1B-83D611FAEC2A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A6B3DDF1-601D-48DA-BABF-769F81913DC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76402866-E386-4786-9906-A5387154787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6A4C4E62-9FF6-4F33-ABCC-990E15F33143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1085BCD2-87FF-4D4A-95CC-FEB652FC552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DF9DC238-A59C-4B02-AD24-EC1C85E76BDB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472BE33A-9ADA-4978-98C1-F68A5AF15DFF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ACB1015B-D1FD-43E9-818D-42AC642D474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4CD7D15D-15E9-4DA9-B3EB-B6538069A6FE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9D20F380-225A-4C96-8E53-3F015047DED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1FDA2637-A74B-4DF5-ACEE-B2A0E7E2EA04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1141D249-420C-4F6B-843E-4BD9384224F5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D060EC92-9FA2-4129-906A-EF06BA44B2AC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K220" authorId="0" shapeId="0" xr:uid="{00000000-0006-0000-0C00-000001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Cálculo levando em consideração as dimensões de cada pilar vezes o seu número de repetições, vezes a altura de cada toco de pilar. Encontrando a metragem cúbica. </t>
        </r>
      </text>
    </comment>
    <comment ref="G264" authorId="0" shapeId="0" xr:uid="{00000000-0006-0000-0C00-000002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da quantidade de aço (em metros) é encontrado multiplicando o tamanho do corte do estribo para os pilares indicados vezes o comprimento do toco de pilar dividido pelo espaçamento indicado. Quando existir uma soma na celula, é indicação de que os pilares, apesar de possuírem alturas de toco iguais, diferem nas dimensões, assim, com cortes de estribos diferentes. </t>
        </r>
      </text>
    </comment>
    <comment ref="G307" authorId="0" shapeId="0" xr:uid="{00000000-0006-0000-0C00-000003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cálculo, como citado na descrição é composto por cada pilar (caso sejam iguais, estão multiplicados). Considera-se a dobra de aço, passagem pela sapata, distância da parte superior da sapata até a parte inferior da viga baldrame e o transpasse. 
</t>
        </r>
      </text>
    </comment>
    <comment ref="G332" authorId="0" shapeId="0" xr:uid="{00000000-0006-0000-0C00-000004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O cálculo é composto por cada pilar. Considera-se a dobra de aço, passagem pela sapata, distância da parte superior da sapata até a parte inferior da viga baldrame e o transpasse. 
</t>
        </r>
      </text>
    </comment>
    <comment ref="G351" authorId="0" shapeId="0" xr:uid="{00000000-0006-0000-0C00-000005000000}">
      <text>
        <r>
          <rPr>
            <b/>
            <sz val="9"/>
            <color indexed="81"/>
            <rFont val="Segoe UI"/>
            <family val="2"/>
          </rPr>
          <t>Autor:</t>
        </r>
        <r>
          <rPr>
            <sz val="9"/>
            <color indexed="81"/>
            <rFont val="Segoe UI"/>
            <family val="2"/>
          </rPr>
          <t xml:space="preserve">
Soma de dimensões de pilares para realizar a multiplicação de suas somatórias pela altura de cada toco de pilar, encontrando assim a metragem quadrada de fôrma. </t>
        </r>
      </text>
    </comment>
  </commentList>
</comments>
</file>

<file path=xl/sharedStrings.xml><?xml version="1.0" encoding="utf-8"?>
<sst xmlns="http://schemas.openxmlformats.org/spreadsheetml/2006/main" count="11580" uniqueCount="1110">
  <si>
    <t xml:space="preserve">
</t>
  </si>
  <si>
    <t>ITEM</t>
  </si>
  <si>
    <t>CÓDIGO</t>
  </si>
  <si>
    <t>DESCRIÇÃO</t>
  </si>
  <si>
    <t>FONTE</t>
  </si>
  <si>
    <t>UND</t>
  </si>
  <si>
    <t>QUANTIDADE</t>
  </si>
  <si>
    <t>PREÇO
UNITÁRIO R$</t>
  </si>
  <si>
    <t>PREÇO
TOTAL R$</t>
  </si>
  <si>
    <t>1</t>
  </si>
  <si>
    <t>CONSTRUÇÃO DA CASA DE ACOLHIMENTO PARA CRIANÇAS E  ADOLESCENTES - CASA LAR, NO MUNICÍPIO DE SOUSA - PB</t>
  </si>
  <si>
    <t>1.1</t>
  </si>
  <si>
    <t>SERVIÇOS PRELIMINARES</t>
  </si>
  <si>
    <t>1.1.1</t>
  </si>
  <si>
    <t>composição 1</t>
  </si>
  <si>
    <t>PLACA DE OBRA EM CHAPA DE ACO GALVANIZADO [ADAPTADO SINAPI 74209/01]</t>
  </si>
  <si>
    <t>Composições Próprias</t>
  </si>
  <si>
    <t>M2</t>
  </si>
  <si>
    <t>1.1.2</t>
  </si>
  <si>
    <t>93209</t>
  </si>
  <si>
    <t>EXECUÇÃO DE ALMOXARIFADO EM CANTEIRO DE OBRA EM ALVENARIA, INCLUSO PRATELEIRAS. AF_02/2016</t>
  </si>
  <si>
    <t>SINAPI</t>
  </si>
  <si>
    <t>1.1.3</t>
  </si>
  <si>
    <t>EXECUÇÃO DE ESCRITÓRIO EM CANTEIRO DE OBRA EM ALVENARIA, NÃO INCLUSO MOBILIÁRIO E EQUIPAMENTOS. AF_02/2016</t>
  </si>
  <si>
    <t>1.1.4</t>
  </si>
  <si>
    <t>composição 11</t>
  </si>
  <si>
    <t>Tapume em chapa compensada esp = 10mm (1 uso). [ADAPTADO ORSE 53]</t>
  </si>
  <si>
    <t>1.1.5</t>
  </si>
  <si>
    <t>LIMPEZA MANUAL DE VEGETAÇÃO EM TERRENO COM ENXADA.AF_05/2018</t>
  </si>
  <si>
    <t>1.1.6</t>
  </si>
  <si>
    <t>100575</t>
  </si>
  <si>
    <t>REGULARIZAÇÃO DE SUPERFÍCIES COM MOTONIVELADORA. AF_11/2019</t>
  </si>
  <si>
    <t>1.2</t>
  </si>
  <si>
    <t>MOVIMENTO DE TERRA</t>
  </si>
  <si>
    <t>1.2.1</t>
  </si>
  <si>
    <t>99059</t>
  </si>
  <si>
    <t>LOCACAO CONVENCIONAL DE OBRA, UTILIZANDO GABARITO DE TÁBUAS CORRIDAS PONTALETADAS A CADA 2,00M -  2 UTILIZAÇÕES. AF_10/2018</t>
  </si>
  <si>
    <t>M</t>
  </si>
  <si>
    <t>1.2.2</t>
  </si>
  <si>
    <t>93358</t>
  </si>
  <si>
    <t>ESCAVAÇÃO MANUAL DE VALA COM PROFUNDIDADE MENOR OU IGUAL A 1,30 M. AF_02/2021</t>
  </si>
  <si>
    <t>M3</t>
  </si>
  <si>
    <t>1.2.3</t>
  </si>
  <si>
    <t>96995</t>
  </si>
  <si>
    <t>REATERRO MANUAL APILOADO COM SOQUETE. AF_10/2017</t>
  </si>
  <si>
    <t>1.2.4</t>
  </si>
  <si>
    <t>94319</t>
  </si>
  <si>
    <t>ATERRO MANUAL DE VALAS COM SOLO ARGILO-ARENOSO E COMPACTAÇÃO MECANIZADA. AF_05/2016</t>
  </si>
  <si>
    <t>1.3</t>
  </si>
  <si>
    <t>FUNDAÇÃO</t>
  </si>
  <si>
    <t>1.3.1</t>
  </si>
  <si>
    <t>composição 12</t>
  </si>
  <si>
    <t>ALVENARIA DE EMBASAMENTO COM BLOCO CERÂMICO DE 9X14X19CM E ARGAMASSA DE ASSENTAMENTO COM PREPARO EM BETONEIRA. AF_05/2020. [ADAPTADO SINAPI 101166]</t>
  </si>
  <si>
    <t>1.3.2</t>
  </si>
  <si>
    <t>101616</t>
  </si>
  <si>
    <t>PREPARO DE FUNDO DE VALA COM LARGURA MENOR QUE 1,5 M (ACERTO DO SOLO NATURAL). AF_08/2020</t>
  </si>
  <si>
    <t>1.3.3</t>
  </si>
  <si>
    <t>96619</t>
  </si>
  <si>
    <t>LASTRO DE CONCRETO MAGRO, APLICADO EM BLOCOS DE COROAMENTO OU SAPATAS, ESPESSURA DE 5 CM. AF_08/2017</t>
  </si>
  <si>
    <t>1.3.4</t>
  </si>
  <si>
    <t>96545</t>
  </si>
  <si>
    <t>ARMAÇÃO DE BLOCO, VIGA BALDRAME OU SAPATA UTILIZANDO AÇO CA-50 DE 8 MM - MONTAGEM. AF_06/2017</t>
  </si>
  <si>
    <t>KG</t>
  </si>
  <si>
    <t>1.3.5</t>
  </si>
  <si>
    <t>94966</t>
  </si>
  <si>
    <t>CONCRETO FCK = 30MPA, TRAÇO 1:2,1:2,5 (EM MASSA SECA DE CIMENTO/ AREIA MÉDIA/ BRITA 1) - PREPARO MECÂNICO COM BETONEIRA 400 L. AF_05/2021</t>
  </si>
  <si>
    <t>1.3.6</t>
  </si>
  <si>
    <t>94964</t>
  </si>
  <si>
    <t>CONCRETO FCK = 20MPA, TRAÇO 1:2,7:3 (EM MASSA SECA DE CIMENTO/ AREIA MÉDIA/ BRITA 1) - PREPARO MECÂNICO COM BETONEIRA 400 L. AF_05/2021</t>
  </si>
  <si>
    <t>1.3.7</t>
  </si>
  <si>
    <t>103670</t>
  </si>
  <si>
    <t>LANÇAMENTO COM USO DE BALDES, ADENSAMENTO E ACABAMENTO DE CONCRETO EM ESTRUTURAS. AF_02/2022</t>
  </si>
  <si>
    <t>1.3.8</t>
  </si>
  <si>
    <t>96543</t>
  </si>
  <si>
    <t>ARMAÇÃO DE BLOCO, VIGA BALDRAME E SAPATA UTILIZANDO AÇO CA-60 DE 5 MM - MONTAGEM. AF_06/2017</t>
  </si>
  <si>
    <t>1.3.9</t>
  </si>
  <si>
    <t>96544</t>
  </si>
  <si>
    <t>ARMAÇÃO DE BLOCO, VIGA BALDRAME OU SAPATA UTILIZANDO AÇO CA-50 DE 6,3 MM - MONTAGEM. AF_06/2017</t>
  </si>
  <si>
    <t>1.3.10</t>
  </si>
  <si>
    <t>96546</t>
  </si>
  <si>
    <t>ARMAÇÃO DE BLOCO, VIGA BALDRAME OU SAPATA UTILIZANDO AÇO CA-50 DE 10 MM - MONTAGEM. AF_06/2017</t>
  </si>
  <si>
    <t>1.3.11</t>
  </si>
  <si>
    <t>96547</t>
  </si>
  <si>
    <t>ARMAÇÃO DE BLOCO, VIGA BALDRAME OU SAPATA UTILIZANDO AÇO CA-50 DE 12,5 MM - MONTAGEM. AF_06/2017</t>
  </si>
  <si>
    <t>1.3.12</t>
  </si>
  <si>
    <t>96536</t>
  </si>
  <si>
    <t>FABRICAÇÃO, MONTAGEM E DESMONTAGEM DE FÔRMA PARA VIGA BALDRAME, EM MADEIRA SERRADA, E=25 MM, 4 UTILIZAÇÕES. AF_06/2017</t>
  </si>
  <si>
    <t>1.3.13</t>
  </si>
  <si>
    <t>98557</t>
  </si>
  <si>
    <t>IMPERMEABILIZAÇÃO DE SUPERFÍCIE COM EMULSÃO ASFÁLTICA, 2 DEMÃOS AF_06/2018</t>
  </si>
  <si>
    <t>1.4</t>
  </si>
  <si>
    <t>ESTRUTURA</t>
  </si>
  <si>
    <t>1.4.1</t>
  </si>
  <si>
    <t>92443</t>
  </si>
  <si>
    <t>MONTAGEM E DESMONTAGEM DE FÔRMA DE PILARES RETANGULARES E ESTRUTURAS SIMILARES, PÉ-DIREITO SIMPLES, EM CHAPA DE MADEIRA COMPENSADA PLASTIFICADA, 18 UTILIZAÇÕES. AF_09/2020</t>
  </si>
  <si>
    <t>1.4.2</t>
  </si>
  <si>
    <t>92480</t>
  </si>
  <si>
    <t>MONTAGEM E DESMONTAGEM DE FÔRMA DE VIGA, ESCORAMENTO METÁLICO, PÉ-DIREITO SIMPLES, EM CHAPA DE MADEIRA PLASTIFICADA, 18 UTILIZAÇÕES. AF_09/2020</t>
  </si>
  <si>
    <t>1.4.3</t>
  </si>
  <si>
    <t>92267</t>
  </si>
  <si>
    <t>FABRICAÇÃO DE FÔRMA PARA LAJES, EM CHAPA DE MADEIRA COMPENSADA RESINADA, E = 17 MM. AF_09/2020</t>
  </si>
  <si>
    <t>1.4.4</t>
  </si>
  <si>
    <t>92759</t>
  </si>
  <si>
    <t>ARMAÇÃO DE PILAR OU VIGA DE ESTRUTURA CONVENCIONAL DE CONCRETO ARMADO UTILIZANDO AÇO CA-60 DE 5,0 MM - MONTAGEM. AF_06/2022</t>
  </si>
  <si>
    <t>1.4.5</t>
  </si>
  <si>
    <t>92760</t>
  </si>
  <si>
    <t>ARMAÇÃO DE PILAR OU VIGA DE ESTRUTURA CONVENCIONAL DE CONCRETO ARMADO UTILIZANDO AÇO CA-50 DE 6,3 MM - MONTAGEM. AF_06/2022</t>
  </si>
  <si>
    <t>1.4.6</t>
  </si>
  <si>
    <t>92761</t>
  </si>
  <si>
    <t>ARMAÇÃO DE PILAR OU VIGA DE ESTRUTURA CONVENCIONAL DE CONCRETO ARMADO UTILIZANDO AÇO CA-50 DE 8,0 MM - MONTAGEM. AF_06/2022</t>
  </si>
  <si>
    <t>1.4.7</t>
  </si>
  <si>
    <t>92762</t>
  </si>
  <si>
    <t>ARMAÇÃO DE PILAR OU VIGA DE ESTRUTURA CONVENCIONAL DE CONCRETO ARMADO UTILIZANDO AÇO CA-50 DE 10,0 MM - MONTAGEM. AF_06/2022</t>
  </si>
  <si>
    <t>1.4.8</t>
  </si>
  <si>
    <t>92763</t>
  </si>
  <si>
    <t>ARMAÇÃO DE PILAR OU VIGA DE ESTRUTURA CONVENCIONAL DE CONCRETO ARMADO UTILIZANDO AÇO CA-50 DE 12,5 MM - MONTAGEM. AF_06/2022</t>
  </si>
  <si>
    <t>1.4.9</t>
  </si>
  <si>
    <t>92768</t>
  </si>
  <si>
    <t>ARMAÇÃO DE LAJE DE ESTRUTURA CONVENCIONAL DE CONCRETO ARMADO UTILIZANDO AÇO CA-60 DE 5,0 MM - MONTAGEM. AF_06/2022</t>
  </si>
  <si>
    <t>1.4.10</t>
  </si>
  <si>
    <t>92769</t>
  </si>
  <si>
    <t>ARMAÇÃO DE LAJE DE ESTRUTURA CONVENCIONAL DE CONCRETO ARMADO UTILIZANDO AÇO CA-50 DE 6,3 MM - MONTAGEM. AF_06/2022</t>
  </si>
  <si>
    <t>1.4.11</t>
  </si>
  <si>
    <t>92770</t>
  </si>
  <si>
    <t>ARMAÇÃO DE LAJE DE ESTRUTURA CONVENCIONAL DE CONCRETO ARMADO UTILIZANDO AÇO CA-50 DE 8,0 MM - MONTAGEM. AF_06/2022</t>
  </si>
  <si>
    <t>1.4.12</t>
  </si>
  <si>
    <t>1.4.13</t>
  </si>
  <si>
    <t>1.4.14</t>
  </si>
  <si>
    <t>92771</t>
  </si>
  <si>
    <t>ARMAÇÃO DE LAJE DE ESTRUTURA CONVENCIONAL DE CONCRETO ARMADO UTILIZANDO AÇO CA-50 DE 10,0 MM - MONTAGEM. AF_06/2022</t>
  </si>
  <si>
    <t>1.4.15</t>
  </si>
  <si>
    <t>92772</t>
  </si>
  <si>
    <t>ARMAÇÃO DE LAJE DE ESTRUTURA CONVENCIONAL DE CONCRETO ARMADO UTILIZANDO AÇO CA-50 DE 12,5 MM - MONTAGEM. AF_06/2022</t>
  </si>
  <si>
    <t>1.5</t>
  </si>
  <si>
    <t>PAREDES</t>
  </si>
  <si>
    <t>1.5.1</t>
  </si>
  <si>
    <t>103356</t>
  </si>
  <si>
    <t>ALVENARIA DE VEDAÇÃO DE BLOCOS CERÂMICOS FURADOS NA HORIZONTAL DE 9X19X29 CM (ESPESSURA 9 CM) E ARGAMASSA DE ASSENTAMENTO COM PREPARO EM BETONEIRA. AF_12/2021</t>
  </si>
  <si>
    <t>1.5.2</t>
  </si>
  <si>
    <t>93189</t>
  </si>
  <si>
    <t>VERGA MOLDADA IN LOCO EM CONCRETO PARA PORTAS COM MAIS DE 1,5 M DE VÃO. AF_03/2016</t>
  </si>
  <si>
    <t>1.5.3</t>
  </si>
  <si>
    <t>93191</t>
  </si>
  <si>
    <t>VERGA MOLDADA IN LOCO COM UTILIZAÇÃO DE BLOCOS CANALETA PARA JANELAS COM MAIS DE 1,5 M DE VÃO. AF_03/2016</t>
  </si>
  <si>
    <t>1.5.4</t>
  </si>
  <si>
    <t>93197</t>
  </si>
  <si>
    <t>CONTRAVERGA MOLDADA IN LOCO EM CONCRETO PARA VÃOS DE MAIS DE 1,5 M DE COMPRIMENTO. AF_03/2016</t>
  </si>
  <si>
    <t>1.6</t>
  </si>
  <si>
    <t>REVESTIMENTOS INTERNOS</t>
  </si>
  <si>
    <t>1.6.1</t>
  </si>
  <si>
    <t>87893</t>
  </si>
  <si>
    <t>CHAPISCO APLICADO EM ALVENARIA (SEM PRESENÇA DE VÃOS) E ESTRUTURAS DE CONCRETO DE FACHADA, COM COLHER DE PEDREIRO.  ARGAMASSA TRAÇO 1:3 COM PREPARO MANUAL. AF_10/2022</t>
  </si>
  <si>
    <t>1.6.2</t>
  </si>
  <si>
    <t>87548</t>
  </si>
  <si>
    <t>MASSA ÚNICA, PARA RECEBIMENTO DE PINTURA, EM ARGAMASSA TRAÇO 1:2:8, PREPARO MANUAL, APLICADA MANUALMENTE EM FACES INTERNAS DE PAREDES, ESPESSURA DE 10MM, COM EXECUÇÃO DE TALISCAS. AF_06/2014</t>
  </si>
  <si>
    <t>1.6.3</t>
  </si>
  <si>
    <t>87536</t>
  </si>
  <si>
    <t>EMBOÇO, PARA RECEBIMENTO DE CERÂMICA, EM ARGAMASSA TRAÇO 1:2:8, PREPARO MANUAL, APLICADO MANUALMENTE EM FACES INTERNAS DE PAREDES, PARA AMBIENTE COM ÁREA  MAIOR QUE 10M2, ESPESSURA DE 20MM, COM EXECUÇÃO DE TALISCAS. AF_06/2014</t>
  </si>
  <si>
    <t>1.6.4</t>
  </si>
  <si>
    <t>87275</t>
  </si>
  <si>
    <t>REVESTIMENTO CERÂMICO PARA PAREDES INTERNAS COM PLACAS TIPO ESMALTADA EXTRA DE DIMENSÕES 33X45 CM APLICADAS A MEIA ALTURA DAS PAREDES. AF_02/2023_PE</t>
  </si>
  <si>
    <t>1.7</t>
  </si>
  <si>
    <t>ESQUADRIAS</t>
  </si>
  <si>
    <t>1.7.1</t>
  </si>
  <si>
    <t>91315</t>
  </si>
  <si>
    <t>KIT DE PORTA DE MADEIRA PARA PINTURA, SEMI-OCA (LEVE OU MÉDIA), PADRÃO POPULAR, 90X210CM, ESPESSURA DE 3,5CM, ITENS INCLUSOS: DOBRADIÇAS, MONTAGEM E INSTALAÇÃO DO BATENTE, FECHADURA COM EXECUÇÃO DO FURO - FORNECIMENTO E INSTALAÇÃO. AF_12/2019</t>
  </si>
  <si>
    <t>UN</t>
  </si>
  <si>
    <t>1.7.2</t>
  </si>
  <si>
    <t>94570</t>
  </si>
  <si>
    <t>JANELA DE ALUMÍNIO DE CORRER COM 2 FOLHAS PARA VIDROS, COM VIDROS, BATENTE, ACABAMENTO COM ACETATO OU BRILHANTE E FERRAGENS. EXCLUSIVE ALIZAR E CONTRAMARCO. FORNECIMENTO E INSTALAÇÃO. AF_12/2019</t>
  </si>
  <si>
    <t>1.7.3</t>
  </si>
  <si>
    <t>100689</t>
  </si>
  <si>
    <t>KIT DE PORTA DE MADEIRA FRISADA, SEMI-OCA (LEVE OU MÉDIA), PADRÃO MÉDIO, 80X210CM, ESPESSURA DE 3,5CM, ITENS INCLUSOS: DOBRADIÇAS, MONTAGEM E INSTALAÇÃO DE BATENTE, FECHADURA COM EXECUÇÃO DO FURO - FORNECIMENTO E INSTALAÇÃO. AF_12/2019</t>
  </si>
  <si>
    <t>1.7.4</t>
  </si>
  <si>
    <t>composição 3</t>
  </si>
  <si>
    <t>PORTA EM MADEIRA , LISA, SEMI-ÔCA, 1.46 X 2.10 M, COM DUAS FOLHAS, INCLUSIVE BATENTES E FERRAGENS - REV 02[ADAPTADO DE ORSE 7149]</t>
  </si>
  <si>
    <t>1.7.5</t>
  </si>
  <si>
    <t>composição 4</t>
  </si>
  <si>
    <t>PORTÃO EM ALUMÍNIO, COR N/B/P, EM PERFÍS BÚZIO QUADRADO OU LAMBRIL, COMPLETO INCLUSIVE RODÍZIOS, PERFÍS E FECHADURA- ORSE - ORSE 11955</t>
  </si>
  <si>
    <t>1.7.6</t>
  </si>
  <si>
    <t>91341</t>
  </si>
  <si>
    <t>PORTA EM ALUMÍNIO DE ABRIR TIPO VENEZIANA COM GUARNIÇÃO, FIXAÇÃO COM PARAFUSOS - FORNECIMENTO E INSTALAÇÃO. AF_12/2019</t>
  </si>
  <si>
    <t>1.7.7</t>
  </si>
  <si>
    <t>100702</t>
  </si>
  <si>
    <t>PORTA DE CORRER DE ALUMÍNIO, COM DUAS FOLHAS PARA VIDRO, INCLUSO VIDRO LISO INCOLOR, FECHADURA E PUXADOR, SEM ALIZAR. AF_12/2019</t>
  </si>
  <si>
    <t>1.7.8</t>
  </si>
  <si>
    <t>90831</t>
  </si>
  <si>
    <t>FECHADURA DE EMBUTIR PARA PORTA DE BANHEIRO, COMPLETA, ACABAMENTO PADRÃO MÉDIO, INCLUSO EXECUÇÃO DE FURO - FORNECIMENTO E INSTALAÇÃO. AF_12/2019</t>
  </si>
  <si>
    <t>1.8</t>
  </si>
  <si>
    <t>PINTURA</t>
  </si>
  <si>
    <t>1.8.1</t>
  </si>
  <si>
    <t>88485</t>
  </si>
  <si>
    <t>APLICAÇÃO DE FUNDO SELADOR ACRÍLICO EM PAREDES, UMA DEMÃO. AF_06/2014</t>
  </si>
  <si>
    <t>1.8.2</t>
  </si>
  <si>
    <t>88495</t>
  </si>
  <si>
    <t>APLICAÇÃO E LIXAMENTO DE MASSA LÁTEX EM PAREDES, UMA DEMÃO. AF_06/2014</t>
  </si>
  <si>
    <t>1.8.3</t>
  </si>
  <si>
    <t>88489</t>
  </si>
  <si>
    <t>APLICAÇÃO MANUAL DE PINTURA COM TINTA LÁTEX ACRÍLICA EM PAREDES, DUAS DEMÃOS. AF_06/2014</t>
  </si>
  <si>
    <t>1.8.4</t>
  </si>
  <si>
    <t>88484</t>
  </si>
  <si>
    <t>APLICAÇÃO DE FUNDO SELADOR ACRÍLICO EM TETO, UMA DEMÃO. AF_06/2014</t>
  </si>
  <si>
    <t>1.8.5</t>
  </si>
  <si>
    <t>88494</t>
  </si>
  <si>
    <t>APLICAÇÃO E LIXAMENTO DE MASSA LÁTEX EM TETO, UMA DEMÃO. AF_06/2014</t>
  </si>
  <si>
    <t>1.8.6</t>
  </si>
  <si>
    <t>88488</t>
  </si>
  <si>
    <t>APLICAÇÃO MANUAL DE PINTURA COM TINTA LÁTEX ACRÍLICA EM TETO, DUAS DEMÃOS. AF_06/2014</t>
  </si>
  <si>
    <t>1.9</t>
  </si>
  <si>
    <t>REVESTIMENTOS EXTERNOS</t>
  </si>
  <si>
    <t>1.9.1</t>
  </si>
  <si>
    <t>87894</t>
  </si>
  <si>
    <t>CHAPISCO APLICADO EM ALVENARIA (SEM PRESENÇA DE VÃOS) E ESTRUTURAS DE CONCRETO DE FACHADA, COM COLHER DE PEDREIRO.  ARGAMASSA TRAÇO 1:3 COM PREPARO EM BETONEIRA 400L. AF_10/2022</t>
  </si>
  <si>
    <t>1.9.2</t>
  </si>
  <si>
    <t>104233</t>
  </si>
  <si>
    <t>EMBOÇO OU MASSA ÚNICA EM ARGAMASSA TRAÇO 1:2:8, PREPARO MECÂNICA COM BETONEIRA 400 L, APLICADA MANUALMENTE EM PANOS DE FACHADA SEM PRESENÇA DE VÃOS, ESPESSURA DE 25 MM, ACESSO POR ANDAIME. AF_08/2022</t>
  </si>
  <si>
    <t>1.9.3</t>
  </si>
  <si>
    <t>composição 6</t>
  </si>
  <si>
    <t>REVESTIMENTO PORCELANATO MADEIRADO PARA PAREDES COM PLACAS TIPO ESMALTADA EXTRA DE DIMENSÕES 20X120 CM [ADAPTADO SINAPI 87244]</t>
  </si>
  <si>
    <t>1.9.4</t>
  </si>
  <si>
    <t>composição  7</t>
  </si>
  <si>
    <t>REVESTIMENTO PORCELANATO MARMORIZADO PARA PAREDES E PISO COM PLACAS TIPO ESMALTADA EXTRA DE DIMENSÕES 80X80 CM [ADAPTADO SINAPI 87244]</t>
  </si>
  <si>
    <t>M²</t>
  </si>
  <si>
    <t>1.9.5</t>
  </si>
  <si>
    <t>1.9.6</t>
  </si>
  <si>
    <t>96130</t>
  </si>
  <si>
    <t>APLICAÇÃO MANUAL DE MASSA ACRÍLICA EM PAREDES EXTERNAS DE CASAS, UMA DEMÃO. AF_05/2017</t>
  </si>
  <si>
    <t>1.9.7</t>
  </si>
  <si>
    <t>1.10</t>
  </si>
  <si>
    <t>INSTALAÇÃO ELÉTRICA</t>
  </si>
  <si>
    <t>1.10.1</t>
  </si>
  <si>
    <t>92868</t>
  </si>
  <si>
    <t>CAIXA RETANGULAR 4" X 2" MÉDIA (1,30 M DO PISO), METÁLICA, INSTALADA EM PAREDE - FORNECIMENTO E INSTALAÇÃO. AF_03/2023</t>
  </si>
  <si>
    <t>1.10.2</t>
  </si>
  <si>
    <t>91937</t>
  </si>
  <si>
    <t>CAIXA OCTOGONAL 3" X 3", PVC, INSTALADA EM LAJE - FORNECIMENTO E INSTALAÇÃO. AF_03/2023</t>
  </si>
  <si>
    <t>1.10.3</t>
  </si>
  <si>
    <t>91924</t>
  </si>
  <si>
    <t>CABO DE COBRE FLEXÍVEL ISOLADO, 1,5 MM², ANTI-CHAMA 450/750 V, PARA CIRCUITOS TERMINAIS - FORNECIMENTO E INSTALAÇÃO. AF_03/2023</t>
  </si>
  <si>
    <t>1.10.4</t>
  </si>
  <si>
    <t>91926</t>
  </si>
  <si>
    <t>CABO DE COBRE FLEXÍVEL ISOLADO, 2,5 MM², ANTI-CHAMA 450/750 V, PARA CIRCUITOS TERMINAIS - FORNECIMENTO E INSTALAÇÃO. AF_03/2023</t>
  </si>
  <si>
    <t>1.10.5</t>
  </si>
  <si>
    <t>91928</t>
  </si>
  <si>
    <t>CABO DE COBRE FLEXÍVEL ISOLADO, 4 MM², ANTI-CHAMA 450/750 V, PARA CIRCUITOS TERMINAIS - FORNECIMENTO E INSTALAÇÃO. AF_03/2023</t>
  </si>
  <si>
    <t>1.10.6</t>
  </si>
  <si>
    <t>91931</t>
  </si>
  <si>
    <t>CABO DE COBRE FLEXÍVEL ISOLADO, 6 MM², ANTI-CHAMA 0,6/1,0 KV, PARA CIRCUITOS TERMINAIS - FORNECIMENTO E INSTALAÇÃO. AF_03/2023</t>
  </si>
  <si>
    <t>1.10.7</t>
  </si>
  <si>
    <t>00039773</t>
  </si>
  <si>
    <t>CAIXA DE PASSAGEM METALICA DE SOBREPOR COM TAMPA PARAFUSADA, DIMENSOES 40 X 40 X 15 CM</t>
  </si>
  <si>
    <t>1.10.8</t>
  </si>
  <si>
    <t>101890</t>
  </si>
  <si>
    <t>DISJUNTOR MONOPOLAR TIPO NEMA, CORRENTE NOMINAL DE 10 ATÉ 30A - FORNECIMENTO E INSTALAÇÃO. AF_10/2020</t>
  </si>
  <si>
    <t>1.10.9</t>
  </si>
  <si>
    <t>93670</t>
  </si>
  <si>
    <t>DISJUNTOR TRIPOLAR TIPO DIN, CORRENTE NOMINAL DE 25A - FORNECIMENTO E INSTALAÇÃO. AF_10/2020</t>
  </si>
  <si>
    <t>1.10.10</t>
  </si>
  <si>
    <t>93671</t>
  </si>
  <si>
    <t>DISJUNTOR TRIPOLAR TIPO DIN, CORRENTE NOMINAL DE 32A - FORNECIMENTO E INSTALAÇÃO. AF_10/2020</t>
  </si>
  <si>
    <t>1.10.11</t>
  </si>
  <si>
    <t>00039466</t>
  </si>
  <si>
    <t>DISPOSITIVO DPS CLASSE II, 1 POLO, TENSAO MAXIMA DE 175 V, CORRENTE MAXIMA DE *30* KA (TIPO AC)</t>
  </si>
  <si>
    <t>1.10.12</t>
  </si>
  <si>
    <t>00039445</t>
  </si>
  <si>
    <t>DISPOSITIVO DR, 2 POLOS, SENSIBILIDADE DE 30 MA, CORRENTE DE 25 A, TIPO AC</t>
  </si>
  <si>
    <t>1.10.13</t>
  </si>
  <si>
    <t>00039446</t>
  </si>
  <si>
    <t>DISPOSITIVO DR, 2 POLOS, SENSIBILIDADE DE 30 MA, CORRENTE DE 40 A, TIPO AC</t>
  </si>
  <si>
    <t>1.10.14</t>
  </si>
  <si>
    <t>91953</t>
  </si>
  <si>
    <t>INTERRUPTOR SIMPLES (1 MÓDULO), 10A/250V, INCLUINDO SUPORTE E PLACA - FORNECIMENTO E INSTALAÇÃO. AF_03/2023</t>
  </si>
  <si>
    <t>1.10.15</t>
  </si>
  <si>
    <t>91967</t>
  </si>
  <si>
    <t>INTERRUPTOR SIMPLES (3 MÓDULOS), 10A/250V, INCLUINDO SUPORTE E PLACA - FORNECIMENTO E INSTALAÇÃO. AF_03/2023</t>
  </si>
  <si>
    <t>1.10.16</t>
  </si>
  <si>
    <t>92000</t>
  </si>
  <si>
    <t>TOMADA BAIXA DE EMBUTIR (1 MÓDULO), 2P+T 10 A, INCLUINDO SUPORTE E PLACA - FORNECIMENTO E INSTALAÇÃO. AF_03/2023</t>
  </si>
  <si>
    <t>1.10.17</t>
  </si>
  <si>
    <t>92008</t>
  </si>
  <si>
    <t>TOMADA BAIXA DE EMBUTIR (2 MÓDULOS), 2P+T 10 A, INCLUINDO SUPORTE E PLACA - FORNECIMENTO E INSTALAÇÃO. AF_03/2023</t>
  </si>
  <si>
    <t>1.10.18</t>
  </si>
  <si>
    <t>91959</t>
  </si>
  <si>
    <t>INTERRUPTOR SIMPLES (2 MÓDULOS), 10A/250V, INCLUINDO SUPORTE E PLACA - FORNECIMENTO E INSTALAÇÃO. AF_03/2023</t>
  </si>
  <si>
    <t>1.10.19</t>
  </si>
  <si>
    <t>91834</t>
  </si>
  <si>
    <t>ELETRODUTO FLEXÍVEL CORRUGADO, PVC, DN 25 MM (3/4"), PARA CIRCUITOS TERMINAIS, INSTALADO EM FORRO - FORNECIMENTO E INSTALAÇÃO. AF_03/2023</t>
  </si>
  <si>
    <t>1.10.20</t>
  </si>
  <si>
    <t>91868</t>
  </si>
  <si>
    <t>ELETRODUTO RÍGIDO ROSCÁVEL, PVC, DN 32 MM (1"), PARA CIRCUITOS TERMINAIS, INSTALADO EM LAJE - FORNECIMENTO E INSTALAÇÃO. AF_03/2023</t>
  </si>
  <si>
    <t>1.10.21</t>
  </si>
  <si>
    <t>91867</t>
  </si>
  <si>
    <t>ELETRODUTO RÍGIDO ROSCÁVEL, PVC, DN 25 MM (3/4"), PARA CIRCUITOS TERMINAIS, INSTALADO EM LAJE - FORNECIMENTO E INSTALAÇÃO. AF_03/2023</t>
  </si>
  <si>
    <t>1.10.22</t>
  </si>
  <si>
    <t>101654</t>
  </si>
  <si>
    <t>LUMINÁRIA DE LED PARA ILUMINAÇÃO PÚBLICA, DE 33 W ATÉ 50 W - FORNECIMENTO E INSTALAÇÃO. AF_08/2020</t>
  </si>
  <si>
    <t>1.10.23</t>
  </si>
  <si>
    <t>103782</t>
  </si>
  <si>
    <t>LUMINÁRIA TIPO PLAFON CIRCULAR, DE SOBREPOR, COM LED DE 12/13 W - FORNECIMENTO E INSTALAÇÃO. AF_03/2022</t>
  </si>
  <si>
    <t>1.10.24</t>
  </si>
  <si>
    <t>101509</t>
  </si>
  <si>
    <t>ENTRADA DE ENERGIA ELÉTRICA, AÉREA, TRIFÁSICA, COM CAIXA DE EMBUTIR, CABO DE 10 MM2 E DISJUNTOR DIN 50A (NÃO INCLUSO O POSTE DE CONCRETO). AF_07/2020_PS</t>
  </si>
  <si>
    <t>1.10.25</t>
  </si>
  <si>
    <t>00005044</t>
  </si>
  <si>
    <t>POSTE DE CONCRETO ARMADO DE SECAO CIRCULAR, EXTENSAO DE 9,00 M, RESISTENCIA DE 200 A 300 DAN, TIPO C-14</t>
  </si>
  <si>
    <t>1.10.26</t>
  </si>
  <si>
    <t>101879</t>
  </si>
  <si>
    <t>QUADRO DE DISTRIBUIÇÃO DE ENERGIA EM CHAPA DE AÇO GALVANIZADO, DE EMBUTIR, COM BARRAMENTO TRIFÁSICO, PARA 24 DISJUNTORES DIN 100A - FORNECIMENTO E INSTALAÇÃO. AF_10/2020</t>
  </si>
  <si>
    <t>1.10.27</t>
  </si>
  <si>
    <t>1.10.28</t>
  </si>
  <si>
    <t>92023</t>
  </si>
  <si>
    <t>INTERRUPTOR SIMPLES (1 MÓDULO) COM 1 TOMADA DE EMBUTIR 2P+T 10 A, INCLUINDO SUPORTE E PLACA - FORNECIMENTO E INSTALAÇÃO. AF_03/2023</t>
  </si>
  <si>
    <t>1.11</t>
  </si>
  <si>
    <t>PISOS</t>
  </si>
  <si>
    <t>1.11.1</t>
  </si>
  <si>
    <t>96620</t>
  </si>
  <si>
    <t>LASTRO DE CONCRETO MAGRO, APLICADO EM PISOS, LAJES SOBRE SOLO OU RADIERS. AF_08/2017</t>
  </si>
  <si>
    <t>1.11.2</t>
  </si>
  <si>
    <t>94439</t>
  </si>
  <si>
    <t>(COMPOSIÇÃO REPRESENTATIVA) DO SERVIÇO DE CONTRAPISO EM ARGAMASSA TRAÇO 1:4 (CIM E AREIA), BETONEIRA 400 L, E = 4 CM ÁREAS SECAS E  MOLHADAS SOBRE LAJE , E = 3 CM ÁREAS MOLHADAS SOBRE IMPERMEABILIZAÇÃO, CASA E EDIFICAÇÃO PÚBLICA PADRÃO. AF_11/2014</t>
  </si>
  <si>
    <t>1.11.3</t>
  </si>
  <si>
    <t>87257</t>
  </si>
  <si>
    <t>REVESTIMENTO CERÂMICO PARA PISO COM PLACAS TIPO ESMALTADA EXTRA DE DIMENSÕES 60X60 CM APLICADA EM AMBIENTES DE ÁREA MAIOR QUE 10 M2. AF_02/2023_PE</t>
  </si>
  <si>
    <t>1.11.4</t>
  </si>
  <si>
    <t>92403</t>
  </si>
  <si>
    <t>EXECUÇÃO DE PAVIMENTO EM PISO INTERTRAVADO, COM BLOCO 16 FACES DE 22 X 11 CM, ESPESSURA 6 CM. AF_10/2022</t>
  </si>
  <si>
    <t>1.11.5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</si>
  <si>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</si>
  <si>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</si>
  <si>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1.11.6</t>
  </si>
  <si>
    <t>00000368</t>
  </si>
  <si>
    <t>AREIA PARA ATERRO - POSTO JAZIDA/FORNECEDOR (RETIRADO NA JAZIDA, SEM TRANSPORTE)</t>
  </si>
  <si>
    <t>1.11.7</t>
  </si>
  <si>
    <t>98504</t>
  </si>
  <si>
    <t>PLANTIO DE GRAMA BATATAIS EM PLACAS. AF_05/2018</t>
  </si>
  <si>
    <t>1.11.8</t>
  </si>
  <si>
    <t>103913</t>
  </si>
  <si>
    <t>EXECUÇÃO DE PISO INDUSTRIAL DE CONCRETO ARMADO, FCK = 20 MPA, ESPESSURA DE 12,0 CM. AF_04/2022</t>
  </si>
  <si>
    <t>1.12</t>
  </si>
  <si>
    <t>COBERTA</t>
  </si>
  <si>
    <t>1.12.1</t>
  </si>
  <si>
    <t>94207</t>
  </si>
  <si>
    <t>TELHAMENTO COM TELHA ONDULADA DE FIBROCIMENTO E = 6 MM, COM RECOBRIMENTO LATERAL DE 1/4 DE ONDA PARA TELHADO COM INCLINAÇÃO MAIOR QUE 10°, COM ATÉ 2 ÁGUAS, INCLUSO IÇAMENTO. AF_07/2019</t>
  </si>
  <si>
    <t>1.12.2</t>
  </si>
  <si>
    <t>98546</t>
  </si>
  <si>
    <t>IMPERMEABILIZAÇÃO DE SUPERFÍCIE COM MANTA ASFÁLTICA, UMA CAMADA, INCLUSIVE APLICAÇÃO DE PRIMER ASFÁLTICO, E=3MM. AF_06/2018</t>
  </si>
  <si>
    <t>1.12.3</t>
  </si>
  <si>
    <t>98565</t>
  </si>
  <si>
    <t>PROTEÇÃO MECÂNICA DE SUPERFICIE HORIZONTAL COM ARGAMASSA DE CIMENTO E AREIA, TRAÇO 1:3, E=3CM. AF_06/2018</t>
  </si>
  <si>
    <t>1.12.4</t>
  </si>
  <si>
    <t>100374</t>
  </si>
  <si>
    <t>FABRICAÇÃO E INSTALAÇÃO DE MEIA TESOURA DE MADEIRA NÃO APARELHADA, COM VÃO DE 10 M, PARA TELHA ONDULADA DE FIBROCIMENTO, ALUMÍNIO, PLÁSTICA OU TERMOACÚSTICA, INCLUSO IÇAMENTO. AF_07/2019</t>
  </si>
  <si>
    <t>1.12.5</t>
  </si>
  <si>
    <t>100375</t>
  </si>
  <si>
    <t>FABRICAÇÃO E INSTALAÇÃO DE MEIA TESOURA DE MADEIRA NÃO APARELHADA, COM VÃO DE 11 M, PARA TELHA ONDULADA DE FIBROCIMENTO, ALUMÍNIO, PLÁSTICA OU TERMOACÚSTICA, INCLUSO IÇAMENTO. AF_07/2019</t>
  </si>
  <si>
    <t>1.12.6</t>
  </si>
  <si>
    <t>92544</t>
  </si>
  <si>
    <t>TRAMA DE MADEIRA COMPOSTA POR TERÇAS PARA TELHADOS DE ATÉ 2 ÁGUAS PARA TELHA ESTRUTURAL DE FIBROCIMENTO, INCLUSO TRANSPORTE VERTICAL. AF_07/2019</t>
  </si>
  <si>
    <t>1.12.7</t>
  </si>
  <si>
    <t>100435</t>
  </si>
  <si>
    <t>RUFO EM FIBROCIMENTO PARA TELHA ONDULADA E = 6 MM, ABA DE 26 CM, INCLUSO TRANSPORTE VERTICAL, EXCETO CONTRARRUFO. AF_07/2019</t>
  </si>
  <si>
    <t>1.12.8</t>
  </si>
  <si>
    <t>94229</t>
  </si>
  <si>
    <t>CALHA EM CHAPA DE AÇO GALVANIZADO NÚMERO 24, DESENVOLVIMENTO DE 100 CM, INCLUSO TRANSPORTE VERTICAL. AF_07/2019</t>
  </si>
  <si>
    <t>1.12.9</t>
  </si>
  <si>
    <t>96113</t>
  </si>
  <si>
    <t>FORRO EM PLACAS DE GESSO, PARA AMBIENTES COMERCIAIS. AF_05/2017_PS</t>
  </si>
  <si>
    <t>1.13</t>
  </si>
  <si>
    <t>INSTALAÇÕES HIDROSANITÁRIAS E PLUVIAL</t>
  </si>
  <si>
    <t>1.13.1</t>
  </si>
  <si>
    <t>91785</t>
  </si>
  <si>
    <t>(COMPOSIÇÃO REPRESENTATIVA) DO SERVIÇO DE INSTALAÇÃO DE TUBOS DE PVC, SOLDÁVEL, ÁGUA FRIA, DN 25 MM (INSTALADO EM RAMAL, SUB-RAMAL, RAMAL DE DISTRIBUIÇÃO OU PRUMADA), INCLUSIVE CONEXÕES, CORTES E FIXAÇÕES, PARA PRÉDIOS. AF_10/2015</t>
  </si>
  <si>
    <t>1.13.2</t>
  </si>
  <si>
    <t>91784</t>
  </si>
  <si>
    <t>(COMPOSIÇÃO REPRESENTATIVA) DO SERVIÇO DE INSTALAÇÃO DE TUBOS DE PVC, SOLDÁVEL, ÁGUA FRIA, DN 20 MM (INSTALADO EM RAMAL, SUB-RAMAL OU RAMAL DE DISTRIBUIÇÃO), INCLUSIVE CONEXÕES, CORTES E FIXAÇÕES, PARA PRÉDIOS. AF_10/2015</t>
  </si>
  <si>
    <t>1.13.3</t>
  </si>
  <si>
    <t>91786</t>
  </si>
  <si>
    <t>(COMPOSIÇÃO REPRESENTATIVA) DO SERVIÇO DE INSTALAÇÃO TUBOS DE PVC, SOLDÁVEL, ÁGUA FRIA, DN 32 MM (INSTALADO EM RAMAL, SUB-RAMAL, RAMAL DE DISTRIBUIÇÃO OU PRUMADA), INCLUSIVE CONEXÕES, CORTES E FIXAÇÕES, PARA PRÉDIOS. AF_10/2015</t>
  </si>
  <si>
    <t>1.13.4</t>
  </si>
  <si>
    <t>91787</t>
  </si>
  <si>
    <t>(COMPOSIÇÃO REPRESENTATIVA) DO SERVIÇO DE INSTALAÇÃO DE TUBOS DE PVC, SOLDÁVEL, ÁGUA FRIA, DN 40 MM (INSTALADO EM PRUMADA), INCLUSIVE CONEXÕES, CORTES E FIXAÇÕES, PARA PRÉDIOS. AF_10/2015</t>
  </si>
  <si>
    <t>1.13.5</t>
  </si>
  <si>
    <t>89987</t>
  </si>
  <si>
    <t>REGISTRO DE GAVETA BRUTO, LATÃO, ROSCÁVEL, 3/4", COM ACABAMENTO E CANOPLA CROMADOS - FORNECIMENTO E INSTALAÇÃO. AF_08/2021</t>
  </si>
  <si>
    <t>1.13.6</t>
  </si>
  <si>
    <t>94490</t>
  </si>
  <si>
    <t>REGISTRO DE ESFERA, PVC, SOLDÁVEL, COM VOLANTE, DN  32 MM - FORNECIMENTO E INSTALAÇÃO. AF_08/2021</t>
  </si>
  <si>
    <t>1.13.7</t>
  </si>
  <si>
    <t>89985</t>
  </si>
  <si>
    <t>REGISTRO DE PRESSÃO BRUTO, LATÃO, ROSCÁVEL, 3/4", COM ACABAMENTO E CANOPLA CROMADOS - FORNECIMENTO E INSTALAÇÃO. AF_08/2021</t>
  </si>
  <si>
    <t>1.13.8</t>
  </si>
  <si>
    <t>102613</t>
  </si>
  <si>
    <t>CAIXA D´ÁGUA EM POLIÉSTER REFORÇADO COM FIBRA DE VIDRO, 1000 LITROS - FORNECIMENTO E INSTALAÇÃO. AF_06/2021</t>
  </si>
  <si>
    <t>1.13.9</t>
  </si>
  <si>
    <t>102609</t>
  </si>
  <si>
    <t>CAIXA D´ÁGUA EM POLIETILENO, 2000 LITROS - FORNECIMENTO E INSTALAÇÃO. AF_06/2021</t>
  </si>
  <si>
    <t>1.13.10</t>
  </si>
  <si>
    <t>94796</t>
  </si>
  <si>
    <t>TORNEIRA DE BOIA PARA CAIXA D'ÁGUA, ROSCÁVEL, 3/4" - FORNECIMENTO E INSTALAÇÃO. AF_08/2021</t>
  </si>
  <si>
    <t>1.13.11</t>
  </si>
  <si>
    <t>94491</t>
  </si>
  <si>
    <t>REGISTRO DE ESFERA, PVC, SOLDÁVEL, COM VOLANTE, DN  40 MM - FORNECIMENTO E INSTALAÇÃO. AF_08/2021</t>
  </si>
  <si>
    <t>1.13.12</t>
  </si>
  <si>
    <t>94492</t>
  </si>
  <si>
    <t>REGISTRO DE ESFERA, PVC, SOLDÁVEL, COM VOLANTE, DN  50 MM - FORNECIMENTO E INSTALAÇÃO. AF_08/2021</t>
  </si>
  <si>
    <t>1.13.13</t>
  </si>
  <si>
    <t>95675</t>
  </si>
  <si>
    <t>HIDRÔMETRO DN 25 (¾ ), 5,0 M³/H FORNECIMENTO E INSTALAÇÃO. AF_11/2016</t>
  </si>
  <si>
    <t>1.13.14</t>
  </si>
  <si>
    <t>97902</t>
  </si>
  <si>
    <t>CAIXA ENTERRADA HIDRÁULICA RETANGULAR EM ALVENARIA COM TIJOLOS CERÂMICOS MACIÇOS, DIMENSÕES INTERNAS: 0,6X0,6X0,6 M PARA REDE DE ESGOTO. AF_12/2020</t>
  </si>
  <si>
    <t>1.13.15</t>
  </si>
  <si>
    <t>99258</t>
  </si>
  <si>
    <t>CAIXA ENTERRADA HIDRÁULICA RETANGULAR, EM ALVENARIA COM BLOCOS DE CONCRETO, DIMENSÕES INTERNAS: 0,4X0,4X0,4 M PARA REDE DE DRENAGEM. AF_12/2020</t>
  </si>
  <si>
    <t>1.13.16</t>
  </si>
  <si>
    <t>89482</t>
  </si>
  <si>
    <t>CAIXA SIFONADA, PVC, DN 100 X 100 X 50 MM, FORNECIDA E INSTALADA EM RAMAIS DE ENCAMINHAMENTO DE ÁGUA PLUVIAL. AF_06/2022</t>
  </si>
  <si>
    <t>1.13.17</t>
  </si>
  <si>
    <t>91792</t>
  </si>
  <si>
    <t>(COMPOSIÇÃO REPRESENTATIVA) DO SERVIÇO DE INSTALAÇÃO DE TUBO DE PVC, SÉRIE NORMAL, ESGOTO PREDIAL, DN 40 MM (INSTALADO EM RAMAL DE DESCARGA OU RAMAL DE ESGOTO SANITÁRIO), INCLUSIVE CONEXÕES, CORTES E FIXAÇÕES, PARA PRÉDIOS. AF_10/2015</t>
  </si>
  <si>
    <t>1.13.18</t>
  </si>
  <si>
    <t>91793</t>
  </si>
  <si>
    <t>(COMPOSIÇÃO REPRESENTATIVA) DO SERVIÇO DE INSTALAÇÃO DE TUBO DE PVC, SÉRIE NORMAL, ESGOTO PREDIAL, DN 50 MM (INSTALADO EM RAMAL DE DESCARGA OU RAMAL DE ESGOTO SANITÁRIO), INCLUSIVE CONEXÕES, CORTES E FIXAÇÕES PARA, PRÉDIOS. AF_10/2015</t>
  </si>
  <si>
    <t>1.13.19</t>
  </si>
  <si>
    <t>98107</t>
  </si>
  <si>
    <t>CAIXA DE GORDURA SIMPLES (CAPACIDADE: 36 L), RETANGULAR, EM ALVENARIA COM BLOCOS DE CONCRETO, DIMENSÕES INTERNAS = 0,2X0,4 M, ALTURA INTERNA = 0,8 M. AF_12/2020</t>
  </si>
  <si>
    <t>1.13.20</t>
  </si>
  <si>
    <t>91795</t>
  </si>
  <si>
    <t>(COMPOSIÇÃO REPRESENTATIVA) DO SERVIÇO DE INST. TUBO PVC, SÉRIE N, ESGOTO PREDIAL, 100 MM (INST. RAMAL DESCARGA, RAMAL DE ESG. SANIT., PRUMADA ESG. SANIT., VENTILAÇÃO OU SUB-COLETOR AÉREO), INCL. CONEXÕES E CORTES, FIXAÇÕES, P/ PRÉDIOS. AF_10/2015</t>
  </si>
  <si>
    <t>1.13.21</t>
  </si>
  <si>
    <t>99251</t>
  </si>
  <si>
    <t>CAIXA ENTERRADA HIDRÁULICA RETANGULAR EM ALVENARIA COM TIJOLOS CERÂMICOS MACIÇOS, DIMENSÕES INTERNAS: 0,4X0,4X0,4 M PARA REDE DE DRENAGEM. AF_12/2020</t>
  </si>
  <si>
    <t>1.13.22</t>
  </si>
  <si>
    <t>91790</t>
  </si>
  <si>
    <t>(COMPOSIÇÃO REPRESENTATIVA) DO SERVIÇO DE INSTALAÇÃO DE TUBOS DE PVC, SÉRIE R, ÁGUA PLUVIAL, DN 100 MM (INSTALADO EM RAMAL DE ENCAMINHAMENTO, OU CONDUTORES VERTICAIS), INCLUSIVE CONEXÕES, CORTES E FIXAÇÕES, PARA PRÉDIOS. AF_10/2015</t>
  </si>
  <si>
    <t>1.14</t>
  </si>
  <si>
    <t>LOUÇAS E METAIS</t>
  </si>
  <si>
    <t>1.14.1</t>
  </si>
  <si>
    <t>composição 10</t>
  </si>
  <si>
    <t>BANCADA DE GRANITO VERDE UBATUBA - FORNECIMENTO E INSTALAÇÃO. [ADAPTADO ORSE 11150]</t>
  </si>
  <si>
    <t>1.14.2</t>
  </si>
  <si>
    <t>86906</t>
  </si>
  <si>
    <t>TORNEIRA CROMADA DE MESA, 1/2? OU 3/4?, PARA LAVATÓRIO, PADRÃO POPULAR - FORNECIMENTO E INSTALAÇÃO. AF_01/2020</t>
  </si>
  <si>
    <t>1.14.3</t>
  </si>
  <si>
    <t>86911</t>
  </si>
  <si>
    <t>TORNEIRA CROMADA LONGA, DE PAREDE, 1/2? OU 3/4?, PARA PIA DE COZINHA, PADRÃO POPULAR - FORNECIMENTO E INSTALAÇÃO. AF_01/2020</t>
  </si>
  <si>
    <t>1.14.4</t>
  </si>
  <si>
    <t>00010428</t>
  </si>
  <si>
    <t>LAVATORIO / CUBA DE SOBREPOR, RETANGULAR, DE LOUCA COLORIDA, COM LADRAO, DIMENSOES *52 X 45* CM (L X C)</t>
  </si>
  <si>
    <t>1.14.5</t>
  </si>
  <si>
    <t>86932</t>
  </si>
  <si>
    <t>VASO SANITÁRIO SIFONADO COM CAIXA ACOPLADA LOUÇA BRANCA - PADRÃO MÉDIO, INCLUSO ENGATE FLEXÍVEL EM METAL CROMADO, 1/2  X 40CM - FORNECIMENTO E INSTALAÇÃO. AF_01/2020</t>
  </si>
  <si>
    <t>1.14.6</t>
  </si>
  <si>
    <t>86935</t>
  </si>
  <si>
    <t>CUBA DE EMBUTIR DE AÇO INOXIDÁVEL MÉDIA, INCLUSO VÁLVULA TIPO AMERICANA EM METAL CROMADO E SIFÃO FLEXÍVEL EM PVC - FORNECIMENTO E INSTALAÇÃO. AF_01/2020</t>
  </si>
  <si>
    <t>1.14.7</t>
  </si>
  <si>
    <t>100868</t>
  </si>
  <si>
    <t>BARRA DE APOIO RETA, EM ACO INOX POLIDO, COMPRIMENTO 80 CM,  FIXADA NA PAREDE - FORNECIMENTO E INSTALAÇÃO. AF_01/2020</t>
  </si>
  <si>
    <t>1.14.8</t>
  </si>
  <si>
    <t>86942</t>
  </si>
  <si>
    <t>LAVATÓRIO LOUÇA BRANCA SUSPENSO, 29,5 X 39CM OU EQUIVALENTE, PADRÃO POPULAR, INCLUSO SIFÃO TIPO GARRAFA EM PVC, VÁLVULA E ENGATE FLEXÍVEL 30CM EM PLÁSTICO E TORNEIRA CROMADA DE MESA, PADRÃO POPULAR - FORNECIMENTO E INSTALAÇÃO. AF_01/2020</t>
  </si>
  <si>
    <t>1.14.9</t>
  </si>
  <si>
    <t>86923</t>
  </si>
  <si>
    <t>TANQUE DE LOUÇA BRANCA SUSPENSO, 18L OU EQUIVALENTE, INCLUSO SIFÃO TIPO GARRAFA EM PVC, VÁLVULA PLÁSTICA E TORNEIRA DE METAL CROMADO PADRÃO POPULAR - FORNECIMENTO E INSTALAÇÃO. AF_01/2020</t>
  </si>
  <si>
    <t>1.14.10</t>
  </si>
  <si>
    <t>95472</t>
  </si>
  <si>
    <t>VASO SANITARIO SIFONADO CONVENCIONAL PARA PCD SEM FURO FRONTAL COM LOUÇA BRANCA SEM ASSENTO, INCLUSO CONJUNTO DE LIGAÇÃO PARA BACIA SANITÁRIA AJUSTÁVEL - FORNECIMENTO E INSTALAÇÃO. AF_01/2020</t>
  </si>
  <si>
    <t>1.14.11</t>
  </si>
  <si>
    <t>102253</t>
  </si>
  <si>
    <t>DIVISORIA SANITÁRIA, TIPO CABINE, EM GRANITO CINZA POLIDO, ESP = 3CM, ASSENTADO COM ARGAMASSA COLANTE AC III-E, EXCLUSIVE FERRAGENS. AF_01/2021</t>
  </si>
  <si>
    <t>1.14.12</t>
  </si>
  <si>
    <t>100860</t>
  </si>
  <si>
    <t>CHUVEIRO ELÉTRICO COMUM CORPO PLÁSTICO, TIPO DUCHA ? FORNECIMENTO E INSTALAÇÃO. AF_01/2020</t>
  </si>
  <si>
    <t>1.15</t>
  </si>
  <si>
    <t>MURO EXTERNO</t>
  </si>
  <si>
    <t>1.15.1</t>
  </si>
  <si>
    <t>1.15.2</t>
  </si>
  <si>
    <t>1.15.3</t>
  </si>
  <si>
    <t>1.15.4</t>
  </si>
  <si>
    <t>93205</t>
  </si>
  <si>
    <t>CINTA DE AMARRAÇÃO DE ALVENARIA MOLDADA IN LOCO COM UTILIZAÇÃO DE BLOCOS CANALETA. AF_03/2016</t>
  </si>
  <si>
    <t>1.15.5</t>
  </si>
  <si>
    <t>1.15.6</t>
  </si>
  <si>
    <t>1.15.7</t>
  </si>
  <si>
    <t>1.15.8</t>
  </si>
  <si>
    <t>1.15.9</t>
  </si>
  <si>
    <t>103800</t>
  </si>
  <si>
    <t>PEDRA ARGAMASSADA COM CIMENTO E AREIA 1:3, 40% DE ARGAMASSA EM VOLUME - AREIA E PEDRA DE MÃO COMERCIAIS - FORNECIMENTO E ASSENTAMENTO. AF_08/2022</t>
  </si>
  <si>
    <t>1.15.10</t>
  </si>
  <si>
    <t>1.15.11</t>
  </si>
  <si>
    <t>1.15.12</t>
  </si>
  <si>
    <t>1.15.13</t>
  </si>
  <si>
    <t>1.15.14</t>
  </si>
  <si>
    <t>1.15.15</t>
  </si>
  <si>
    <t>1.15.16</t>
  </si>
  <si>
    <t>1.15.17</t>
  </si>
  <si>
    <t>1.15.18</t>
  </si>
  <si>
    <t>1.15.19</t>
  </si>
  <si>
    <t>95305</t>
  </si>
  <si>
    <t>TEXTURA ACRÍLICA, APLICAÇÃO MANUAL EM PAREDE, UMA DEMÃO. AF_09/2016</t>
  </si>
  <si>
    <t>1.16</t>
  </si>
  <si>
    <t>EQUIPAMENTOS</t>
  </si>
  <si>
    <t>1.16.1</t>
  </si>
  <si>
    <t>composição 17</t>
  </si>
  <si>
    <t>BRINQUEDO - GANGORRA EM ESTRUTURA DE CONCRETO, TUBO DE FERRO GALVANIZADO DE 3'' E 4'' E ASSENTO DE MADEIRA, COM 03 PRANCHAS [ADAPTADO DE ORSE 9159]</t>
  </si>
  <si>
    <t>1.16.2</t>
  </si>
  <si>
    <t>composição 18</t>
  </si>
  <si>
    <t>BRINQUEDO - BALANÇO EM ESTRUTURA DE CONCRETO, 02 LUGARES, COM ASSENTO DE MADEIRA, CORRENTE REVESTIDA C/MANGUEIRA PLÁSTICA TRANSP., FIXADO EM TUBO FERRO GALV.4'' [ADAPTADO DE ORSE 9166]</t>
  </si>
  <si>
    <t>VALOR BDI TOTAL:</t>
  </si>
  <si>
    <t>VALOR ORÇAMENTO:</t>
  </si>
  <si>
    <t>VALOR TOTAL:</t>
  </si>
  <si>
    <t>OBJETO:</t>
  </si>
  <si>
    <t>CONTRATO:</t>
  </si>
  <si>
    <t>LICITAÇÃO Nº:</t>
  </si>
  <si>
    <t>VALOR CONTRATADO:</t>
  </si>
  <si>
    <t>EMPRESA CONTRATADA:</t>
  </si>
  <si>
    <t>CNPJ:</t>
  </si>
  <si>
    <t>CONTRATANTE:</t>
  </si>
  <si>
    <t>ALX CONSTRUÇÕES E LOCAÇÕES</t>
  </si>
  <si>
    <t>17.490.708/0001-70</t>
  </si>
  <si>
    <t xml:space="preserve">DATA </t>
  </si>
  <si>
    <t>PERÍODO DA MEDIÇÃO</t>
  </si>
  <si>
    <t>VALOR DA MEDIÇÃO:</t>
  </si>
  <si>
    <t>VALOR ACUMULADO ANTERIOR:</t>
  </si>
  <si>
    <t>MEDIÇÃO:</t>
  </si>
  <si>
    <r>
      <rPr>
        <b/>
        <sz val="8"/>
        <rFont val="Arial"/>
        <family val="2"/>
      </rPr>
      <t xml:space="preserve">
</t>
    </r>
  </si>
  <si>
    <r>
      <rPr>
        <b/>
        <sz val="7"/>
        <rFont val="Segoe UI"/>
        <family val="2"/>
      </rPr>
      <t>ITEM</t>
    </r>
  </si>
  <si>
    <r>
      <rPr>
        <b/>
        <sz val="7"/>
        <rFont val="Segoe UI"/>
        <family val="2"/>
      </rPr>
      <t>CÓDIGO</t>
    </r>
  </si>
  <si>
    <r>
      <rPr>
        <b/>
        <sz val="7"/>
        <rFont val="Segoe UI"/>
        <family val="2"/>
      </rPr>
      <t>DESCRIÇÃO</t>
    </r>
  </si>
  <si>
    <r>
      <rPr>
        <b/>
        <sz val="7"/>
        <rFont val="Segoe UI"/>
        <family val="2"/>
      </rPr>
      <t>UND</t>
    </r>
  </si>
  <si>
    <r>
      <rPr>
        <b/>
        <sz val="7"/>
        <rFont val="Segoe UI"/>
        <family val="2"/>
      </rPr>
      <t>QUANTIDADE</t>
    </r>
  </si>
  <si>
    <t>FINANCEIRO</t>
  </si>
  <si>
    <t>PREVISTA</t>
  </si>
  <si>
    <t>MEDIDA NO PERÍODO 1</t>
  </si>
  <si>
    <t>MEDIDA NO PERÍODO 2</t>
  </si>
  <si>
    <t>MEDIDA NO PERÍODO 3</t>
  </si>
  <si>
    <t>MEDIDA NO PERÍODO 4</t>
  </si>
  <si>
    <t>MEDIDA NO PERÍODO 5</t>
  </si>
  <si>
    <t>MEDIDA NO PERÍODO 6</t>
  </si>
  <si>
    <t>MEDIDA NO PERÍODO 7</t>
  </si>
  <si>
    <t>ACUMULADA (INCLUSIVE ESTA)</t>
  </si>
  <si>
    <t>SALDO</t>
  </si>
  <si>
    <t>CONSTRUÇÃO DA CASA DE ACOLHIMENTO PARA CRIANÇAS E ADOCESLENTES, "CASA LAR", NO MUNICÍPIO DE SOUSA/PB.</t>
  </si>
  <si>
    <t>CUSTO UNITÁRIO (C/ BDI)</t>
  </si>
  <si>
    <t>682/2023</t>
  </si>
  <si>
    <t>01</t>
  </si>
  <si>
    <t>CONTRATADA</t>
  </si>
  <si>
    <t>MEDIÇÃO 01</t>
  </si>
  <si>
    <t>ACUMULADA INCLUSIVE ESTA</t>
  </si>
  <si>
    <t>MEDIÇÃO 02</t>
  </si>
  <si>
    <t>MEDIÇÃO 03</t>
  </si>
  <si>
    <t>MEDIÇÃO 04</t>
  </si>
  <si>
    <t>MEDIÇÃO 05</t>
  </si>
  <si>
    <t>MEDIÇÃO 06</t>
  </si>
  <si>
    <t>MEDIÇÃO 07</t>
  </si>
  <si>
    <t>03/2023</t>
  </si>
  <si>
    <t>VEZ</t>
  </si>
  <si>
    <t>DADOS</t>
  </si>
  <si>
    <t>L</t>
  </si>
  <si>
    <t>C</t>
  </si>
  <si>
    <t>H</t>
  </si>
  <si>
    <t>ACUMULADO ANTERIOR</t>
  </si>
  <si>
    <t>PARCIAL</t>
  </si>
  <si>
    <t>TOTAL</t>
  </si>
  <si>
    <t>CONTRATADO</t>
  </si>
  <si>
    <t>FOTOGRAFIAS</t>
  </si>
  <si>
    <t>BOLETIM DE MEDIÇÃO 01 - MEMORIAL DE CÁLCULO</t>
  </si>
  <si>
    <t>BOLETIM 01 - MEMORIAL FOTOGRÁFICO</t>
  </si>
  <si>
    <t>PERÍMETRO DA INTERVENÇÃO</t>
  </si>
  <si>
    <t>S46=S52=S53=S54=S55=S56=S57=S58=S59=S60=S61=S62=S63=S64=S65=S66=S68=S69=S70=S71=S72=S74=S76=S77=S78=S79=S80=S84=S85=S86=S87=S88</t>
  </si>
  <si>
    <t>S1=S2=S3=S4=S6=S8=S9=S10=S11=S12=S13=S14=S15=S16=S17=S21=S22=S23=S24=S25=S26=S27=S28=S29=S30=S31=S32=S36=S37=S38=S39=S40=S41=S42=S43=S44=S47=S48=S49=S50=S51</t>
  </si>
  <si>
    <t>S33</t>
  </si>
  <si>
    <t>S7=S83</t>
  </si>
  <si>
    <t>S5=S18=S19=S20=S35=S45=S75</t>
  </si>
  <si>
    <t>S34=S67=S73</t>
  </si>
  <si>
    <t>S81=S82</t>
  </si>
  <si>
    <t xml:space="preserve">VOLUME DE ESCAVAÇÃO - VOLUME DE CONCRETO DA FUNDAÇÃO </t>
  </si>
  <si>
    <t>SAPATAS DOS PILARES</t>
  </si>
  <si>
    <t>FUNDAÇÃO EM PEDRA</t>
  </si>
  <si>
    <t>SAPATAS (MURO)</t>
  </si>
  <si>
    <t xml:space="preserve">TOCO DE PILARES </t>
  </si>
  <si>
    <t>ITEM REFERENTE AO CONCRETO</t>
  </si>
  <si>
    <t xml:space="preserve">TOCO DE PILAR </t>
  </si>
  <si>
    <t xml:space="preserve">Corte do Estribo (M) </t>
  </si>
  <si>
    <t>Espaçamento (M)</t>
  </si>
  <si>
    <t>Altura Toco (M)</t>
  </si>
  <si>
    <t>N° de vergalhões</t>
  </si>
  <si>
    <t>Altura dobra e toco (M)</t>
  </si>
  <si>
    <t>SAPATAS</t>
  </si>
  <si>
    <t>REFERENTE A 80% DA EXECUÇÃO DAS SAPATAS.</t>
  </si>
  <si>
    <t xml:space="preserve">VOLUME DE CONCRETO (SAPATAS) </t>
  </si>
  <si>
    <t>VOLUME DE ESCAVAÇÃO (SAPATAS)</t>
  </si>
  <si>
    <t>PREFEITURA MUNICIPAL DE SOUSA</t>
  </si>
  <si>
    <t>MEDIDA NO PERÍODO 01</t>
  </si>
  <si>
    <t>RESULTADO</t>
  </si>
  <si>
    <t>21/11/2023 a 21/12/2023</t>
  </si>
  <si>
    <t>02</t>
  </si>
  <si>
    <t>BOLETIM 02 - MEMORIAL FOTOGRÁFICO</t>
  </si>
  <si>
    <t>BOLETIM DE MEDIÇÃO 02 - MEMORIAL DE CÁLCULO</t>
  </si>
  <si>
    <t>ÁREA DA INTERVENÇÃO</t>
  </si>
  <si>
    <t>VIGAS BALDRAME</t>
  </si>
  <si>
    <t>V22</t>
  </si>
  <si>
    <t>V51</t>
  </si>
  <si>
    <t>V46</t>
  </si>
  <si>
    <t>V55</t>
  </si>
  <si>
    <t>V20</t>
  </si>
  <si>
    <t>V21</t>
  </si>
  <si>
    <t>V19</t>
  </si>
  <si>
    <t>VOLUME DE ESCAVAÇÃO (SAPATAS + BALDRAME)</t>
  </si>
  <si>
    <t>VOLUME DE CONTRETO (SAPATAS + BALDRAME)</t>
  </si>
  <si>
    <t>BALDRAMES</t>
  </si>
  <si>
    <t>PESO ESPECÍFICO (KG/M)</t>
  </si>
  <si>
    <t xml:space="preserve">N° DE BARRAS E COMPRIMENTO </t>
  </si>
  <si>
    <t xml:space="preserve">CONFORME VOLUME DE CONCRETO </t>
  </si>
  <si>
    <t>P87, P86 (NIVEL ABAIXO DA VIGA BALDRAME)</t>
  </si>
  <si>
    <t>P56, P55, P54 (NIVEL ABAIXO DA VIGA BALDRAME)</t>
  </si>
  <si>
    <t>P50, P49, P48, P42, P41 (NIVEL ABAIXO DA VIGA BALDRAME)</t>
  </si>
  <si>
    <t>P38, P37, P36, P29, P28, P27 (NIVEL ABAIXO DA VIGA BALDRAME)</t>
  </si>
  <si>
    <t>P21, P20, P19 (NIVEL ABAIXO DA VIGA BALDRAME)</t>
  </si>
  <si>
    <t>P53, P52, P47, P46 (NIVEL ABAIXO DA VIGA BALDRAME)</t>
  </si>
  <si>
    <t>P39, P40 (NIVEL ABAIXO DA VIGA BALDRAME)</t>
  </si>
  <si>
    <t>P35, P34, P31, P30, P26, P25 (NIVEL ABAIXO DA VIGA BALDRAME)</t>
  </si>
  <si>
    <t>P18, P17, P16 (NIVEL ABAIXO DA VIGA BALDRAME)</t>
  </si>
  <si>
    <t>P79, P78, P72, P71 (NIVEL ABAIXO DA VIGA BALDRAME)</t>
  </si>
  <si>
    <t>P65, P66, P58, P57 (NIVEL ABAIXO DA VIGA BALDRAME)</t>
  </si>
  <si>
    <t>P51, P45, P44, P43 (NIVEL ABAIXO DA VIGA BALDRAME)</t>
  </si>
  <si>
    <t>P11, P10, P09, P08, P03, P02, P01 (NIVEL ABAIXO DA VIGA BALDRAME)</t>
  </si>
  <si>
    <t xml:space="preserve">TOCOS DE PILARES </t>
  </si>
  <si>
    <t xml:space="preserve">COMPRIMENTO DO AÇO = QUANTIDADE DE BARRA POR SAPATA * (DOBRA + ALTURA DA SAPATA + ALTURA CONSIDERANDO SÓ O TOCO DE PILAR ATÉ O FUNDO DA BALDRAME + TRANSPASSE </t>
  </si>
  <si>
    <t>P77, P76, P75, P70, P69 (NIVEL ABAIXO DA VIGA BALDRAME)</t>
  </si>
  <si>
    <t>P64, P63, P61 (NIVEL ABAIXO DA VIGA BALDRAME)</t>
  </si>
  <si>
    <t>P14, P13, P06 (NIVEL ABAIXO DA VIGA BALDRAME)</t>
  </si>
  <si>
    <t>P80, P74, P73 (NIVEL ABAIXO DA VIGA BALDRAME)</t>
  </si>
  <si>
    <t>P85, P84 (NIVEL ABAIXO DA VIGA BALDRAME)</t>
  </si>
  <si>
    <t>P67, P60, P59 (NIVEL ABAIXO DA VIGA BALDRAME)</t>
  </si>
  <si>
    <t>P12, P05, P04 (NIVEL ABAIXO DA VIGA BALDRAME)</t>
  </si>
  <si>
    <t>P88, P32 (NIVEL ABAIXO DA VIGA BALDRAME)</t>
  </si>
  <si>
    <t>P33 (NIVEL ABAIXO DA VIGA BALDRAME)</t>
  </si>
  <si>
    <t>P15, P23, P22 (NIVEL ABAIXO DA VIGA BALDRAME)</t>
  </si>
  <si>
    <t>P83 (NIVEL ABAIXO DA VIGA BALDRAME)</t>
  </si>
  <si>
    <t>P82 (NIVEL ABAIXO DA VIGA BALDRAME)</t>
  </si>
  <si>
    <t>P81 (NIVEL ABAIXO DA VIGA BALDRAME)</t>
  </si>
  <si>
    <t>P68 (NIVEL ABAIXO DA VIGA BALDRAME)</t>
  </si>
  <si>
    <t>P62 (NIVEL ABAIXO DA VIGA BALDRAME)</t>
  </si>
  <si>
    <t>P07 (NIVEL ABAIXO DA VIGA BALDRAME)</t>
  </si>
  <si>
    <t>P24 (NIVEL ABAIXO DA VIGA BALDRAME)</t>
  </si>
  <si>
    <t>SAPATAS (TOCOS DE PILARES)</t>
  </si>
  <si>
    <t>N° DE BARRAS E COMPRIMENTO DO CORTE P/ ESTRIBO</t>
  </si>
  <si>
    <t xml:space="preserve">SAPATAS </t>
  </si>
  <si>
    <t>LARGURA (M)</t>
  </si>
  <si>
    <t>COMPRIMENTO (M)</t>
  </si>
  <si>
    <t>ALTURA (M)</t>
  </si>
  <si>
    <t>ALVENARIA DE EMBASAMENTO (CÁLCULO CONSIDERANDO O VOLUME PRISMÁTICO DE CADA SEÇÃO)</t>
  </si>
  <si>
    <t>COMPRIMENTO DA SEÇÃO (M)</t>
  </si>
  <si>
    <t>(ALTURAS DAS EXTREMIDADES DAS SEÇÕES) (M)</t>
  </si>
  <si>
    <t>0.62; 0.35</t>
  </si>
  <si>
    <t>V22 (P86 ATÉ P87)</t>
  </si>
  <si>
    <t>V51 (P87 ATÉ P85)</t>
  </si>
  <si>
    <t>V46 (P86 ATÉ P83)</t>
  </si>
  <si>
    <t>V55 (ENGASTADA NA VV46 E V51)</t>
  </si>
  <si>
    <t>0.62; 0.62</t>
  </si>
  <si>
    <t>V20 (P83 ATÉ P84)</t>
  </si>
  <si>
    <t>V21 (P84 ATÉ P85)</t>
  </si>
  <si>
    <t>V19 (P81 ATÉ P82)</t>
  </si>
  <si>
    <t>0.35; 0.35</t>
  </si>
  <si>
    <t>0.41; 0.58</t>
  </si>
  <si>
    <t>V23 (P78 ATÉ P43)</t>
  </si>
  <si>
    <t>V12 (P43 ATÉ P44)</t>
  </si>
  <si>
    <t>0.56; 0.52</t>
  </si>
  <si>
    <t>0.52; 0.48</t>
  </si>
  <si>
    <t>0.48; 0.55</t>
  </si>
  <si>
    <t>V24 (P44 ATÉ P22)</t>
  </si>
  <si>
    <t>0.55; 0.55</t>
  </si>
  <si>
    <t>V5 (P22 ATÉ P23)</t>
  </si>
  <si>
    <t>V27 (P23 ATÉ P2)</t>
  </si>
  <si>
    <t>0.55; 0.62</t>
  </si>
  <si>
    <t>V02</t>
  </si>
  <si>
    <t>V1 (P1 ATÉ P2)</t>
  </si>
  <si>
    <t>V25 (P1 ATÉ P8)</t>
  </si>
  <si>
    <t>DIMENSÕES DOS PILARES (M) (LARGURA E COMPRIMENTO)</t>
  </si>
  <si>
    <t>(0.15 + 0.25)</t>
  </si>
  <si>
    <t>(0.2 + 0.25), (0.2 + 0.3)</t>
  </si>
  <si>
    <t>(0.2 + 0.25), (0.2 + 0.2), (0.15 + 0.2)</t>
  </si>
  <si>
    <t>((0.15 + 0.3)*3)</t>
  </si>
  <si>
    <t>(0.2 + 0.25) ; ((0.15+0.25)*2)</t>
  </si>
  <si>
    <t>(0.2 + 0.25) * 3) ; ((0.15 + 0.25) *2)</t>
  </si>
  <si>
    <t>((0.2+0.25)*3) ; ((0.15+0.25)*2) ; ((0.2+0.3))</t>
  </si>
  <si>
    <t>(0.2 + 0.25)*2) + (0.15 + 0.25)*1)</t>
  </si>
  <si>
    <t>(0.15+0.25)*3)</t>
  </si>
  <si>
    <t>((0.2+0.25)*1) + ((0.15+0.25)*1) +  ((0.2+0.35)*1)</t>
  </si>
  <si>
    <t>((0.2+0.25)) + ((0.15+0.3)*2)</t>
  </si>
  <si>
    <t>((0.2+0.3)) + ((0.15+0.3)) +  ((0.15+0.25)) + ((0.15+0.35))</t>
  </si>
  <si>
    <t>((0.15+0.25)) + ((0.2+0.3))</t>
  </si>
  <si>
    <t>((0.15+0.25)*5) + ((0.25+0.25))</t>
  </si>
  <si>
    <t>((0.2+0.25)) + ((0.15+0.25)) +  ((0.25+0.25))</t>
  </si>
  <si>
    <t>((0.15+0.25)*2) + ((0.25+0.25))</t>
  </si>
  <si>
    <t>((0.15+0.25)*2) + ((0.2+0.25)*2)</t>
  </si>
  <si>
    <t>((0.15+0.25)*3) + ((0.2+0.25))</t>
  </si>
  <si>
    <t>((0.2+0.25)*3) + ((0.25+0.25))</t>
  </si>
  <si>
    <t>((0.2+0.2))</t>
  </si>
  <si>
    <t>((0.2+0.25)) + ((0.15+0.25))</t>
  </si>
  <si>
    <t>((0.2+0.25)) + ((0.15+0.25)*2)</t>
  </si>
  <si>
    <t>((0.2+0.3)) + ((0.15+0.25)*5) +  ((0.25+0.25)</t>
  </si>
  <si>
    <t>(0.15+0.5)</t>
  </si>
  <si>
    <t>(0.15+0.3)</t>
  </si>
  <si>
    <t>(0.15+0.25)</t>
  </si>
  <si>
    <t xml:space="preserve">DIMENSÕES DOS PILARES (M) (SOMADAS) </t>
  </si>
  <si>
    <t>ITEM 1.3.6</t>
  </si>
  <si>
    <t xml:space="preserve">VOLUME DE REATERRO (CONFORME MEMORIAL) </t>
  </si>
  <si>
    <t>REFERENTE A 20% DA EXECUÇÃO DAS SAPATAS. (COMPLETANDO OS 100%)</t>
  </si>
  <si>
    <t>22/12/2023 a 31/01/2024</t>
  </si>
  <si>
    <t>03</t>
  </si>
  <si>
    <t>31/01/2024 a 01/03/2024</t>
  </si>
  <si>
    <t>BOLETIM DE MEDIÇÃO 03 - MEMORIAL DE CÁLCULO</t>
  </si>
  <si>
    <t>BOLETIM 03 - MEMORIAL FOTOGRÁFICO</t>
  </si>
  <si>
    <t>V17 (P73 ATÉ P77)</t>
  </si>
  <si>
    <t>0.53; 0.20</t>
  </si>
  <si>
    <t>V52 (P77 ATÉ P50)</t>
  </si>
  <si>
    <t>0.20; 0.20</t>
  </si>
  <si>
    <t>V50 (P76 ATÉ P69)</t>
  </si>
  <si>
    <t>V16 (P68 ATÉ P70)</t>
  </si>
  <si>
    <t>0.29; 0.20</t>
  </si>
  <si>
    <t>V42 (P75 ATÉ V13)</t>
  </si>
  <si>
    <t>0.30; 0.33</t>
  </si>
  <si>
    <t>V53 (P07 ATÉ V04)</t>
  </si>
  <si>
    <t>0.48; 0.30</t>
  </si>
  <si>
    <t>V54 (P21 ATÉ P38)</t>
  </si>
  <si>
    <t>0.38; 0.24</t>
  </si>
  <si>
    <t>V44 (P06 ATÉ V04)</t>
  </si>
  <si>
    <t>0.43; 0.35</t>
  </si>
  <si>
    <t>V37 (P04 ATÉ P16)</t>
  </si>
  <si>
    <t>V01 (P02 ATÉ P07)</t>
  </si>
  <si>
    <t>V02 (P9 ATÉ P12)</t>
  </si>
  <si>
    <t>0.63; 0.49</t>
  </si>
  <si>
    <t>0.58; 0.64</t>
  </si>
  <si>
    <t>V30 (P10 ATÉ P03)</t>
  </si>
  <si>
    <t>V34 (V5 ATÉ V1)</t>
  </si>
  <si>
    <t>0.47; 0.47</t>
  </si>
  <si>
    <t>V29 (V5 ATÉ V2)</t>
  </si>
  <si>
    <t>0.49; 0.49</t>
  </si>
  <si>
    <t>0.55;0.55</t>
  </si>
  <si>
    <t>V5(P22 ATÉ V34)</t>
  </si>
  <si>
    <t>0.56;0.48</t>
  </si>
  <si>
    <t>V47(P63 ATÉ P55)</t>
  </si>
  <si>
    <t>0.30;0.30</t>
  </si>
  <si>
    <t>V39(P61 ATÉ P54)</t>
  </si>
  <si>
    <t>0.40;0.36</t>
  </si>
  <si>
    <t>V48(P49 ATÉ P36)</t>
  </si>
  <si>
    <t>0.30;0.34</t>
  </si>
  <si>
    <t>V49(P36 ATÉ P19)</t>
  </si>
  <si>
    <t>0.34;0.40</t>
  </si>
  <si>
    <t>V41 (V13 ATÉ V12)</t>
  </si>
  <si>
    <t>V45 (V13 ATÉ V12)</t>
  </si>
  <si>
    <t>0.30;0.35</t>
  </si>
  <si>
    <t>0.32;0.38</t>
  </si>
  <si>
    <t>V17</t>
  </si>
  <si>
    <t>V52</t>
  </si>
  <si>
    <t>V50</t>
  </si>
  <si>
    <t>V16</t>
  </si>
  <si>
    <t>V42</t>
  </si>
  <si>
    <t>V14</t>
  </si>
  <si>
    <t>V53</t>
  </si>
  <si>
    <t>V54</t>
  </si>
  <si>
    <t>V4</t>
  </si>
  <si>
    <t>V44</t>
  </si>
  <si>
    <t>V37</t>
  </si>
  <si>
    <t>V01</t>
  </si>
  <si>
    <t>V30</t>
  </si>
  <si>
    <t>V34</t>
  </si>
  <si>
    <t>V29</t>
  </si>
  <si>
    <t>V3</t>
  </si>
  <si>
    <t>V5</t>
  </si>
  <si>
    <t>V47</t>
  </si>
  <si>
    <t>V39</t>
  </si>
  <si>
    <t>V12</t>
  </si>
  <si>
    <t>V48</t>
  </si>
  <si>
    <t>V10</t>
  </si>
  <si>
    <t>V49</t>
  </si>
  <si>
    <t>V41</t>
  </si>
  <si>
    <t>V45</t>
  </si>
  <si>
    <t>BALDRAMES (ALVENARIA ABAIXO DAS VIGAS)</t>
  </si>
  <si>
    <t>Altura Pilar (M)</t>
  </si>
  <si>
    <t>PILARES COM ALTURA CONFORME PROJETO</t>
  </si>
  <si>
    <t>PILAR COM ALTURA VAR.</t>
  </si>
  <si>
    <t>Altura (M)</t>
  </si>
  <si>
    <t>PERÍMETRO MEDIDO IN LOCO</t>
  </si>
  <si>
    <t>V18 (P78 ATÉ P80)</t>
  </si>
  <si>
    <t>0.58;0.64</t>
  </si>
  <si>
    <t>V31 (P80 ATÉ P67)</t>
  </si>
  <si>
    <t>0.64;0.63</t>
  </si>
  <si>
    <t>V28 (P79 ATÉ P58)</t>
  </si>
  <si>
    <t>0.64;0.50</t>
  </si>
  <si>
    <t>V15 (P65 ATÉ P67)</t>
  </si>
  <si>
    <t>0.60;0.63</t>
  </si>
  <si>
    <t>V26 (V14 ATÉ V15)</t>
  </si>
  <si>
    <t>0.50;0.63</t>
  </si>
  <si>
    <t>V14 (P64 ATÉ P57)</t>
  </si>
  <si>
    <t>0.20; 0.60</t>
  </si>
  <si>
    <t>V32 ( P59 ATÉ P46)</t>
  </si>
  <si>
    <t>0.56;0.50</t>
  </si>
  <si>
    <t>V12(P44 ATÉ P50)</t>
  </si>
  <si>
    <t>0.49;0.23</t>
  </si>
  <si>
    <t>V35 (V14 ATÉ P53)</t>
  </si>
  <si>
    <t>V36 (P53 ATÉ V10)</t>
  </si>
  <si>
    <t>0.58;0.50</t>
  </si>
  <si>
    <t>0.50;0.46</t>
  </si>
  <si>
    <t>V40 (P48 ATÉ P41)</t>
  </si>
  <si>
    <t>0.42;0.42</t>
  </si>
  <si>
    <t>V11 (P39 ATÉ P42)</t>
  </si>
  <si>
    <t>0.42;0.33</t>
  </si>
  <si>
    <t>V10(P33 ATÉ P38)</t>
  </si>
  <si>
    <t>0.48;0.24</t>
  </si>
  <si>
    <t>V13 (P54 ATÉ P55)</t>
  </si>
  <si>
    <t>0.36;0.30</t>
  </si>
  <si>
    <t>V33 (P33 ATÉ P24)</t>
  </si>
  <si>
    <t>0.48;0.47</t>
  </si>
  <si>
    <t>V04 (P21 ATÉ P16)</t>
  </si>
  <si>
    <t>V03 (V27 ATÉ V29)</t>
  </si>
  <si>
    <t>V08 (P30 ATÉ P31)</t>
  </si>
  <si>
    <t>0.35;0.30</t>
  </si>
  <si>
    <t>V38 (P30 ATÉ P25)</t>
  </si>
  <si>
    <t>0.35;0.40</t>
  </si>
  <si>
    <t>V06 (P25 ATÉ P26)</t>
  </si>
  <si>
    <t>0.40;0.32</t>
  </si>
  <si>
    <t>V43 (P26 ATÉ P31)</t>
  </si>
  <si>
    <t>0.32;0.30</t>
  </si>
  <si>
    <t>V09 (V24 ATÉ V33)</t>
  </si>
  <si>
    <t>0.5;0.48</t>
  </si>
  <si>
    <t>V07 (P27 ATÉ P29)</t>
  </si>
  <si>
    <t>0.37;0.31</t>
  </si>
  <si>
    <t>0.62; 0.50</t>
  </si>
  <si>
    <t>(VALOR REFERENTE ÀS VIGAS BALDRAMES) - CONFORME MEMORIAL</t>
  </si>
  <si>
    <t>EMBASAMENTO DO MURO</t>
  </si>
  <si>
    <t>COMPRIMENTO DO TRECHO (M)</t>
  </si>
  <si>
    <t>ALTURA NO INÍCIO DO PERÍMETRO (M)</t>
  </si>
  <si>
    <t>ALTURA NO FINAL DO PERÍMETRO (M)</t>
  </si>
  <si>
    <t>CÁLCULO LEVANDO EM CONSIDERAÇÃO A ÁREA LATERAL (TRAPÉZIO) DE CADA TRECHO E MULTIPLICANDO PELA PROFUNDIDADE (LARGURA DO BLOCO) ACHANDO ASSIM A METRAGEM CÚBICA (PRISMA) REFERENTE A CADA TRECHO</t>
  </si>
  <si>
    <t xml:space="preserve">GUARITA </t>
  </si>
  <si>
    <t>ÁREA (M²)</t>
  </si>
  <si>
    <t>HALL</t>
  </si>
  <si>
    <t>DEPÓSITO</t>
  </si>
  <si>
    <t>COORDENAÇÃO</t>
  </si>
  <si>
    <t>QUARTO MASCULINO ADOLESCENTE</t>
  </si>
  <si>
    <t>WC (AO LADO DO DEPÓSITO E COORDENAÇÃO)</t>
  </si>
  <si>
    <t>WC (QUARTO FEMININO ADOLESCENTE)</t>
  </si>
  <si>
    <t>WC (QUARTO MASCULINO ADOLESCENTE)</t>
  </si>
  <si>
    <t>QUARTO FEMININO ADOLESCENTE</t>
  </si>
  <si>
    <t>BRINQUEDOTECA</t>
  </si>
  <si>
    <t>SALA DE ESTAR</t>
  </si>
  <si>
    <t>SALA DE REUNIÃO</t>
  </si>
  <si>
    <t>PSICÓLOGO</t>
  </si>
  <si>
    <t>WC SOCIAL</t>
  </si>
  <si>
    <t>CIRCULAÇÃO 01</t>
  </si>
  <si>
    <t>CIRCULAÇÃO 02</t>
  </si>
  <si>
    <t>REFEITÓRIO</t>
  </si>
  <si>
    <t>CIRCULAÇÃO 03</t>
  </si>
  <si>
    <t>QUARTO INFANTIL FEMININO</t>
  </si>
  <si>
    <t xml:space="preserve">QUARTO INFANTIL MASCULINO </t>
  </si>
  <si>
    <t>WC (AO LADO DOS QUARTOS INFANTIS)</t>
  </si>
  <si>
    <t>COZINHA</t>
  </si>
  <si>
    <t>DESPENSA</t>
  </si>
  <si>
    <t>QUARTO FUNC.</t>
  </si>
  <si>
    <t>ÁREA DE SERVIÇO</t>
  </si>
  <si>
    <t>DML</t>
  </si>
  <si>
    <t>WC PCD</t>
  </si>
  <si>
    <t>0.38; 0.60</t>
  </si>
  <si>
    <t>0.47; 0.60</t>
  </si>
  <si>
    <t>SALA DE ESTUDOS</t>
  </si>
  <si>
    <t>WC (QUATO FUNC.)</t>
  </si>
  <si>
    <t>CLARABOIA (ENTRE A BRINQUEDOTECA E OS QUARTOS INFANTIS)</t>
  </si>
  <si>
    <t>SOMATÓRIA E MÉDIA DAS ALTURAS ENCONTRADAS DO EMBASAMENTO + ALTURA DA VIGA BALDRAME (M) EM CADA AMBIENTE (PARTE INTERNA DA OBRA)</t>
  </si>
  <si>
    <t>ATERRO (PARTE INTERNA) CAIXÃO REFERENTE AOS AMBIENTES</t>
  </si>
  <si>
    <t>ENTRADA (ENTRE A SALA DE ESTAR E A ÁREA EXTERNA - ÁREA ONDE ESTÁ A LAJE)</t>
  </si>
  <si>
    <t>ÁREA EXTERNA (RETIRADO DO PROJETO EM DWG) (ÁREA INTERNA AO MURO - VALOR DE ÁREA INTERNA CONSIDERADA)</t>
  </si>
  <si>
    <t>CONCRETO REFERENTE À FUNDAÇÃO (SAPATAS) APRESENTADO NA PRANCHA 13/34. O ITEM DE CONCRETO FICOU DE FORMA SEPARADA TAMBÉM NO PROJETO ESTRUTURAL (MAS É REFERENTE À FUNDAÇÃO).</t>
  </si>
  <si>
    <t>PERÍMETRO 01 (ORIENTAÇÃO NORTESTE) - PRÓXIMO À QUARITA</t>
  </si>
  <si>
    <t>Trecho 02 (MENOR PERÍMETRO, ORIENTAÇÃO NORTE, DIAGONAL PRÓXIMO AO PARQUINHO)</t>
  </si>
  <si>
    <t>PERÍMETRO 03 (PARTE DO MURO PRÓXIMO AOS QUARTOS INFANTIS FEMINIMO E MASCULINO, ORIENTAÇÃO NOROESTE)</t>
  </si>
  <si>
    <t>PERÍMETRO 02 (MENOR PERÍMETRO,ORIENTAÇÃO NORTE, DIAGONAL PRÓXIMO AO PARQUINHO)</t>
  </si>
  <si>
    <t>Trecho 01 (ORIENTAÇÃO NORTESTE) - PRÓXIMO À QUARITA</t>
  </si>
  <si>
    <t>Trecho 03 (PARTE DO MURO PRÓXIMO AOS QUARTOS INFANTIS FEMINIMO E MASCULINO, ORIENTAÇÃO NOROESTE)</t>
  </si>
  <si>
    <t>Trecho 04 (ORIENTAÇÃO SUDOESTE, MAIOR PERÍMETRO, LADO ESQUERDO A SALA DE ESTUDOS, ÁREA DE SERVIÇO, COZINHA E PSICÓLOGO)</t>
  </si>
  <si>
    <t>Trecho 05 (ORIENTAÇÃO LESTE, LADO DIREITO EM RELAÇÃO À GUARITA)</t>
  </si>
  <si>
    <t>CÁLCULO DO VOLUME DE ATERRO COMPACTADO (ÁREA INTERNA E EXTERNA DA OBRA ESPECIFICADAS)</t>
  </si>
  <si>
    <t>BOLETIM DE MEDIÇÃO 04 - MEMORIAL DE CÁLCULO</t>
  </si>
  <si>
    <t>BOLETIM 04 - MEMORIAL FOTOGRÁFICO</t>
  </si>
  <si>
    <t>02/03/2024 a 04/04/2024</t>
  </si>
  <si>
    <t>04</t>
  </si>
  <si>
    <t>baldrames</t>
  </si>
  <si>
    <t>Pilares nível baldrame</t>
  </si>
  <si>
    <t>Pilares nível coberta (30%)</t>
  </si>
  <si>
    <t>Quarto infantil Masc</t>
  </si>
  <si>
    <t>Desc Portas P01</t>
  </si>
  <si>
    <t>Desc Janela J01</t>
  </si>
  <si>
    <t>Quarto infantil Fem</t>
  </si>
  <si>
    <t>Brinquedoteca</t>
  </si>
  <si>
    <t>Porta</t>
  </si>
  <si>
    <t>Janela</t>
  </si>
  <si>
    <t>Quarto Adolesc Masc</t>
  </si>
  <si>
    <t>Quarto Adolesc Fem</t>
  </si>
  <si>
    <t>Sala de Estudos</t>
  </si>
  <si>
    <t>Wc Adoles Masc</t>
  </si>
  <si>
    <t>Wc Adoles Fem</t>
  </si>
  <si>
    <t>Wc Social</t>
  </si>
  <si>
    <t>Desc Janela</t>
  </si>
  <si>
    <t>Piscólogo</t>
  </si>
  <si>
    <t>Sala de reunião</t>
  </si>
  <si>
    <t>Coordenação</t>
  </si>
  <si>
    <t>Wc Coordenação</t>
  </si>
  <si>
    <t>Depósito</t>
  </si>
  <si>
    <t>Sala de estar</t>
  </si>
  <si>
    <t>Wc PCD</t>
  </si>
  <si>
    <t>Quarto de Funcionários</t>
  </si>
  <si>
    <t>Despensa</t>
  </si>
  <si>
    <t>Área de Serv</t>
  </si>
  <si>
    <t>Cozinha</t>
  </si>
  <si>
    <t>Refeitório</t>
  </si>
  <si>
    <t>Desc porta</t>
  </si>
  <si>
    <t>Circulação</t>
  </si>
  <si>
    <t>Desc Porta</t>
  </si>
  <si>
    <t>Bateria Wc Fem</t>
  </si>
  <si>
    <t>Bateria Wc Masc</t>
  </si>
  <si>
    <t>Fosso circulação</t>
  </si>
  <si>
    <t>Guarita</t>
  </si>
  <si>
    <t>Desc Janela J04</t>
  </si>
  <si>
    <t>Desc janela J01</t>
  </si>
  <si>
    <t>P01</t>
  </si>
  <si>
    <t>P03</t>
  </si>
  <si>
    <t>P05</t>
  </si>
  <si>
    <t>J01</t>
  </si>
  <si>
    <t>J02</t>
  </si>
  <si>
    <t>J04</t>
  </si>
  <si>
    <t>Referente ao executato in loco</t>
  </si>
  <si>
    <t>05</t>
  </si>
  <si>
    <t>BOLETIM DE MEDIÇÃO 05</t>
  </si>
  <si>
    <t>BOLETIM 05 - MEMORIAL FOTOGRÁFICO</t>
  </si>
  <si>
    <t>BOLETIM DE MEDIÇÃO 05 - MEMORIAL DE CÁLCULO</t>
  </si>
  <si>
    <t>Pilares nível coberta (70%)</t>
  </si>
  <si>
    <t>Pilares nível caixa d'água</t>
  </si>
  <si>
    <t>P04</t>
  </si>
  <si>
    <t>P06</t>
  </si>
  <si>
    <t>P07</t>
  </si>
  <si>
    <t>P08</t>
  </si>
  <si>
    <t>J03</t>
  </si>
  <si>
    <t>J05</t>
  </si>
  <si>
    <t>J06</t>
  </si>
  <si>
    <t>J07</t>
  </si>
  <si>
    <t>Desc Porta P08</t>
  </si>
  <si>
    <t>Desc Janela J05</t>
  </si>
  <si>
    <t>Desc Porta 08</t>
  </si>
  <si>
    <t xml:space="preserve">Wc </t>
  </si>
  <si>
    <t>Desc Janelas</t>
  </si>
  <si>
    <t>Referente ao quantitativo executado de alvenaria</t>
  </si>
  <si>
    <t>Vigas nível coberta (60%)</t>
  </si>
  <si>
    <t>04/04/2024 a 10/05/2024</t>
  </si>
  <si>
    <t>06</t>
  </si>
  <si>
    <t>BOLETIM DE MEDIÇÃO 06 - MEMORIAL DE CÁLCULO</t>
  </si>
  <si>
    <t>11/05/2024 a 10/06/2024</t>
  </si>
  <si>
    <t>Laje marquise</t>
  </si>
  <si>
    <t>Referente ao executato in loco de acordo com o projeto elétrico</t>
  </si>
  <si>
    <t>Referente ao executato in loco (50%)</t>
  </si>
  <si>
    <t xml:space="preserve">Pilares nível caixa d' água </t>
  </si>
  <si>
    <t>Vigas nível coberta (80%)</t>
  </si>
  <si>
    <t>Referente ao executato in loco (30%)</t>
  </si>
  <si>
    <t>Vigas nível coberta (40%)</t>
  </si>
  <si>
    <t>07</t>
  </si>
  <si>
    <t>BOLETIM 06 - MEMORIAL FOTOGRÁFICO</t>
  </si>
  <si>
    <t>Laje Marquise (100%)</t>
  </si>
  <si>
    <t>Vigas nível coberta (100%)</t>
  </si>
  <si>
    <t>Laje caixa d'água</t>
  </si>
  <si>
    <t>Laje Marquise</t>
  </si>
  <si>
    <t>Laje Caixa d'água</t>
  </si>
  <si>
    <t>Referente ao executato in loco (100%)</t>
  </si>
  <si>
    <t>Valor referente a Vigas Coberta (90% executado)</t>
  </si>
  <si>
    <t>Vigas nível coberta (90%)</t>
  </si>
  <si>
    <t xml:space="preserve">Valor referente ao executado (Exceto caixa d'água e platibanda) </t>
  </si>
  <si>
    <t>AMBIENTES</t>
  </si>
  <si>
    <t>GUARITA</t>
  </si>
  <si>
    <t>WC</t>
  </si>
  <si>
    <t>PSICOLOGO</t>
  </si>
  <si>
    <t>SALA DE ESTUDO</t>
  </si>
  <si>
    <t>QUARTO INFANTIL MASCULINO</t>
  </si>
  <si>
    <t>ESPESSURA (M)</t>
  </si>
  <si>
    <t>Referente ao executado (50%)</t>
  </si>
  <si>
    <t>Referente ao executado (30%)</t>
  </si>
  <si>
    <t>BOLETIM 07 - MEMORIAL FOTOGRÁFICO</t>
  </si>
  <si>
    <t>BOLETIM DE MEDIÇÃO 07 - MEMORIAL DE CÁLCULO</t>
  </si>
  <si>
    <t>08</t>
  </si>
  <si>
    <t>MEDIDA NO PERÍODO 8</t>
  </si>
  <si>
    <t>MEDIDA NO PERÍODO 9</t>
  </si>
  <si>
    <t>MEDIÇÃO 08</t>
  </si>
  <si>
    <t>MEDIÇÃO 09</t>
  </si>
  <si>
    <t>BOLETIM 08 - MEMORIAL FOTOGRÁFICO</t>
  </si>
  <si>
    <t>BOLETIM DE MEDIÇÃO 08 - MEMORIAL DE CÁLCULO</t>
  </si>
  <si>
    <t>Saldo restante</t>
  </si>
  <si>
    <t xml:space="preserve">Valor referente ao executado (Exceto caixa d'água) </t>
  </si>
  <si>
    <t>Desc portas entradas</t>
  </si>
  <si>
    <t>Desc porta serviço</t>
  </si>
  <si>
    <t>Desc janelas 1,5</t>
  </si>
  <si>
    <t>Desc janelas 1,0</t>
  </si>
  <si>
    <t>Fachada completa (60%)</t>
  </si>
  <si>
    <t>Conforme projeto elétrico</t>
  </si>
  <si>
    <t>Saldo restante com exceção da caixa d' água e base das camas</t>
  </si>
  <si>
    <t>Vigas Coberta (100%)</t>
  </si>
  <si>
    <t>Referente ao executado (100%)</t>
  </si>
  <si>
    <t>Laje Marquise (60%)</t>
  </si>
  <si>
    <t>09</t>
  </si>
  <si>
    <t>BOLETIM 09 - MEMORIAL FOTOGRÁFICO</t>
  </si>
  <si>
    <t>Pilares nível Cinta caixa (100%)</t>
  </si>
  <si>
    <t>Vigas caixa d´água</t>
  </si>
  <si>
    <t>Vigas Cinta</t>
  </si>
  <si>
    <t>Laje Marquise (40%)</t>
  </si>
  <si>
    <t>Laje caixa d'água (100%)</t>
  </si>
  <si>
    <t>Valor referente ao saldo restante</t>
  </si>
  <si>
    <t>BOLETIM DE MEDIÇÃO 09 - MEMORIAL DE CÁLCULO</t>
  </si>
  <si>
    <t xml:space="preserve">Item medido devido adição de alvenaria na platibanda (Alvenaria in loco já superior ao contrato) </t>
  </si>
  <si>
    <t>MEDIDA NO PERÍODO 10</t>
  </si>
  <si>
    <t>1.17.1</t>
  </si>
  <si>
    <t>1.17.2</t>
  </si>
  <si>
    <t>1.17.3</t>
  </si>
  <si>
    <t>1.17.4</t>
  </si>
  <si>
    <t>1.17.5</t>
  </si>
  <si>
    <t>1.17.6</t>
  </si>
  <si>
    <t>1.17.7</t>
  </si>
  <si>
    <t>1.17.8</t>
  </si>
  <si>
    <t>1.17.9</t>
  </si>
  <si>
    <t>1.17.10</t>
  </si>
  <si>
    <t>1.17.11</t>
  </si>
  <si>
    <t>1.17.12</t>
  </si>
  <si>
    <t>MEDIÇÃO 10</t>
  </si>
  <si>
    <t>NOVOS SERVIÇOS</t>
  </si>
  <si>
    <t>S071105</t>
  </si>
  <si>
    <t>S06096</t>
  </si>
  <si>
    <t>00020204</t>
  </si>
  <si>
    <t>00020208</t>
  </si>
  <si>
    <t>ATERRO MECANIZADO DE VALA COM RETROESCAVADEIRA (CAPACIDADE DA CAÇAMBA DA RETRO: 0,26 M³ / POTÊNCIA: 88 HP), LARGURA DE 0,8 A 1,5 M, PROFUNDIDADE ATÉ 1,5 M, COM SOLO ARGILO-ARENOSO. AF_05/2016</t>
  </si>
  <si>
    <t>DEMOLIÇÃO DE PILARES E VIGAS EM CONCRETO ARMADO, DE FORMA MANUAL, SEM REAPROVEITAMENTO. AF_12/2017</t>
  </si>
  <si>
    <t>DEMOLIÇÃO DE ALVENARIA DE BLOCO FURADO, DE FORMA MANUAL, SEM REAPROVEITAMENTO. AF_12/2017</t>
  </si>
  <si>
    <t>Grade de ferro em barra chata, inclusive chumbamento</t>
  </si>
  <si>
    <t>ENTRADA DE ENERGIA ELÉTRICA, AÉREA, MONOFÁSICA, COM CAIXA DE EMBUTIR, CABO DE 10 MM2 E DISJUNTOR DIN 50A (NÃO INCLUSO O POSTE DE CONCRETO). AF_07/2020_PS</t>
  </si>
  <si>
    <t>Ligação Predial de Água em Mureta de Concreto, Provisória ou Definitiva, com Fornecimento de Material, inclusive Mureta e Hidrômetro, Rede DN 50mm - Rev 03_10/2022</t>
  </si>
  <si>
    <t>PRANCHAO APARELHADO *7,5 X 23* CM, EM MACARANDUBA, ANGELIM OU EQUIVALENTE DA REGIAO</t>
  </si>
  <si>
    <t>PRANCHAO APARELHADO *8 X 30* CM, EM MACARANDUBA, ANGELIM OU EQUIVALENTE DA REGIAO</t>
  </si>
  <si>
    <t>CHAPISCO APLICADO NO TETO OU EM ESTRUTURA, COM DESEMPENADEIRA DENTADA. ARGAMASSA INDUSTRIALIZADA COM PREPARO EM MISTURADOR 300 KG. AF_10/2022</t>
  </si>
  <si>
    <t>MASSA ÚNICA, PARA RECEBIMENTO DE PINTURA, EM ARGAMASSA TRAÇO 1:2:8, PREPARO MECÂNICO COM BETONEIRA 400L, APLICADA MANUALMENTE EM TETO, ESPESSURA DE 10MM, COM EXECUÇÃO DE TALISCAS. AF_03/2015</t>
  </si>
  <si>
    <t>APLICAÇÃO MANUAL DE PINTURA COM TINTA LÁTEX PVA EM TETO, DUAS DEMÃOS. AF_06/2014</t>
  </si>
  <si>
    <t>m2</t>
  </si>
  <si>
    <t>BOLETIM DE MEDIÇÃO 10 - MEMORIAL DE CÁLCULO</t>
  </si>
  <si>
    <t>V02 (P8 ATÉ P9)</t>
  </si>
  <si>
    <t xml:space="preserve">EMBASAMENTO ABAIXO DAS NOVAS VIGAS BALDRAMES QUE FORAM ADICIONADAS. </t>
  </si>
  <si>
    <t>EXTENSÃO DA VIGA 19 (AO LADO ESQUERDO DO PILAR 81 (PROJETO ESTRUTURAL - PLANTA DE FÔRMAS DE VIGA BALDRAME)</t>
  </si>
  <si>
    <t>LIGAÇÃO DA EXTENSÃO DA VIGA 19 AO PILAR 80  (PROJETO ESTRUTURAL - PLANTA DE FÔRMAS DE VIGA BALDRAME)</t>
  </si>
  <si>
    <t>VIGA ADICIONADA ENTRE O P8 E O P22</t>
  </si>
  <si>
    <t>VIGA ADICIONADA ENTRE O P76 E O P84</t>
  </si>
  <si>
    <t xml:space="preserve">ALVENARIA DE EMBASAMENTO ADICIONADA PARA COMPLEMENTAÇÃO </t>
  </si>
  <si>
    <t xml:space="preserve">EMBASAMENTO (ALVENARIA ABAIXO DAS CANALETAS) - MURO </t>
  </si>
  <si>
    <t xml:space="preserve">EMBASAMENTO (CALÇADA PERÍMETRO INTERNO DA OBRA) </t>
  </si>
  <si>
    <t>SOMA DOS PERÍMETROS (TRECHOS EM ANEXO)</t>
  </si>
  <si>
    <t xml:space="preserve">EMBASAMENTO (BATENTES ACIMA DA CALÇADA (ENTRADA PRINCIPAL E ÁREA DE SERVIÇO ) </t>
  </si>
  <si>
    <t xml:space="preserve">ALVENARIA DE DETALHAMENTO ACIMA DA LAJE DA GUARITA </t>
  </si>
  <si>
    <t xml:space="preserve">PERÍMETRO  VEZES ALTURA </t>
  </si>
  <si>
    <t>0.41; 0.41</t>
  </si>
  <si>
    <t>0.41; 0.64</t>
  </si>
  <si>
    <t>0.62; 0.55</t>
  </si>
  <si>
    <t>0.20; 0.35</t>
  </si>
  <si>
    <t>SOMA DOS PERÍMETROS (M)</t>
  </si>
  <si>
    <t>ALTURA DE EMBASAMENTO (M)</t>
  </si>
  <si>
    <t>BALDRAMES (VALOR EM MEMORIAL DE CÁLCULO)</t>
  </si>
  <si>
    <t xml:space="preserve">AÇO 8.0 ADICIONADO ÀS NOVAS VIGAS BALDRAMES REALIZADAS. </t>
  </si>
  <si>
    <t>COMPRIMENTO DO CORTE (M)</t>
  </si>
  <si>
    <t>QUANTIDADE (UND)</t>
  </si>
  <si>
    <t>VIGAS ADICIONADAS NO MURO (LOCAL DA PASSAGEM DE VEÍCULOS (P07) PRÓXIMO A ÁREA DE SERVIÇO)</t>
  </si>
  <si>
    <t xml:space="preserve">CONCRETO ADICIONADO ÀS NOVAS VIGAS BALDRAMES REALIZADAS. </t>
  </si>
  <si>
    <t>COMPRIMENTO(M)</t>
  </si>
  <si>
    <t>ALVENARIA DE EMBASAMENTO (CÁLCULO CONSIDERANDO O VOLUME PRISMÁTICO DE CADA SEÇÃO ABAIXO DAS VIGAS BALDRAME).</t>
  </si>
  <si>
    <t xml:space="preserve">CÁLCULO DO AÇO 8.0 UTILIZADO NAS VIGAS BALDRAMES + VIGAS NOVAS ADICIONAIS. </t>
  </si>
  <si>
    <t>CÁLCULO DO VOLUME DE CONCRETO DAS SAPATAS E JUNTAMENTE COM VIGAS BALDRAMES. REDUZINDO O VALOR DO ITEM 1.3.6.</t>
  </si>
  <si>
    <t>VALOR IDEM AO VOLUME DE CONCRETO. VALOR TOTAL CÁLCULADO.</t>
  </si>
  <si>
    <t>VOLUME EM MEMORIAL DE CÁLCULO</t>
  </si>
  <si>
    <t>VOLUME CALCULADO</t>
  </si>
  <si>
    <t xml:space="preserve">AÇO 5.0 ADICIONADO ÀS NOVAS VIGAS BALDRAMES REALIZADAS. </t>
  </si>
  <si>
    <t>CÁLCULO DE TODO AÇO 12.5 UTILIZADO NAS SAPATAS ATÉ O NÍVEL DA BALDRAME.</t>
  </si>
  <si>
    <t>CÁLCULO DE TODA ÁREA DE FÔRMA UTILIZADA DA FUNDAÇÃO AO NÍVEL DE VIGA BALDRAME.</t>
  </si>
  <si>
    <t xml:space="preserve">ÁREA DE FÔRMA PARA AS NOVAS VIGAS BALDRAMES REALIZADAS. </t>
  </si>
  <si>
    <t>CÁLCULO DA ÁREA DE IMPERMEABILIZAÇÃO DAS VIGAS BALDRAMES.</t>
  </si>
  <si>
    <t>CÁLCULO DE TODO AÇO 10.0 UTILIZADO NAS SAPATAS ATÉ O NÍVEL DA BALDRAME.</t>
  </si>
  <si>
    <t>MEDIDA NO PERÍODO 11</t>
  </si>
  <si>
    <t>CÁLCULOS</t>
  </si>
  <si>
    <t>MEDIÇÃO 11</t>
  </si>
  <si>
    <t>__________________________________________________________________________________</t>
  </si>
  <si>
    <t>______________________________________________________________________________</t>
  </si>
  <si>
    <t>_________________________________________________________________________</t>
  </si>
  <si>
    <t>Engenheiro Fiscal Titular</t>
  </si>
  <si>
    <t>Engenheiro Fiscal Auxiliar</t>
  </si>
  <si>
    <t>Secretário de Planejamento</t>
  </si>
  <si>
    <t>12</t>
  </si>
  <si>
    <t>27/09/2025 a 24/11/2025</t>
  </si>
  <si>
    <t>MEDIDA NO PERÍODO 12</t>
  </si>
  <si>
    <t>BOLETIM DE MEDIÇÃO 12</t>
  </si>
  <si>
    <t>MEDIÇÃO 12</t>
  </si>
  <si>
    <t>Marquises: 1,0*(7,7+4,93+4,35+11,20+4,05+4,82+5,0)+0,30*9,82</t>
  </si>
  <si>
    <t>Calha central: 26,30 m x 2</t>
  </si>
  <si>
    <t xml:space="preserve">20 camas x perímetro de alvenaria (1,80*2+0,90) x altura de 0,50 m x largura de 0,19 m = 8,55 m³ de alvenaria </t>
  </si>
  <si>
    <t>falta pagar</t>
  </si>
  <si>
    <t>20 camas com volume de 1,80*0,50*0,45 = 8,10 m³</t>
  </si>
  <si>
    <t>20 camas x 1,80*0,50</t>
  </si>
  <si>
    <t>área de piso interna: 597 m²</t>
  </si>
  <si>
    <t>Área total de piso = 597 m² - 116,27 m² que já foram pagos</t>
  </si>
  <si>
    <t>Selador aplicado no muro de entorno:128,40 m x 2,50 m de altura x 2 lados</t>
  </si>
  <si>
    <t>Marquises totais: 1,1*(7,7+4,93+4,35+11,20+4,05+4,82+5,0)+0,40*9,82 = 50,18 m² menos o que já foi pago até o momento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</si>
</sst>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&quot;R$&quot;\ * #,##0.00_-;\-&quot;R$&quot;\ * #,##0.00_-;_-&quot;R$&quot;\ 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\R\$\ #,##0.00"/>
    <numFmt numFmtId="167" formatCode="\'\R\$\ \'###,###,##0.00"/>
    <numFmt numFmtId="168" formatCode="[$-416]d\-mmm\-yy;@"/>
    <numFmt numFmtId="169" formatCode="_-[$R$-416]\ * #,##0.00_-;\-[$R$-416]\ * #,##0.00_-;_-[$R$-416]\ * &quot;-&quot;??_-;_-@_-"/>
    <numFmt numFmtId="170" formatCode="#,##0.000"/>
    <numFmt numFmtId="171" formatCode="#,##0.0000"/>
    <numFmt numFmtId="172" formatCode="0.0"/>
    <numFmt numFmtId="173" formatCode="dd/mm/yy;@"/>
  </numFmts>
  <fonts count="40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5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8"/>
      <name val="Arial"/>
      <family val="2"/>
    </font>
    <font>
      <b/>
      <sz val="6"/>
      <color rgb="FF000000"/>
      <name val="Segoe UI"/>
      <family val="2"/>
    </font>
    <font>
      <b/>
      <sz val="7"/>
      <name val="Segoe UI"/>
      <family val="2"/>
    </font>
    <font>
      <b/>
      <sz val="7"/>
      <color rgb="FF000000"/>
      <name val="Segoe U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14"/>
      <name val="Segoe UI"/>
      <family val="2"/>
    </font>
    <font>
      <b/>
      <sz val="14"/>
      <color rgb="FF000000"/>
      <name val="Segoe UI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i/>
      <sz val="8"/>
      <color rgb="FF000000"/>
      <name val="Arial"/>
      <family val="2"/>
    </font>
    <font>
      <b/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6"/>
      <name val="Calibri"/>
      <family val="2"/>
      <scheme val="minor"/>
    </font>
    <font>
      <i/>
      <sz val="8"/>
      <color theme="1"/>
      <name val="Arial"/>
      <family val="2"/>
    </font>
    <font>
      <i/>
      <sz val="11"/>
      <color rgb="FF000000"/>
      <name val="Arial"/>
      <family val="2"/>
    </font>
    <font>
      <sz val="10"/>
      <name val="Arial"/>
      <family val="2"/>
    </font>
    <font>
      <b/>
      <sz val="6"/>
      <name val="Segoe UI"/>
      <family val="2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8" fillId="14" borderId="1"/>
  </cellStyleXfs>
  <cellXfs count="606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left" vertical="center" wrapText="1"/>
    </xf>
    <xf numFmtId="166" fontId="2" fillId="7" borderId="2" xfId="0" applyNumberFormat="1" applyFont="1" applyFill="1" applyBorder="1" applyAlignment="1">
      <alignment horizontal="right" vertical="center" wrapText="1"/>
    </xf>
    <xf numFmtId="0" fontId="3" fillId="8" borderId="2" xfId="0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justify" vertical="center" wrapText="1"/>
    </xf>
    <xf numFmtId="4" fontId="3" fillId="11" borderId="2" xfId="0" applyNumberFormat="1" applyFont="1" applyFill="1" applyBorder="1" applyAlignment="1">
      <alignment horizontal="right" vertical="center" wrapText="1"/>
    </xf>
    <xf numFmtId="166" fontId="3" fillId="12" borderId="2" xfId="0" applyNumberFormat="1" applyFont="1" applyFill="1" applyBorder="1" applyAlignment="1">
      <alignment horizontal="right" vertical="center" wrapText="1"/>
    </xf>
    <xf numFmtId="167" fontId="3" fillId="1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9" fillId="16" borderId="7" xfId="0" applyFont="1" applyFill="1" applyBorder="1" applyAlignment="1">
      <alignment vertical="center"/>
    </xf>
    <xf numFmtId="164" fontId="8" fillId="0" borderId="7" xfId="2" applyFont="1" applyBorder="1" applyAlignment="1">
      <alignment vertical="center"/>
    </xf>
    <xf numFmtId="0" fontId="10" fillId="15" borderId="12" xfId="0" applyFont="1" applyFill="1" applyBorder="1" applyAlignment="1">
      <alignment horizontal="left" vertical="center"/>
    </xf>
    <xf numFmtId="0" fontId="8" fillId="0" borderId="1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16" borderId="1" xfId="0" applyFont="1" applyFill="1" applyBorder="1" applyAlignment="1">
      <alignment vertical="center"/>
    </xf>
    <xf numFmtId="164" fontId="8" fillId="0" borderId="1" xfId="2" applyFont="1" applyBorder="1" applyAlignment="1">
      <alignment vertical="center"/>
    </xf>
    <xf numFmtId="0" fontId="8" fillId="16" borderId="1" xfId="0" applyFont="1" applyFill="1" applyBorder="1" applyAlignment="1">
      <alignment vertical="center"/>
    </xf>
    <xf numFmtId="0" fontId="10" fillId="15" borderId="17" xfId="0" applyFont="1" applyFill="1" applyBorder="1" applyAlignment="1">
      <alignment horizontal="center" vertical="center"/>
    </xf>
    <xf numFmtId="0" fontId="0" fillId="14" borderId="0" xfId="0" applyFill="1" applyAlignment="1" applyProtection="1">
      <alignment vertical="center" wrapText="1"/>
      <protection locked="0"/>
    </xf>
    <xf numFmtId="0" fontId="1" fillId="14" borderId="1" xfId="0" applyFont="1" applyFill="1" applyBorder="1" applyAlignment="1">
      <alignment vertical="center" wrapText="1"/>
    </xf>
    <xf numFmtId="0" fontId="1" fillId="14" borderId="1" xfId="0" applyFont="1" applyFill="1" applyBorder="1" applyAlignment="1" applyProtection="1">
      <alignment vertical="center" wrapText="1"/>
      <protection locked="0"/>
    </xf>
    <xf numFmtId="0" fontId="1" fillId="16" borderId="1" xfId="0" applyFont="1" applyFill="1" applyBorder="1" applyAlignment="1" applyProtection="1">
      <alignment vertical="center" wrapText="1"/>
      <protection locked="0"/>
    </xf>
    <xf numFmtId="164" fontId="1" fillId="14" borderId="1" xfId="2" applyFont="1" applyFill="1" applyBorder="1" applyAlignment="1" applyProtection="1">
      <alignment vertical="center" wrapText="1"/>
      <protection locked="0"/>
    </xf>
    <xf numFmtId="2" fontId="18" fillId="16" borderId="31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right" vertical="center"/>
    </xf>
    <xf numFmtId="4" fontId="19" fillId="16" borderId="31" xfId="0" applyNumberFormat="1" applyFont="1" applyFill="1" applyBorder="1" applyAlignment="1">
      <alignment horizontal="right" vertical="center"/>
    </xf>
    <xf numFmtId="0" fontId="15" fillId="15" borderId="36" xfId="0" applyFont="1" applyFill="1" applyBorder="1" applyAlignment="1">
      <alignment horizontal="center" vertical="center" wrapText="1"/>
    </xf>
    <xf numFmtId="0" fontId="15" fillId="15" borderId="33" xfId="0" applyFont="1" applyFill="1" applyBorder="1" applyAlignment="1">
      <alignment horizontal="center" vertical="center" wrapText="1"/>
    </xf>
    <xf numFmtId="165" fontId="14" fillId="15" borderId="37" xfId="1" applyFont="1" applyFill="1" applyBorder="1" applyAlignment="1" applyProtection="1">
      <alignment horizontal="center" vertical="center" wrapText="1"/>
    </xf>
    <xf numFmtId="164" fontId="15" fillId="15" borderId="36" xfId="2" applyFont="1" applyFill="1" applyBorder="1" applyAlignment="1">
      <alignment horizontal="center" vertical="center" wrapText="1"/>
    </xf>
    <xf numFmtId="164" fontId="15" fillId="15" borderId="34" xfId="2" applyFont="1" applyFill="1" applyBorder="1" applyAlignment="1">
      <alignment horizontal="center" vertical="center" wrapText="1"/>
    </xf>
    <xf numFmtId="164" fontId="15" fillId="15" borderId="33" xfId="2" applyFont="1" applyFill="1" applyBorder="1" applyAlignment="1">
      <alignment horizontal="center" vertical="center" wrapText="1"/>
    </xf>
    <xf numFmtId="164" fontId="14" fillId="15" borderId="33" xfId="2" applyFont="1" applyFill="1" applyBorder="1" applyAlignment="1" applyProtection="1">
      <alignment horizontal="center" vertical="center" wrapText="1"/>
    </xf>
    <xf numFmtId="164" fontId="14" fillId="15" borderId="38" xfId="2" applyFont="1" applyFill="1" applyBorder="1" applyAlignment="1" applyProtection="1">
      <alignment horizontal="center" vertical="center" wrapText="1"/>
    </xf>
    <xf numFmtId="0" fontId="12" fillId="14" borderId="31" xfId="0" applyFont="1" applyFill="1" applyBorder="1" applyAlignment="1">
      <alignment vertical="center"/>
    </xf>
    <xf numFmtId="0" fontId="12" fillId="16" borderId="31" xfId="0" applyFont="1" applyFill="1" applyBorder="1" applyAlignment="1">
      <alignment vertical="center"/>
    </xf>
    <xf numFmtId="164" fontId="6" fillId="0" borderId="31" xfId="2" applyFont="1" applyBorder="1" applyAlignment="1">
      <alignment vertical="center"/>
    </xf>
    <xf numFmtId="0" fontId="17" fillId="16" borderId="31" xfId="0" applyFont="1" applyFill="1" applyBorder="1" applyAlignment="1">
      <alignment horizontal="center" vertical="center"/>
    </xf>
    <xf numFmtId="0" fontId="19" fillId="16" borderId="31" xfId="0" applyFont="1" applyFill="1" applyBorder="1" applyAlignment="1">
      <alignment horizontal="center" vertical="center"/>
    </xf>
    <xf numFmtId="164" fontId="12" fillId="16" borderId="31" xfId="2" applyFont="1" applyFill="1" applyBorder="1" applyAlignment="1">
      <alignment horizontal="right" vertical="center"/>
    </xf>
    <xf numFmtId="164" fontId="0" fillId="0" borderId="39" xfId="2" applyFont="1" applyBorder="1" applyAlignment="1">
      <alignment vertical="center"/>
    </xf>
    <xf numFmtId="0" fontId="12" fillId="14" borderId="32" xfId="0" applyFont="1" applyFill="1" applyBorder="1" applyAlignment="1">
      <alignment vertical="center"/>
    </xf>
    <xf numFmtId="0" fontId="16" fillId="14" borderId="40" xfId="0" applyFont="1" applyFill="1" applyBorder="1" applyAlignment="1">
      <alignment horizontal="left" vertical="center" shrinkToFit="1"/>
    </xf>
    <xf numFmtId="0" fontId="17" fillId="16" borderId="40" xfId="0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left" vertical="center"/>
    </xf>
    <xf numFmtId="0" fontId="12" fillId="16" borderId="40" xfId="0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horizontal="justify" vertical="center"/>
    </xf>
    <xf numFmtId="0" fontId="19" fillId="16" borderId="32" xfId="0" applyFont="1" applyFill="1" applyBorder="1" applyAlignment="1">
      <alignment horizontal="justify" vertical="center"/>
    </xf>
    <xf numFmtId="0" fontId="12" fillId="14" borderId="40" xfId="0" applyFont="1" applyFill="1" applyBorder="1" applyAlignment="1">
      <alignment vertical="center"/>
    </xf>
    <xf numFmtId="2" fontId="17" fillId="16" borderId="40" xfId="0" applyNumberFormat="1" applyFont="1" applyFill="1" applyBorder="1" applyAlignment="1">
      <alignment horizontal="left" vertical="center"/>
    </xf>
    <xf numFmtId="0" fontId="16" fillId="16" borderId="40" xfId="0" applyFont="1" applyFill="1" applyBorder="1" applyAlignment="1">
      <alignment horizontal="left" vertical="center"/>
    </xf>
    <xf numFmtId="0" fontId="17" fillId="16" borderId="40" xfId="0" applyFont="1" applyFill="1" applyBorder="1" applyAlignment="1">
      <alignment horizontal="center" vertical="center"/>
    </xf>
    <xf numFmtId="2" fontId="17" fillId="16" borderId="40" xfId="0" applyNumberFormat="1" applyFont="1" applyFill="1" applyBorder="1" applyAlignment="1">
      <alignment horizontal="center" vertical="center"/>
    </xf>
    <xf numFmtId="2" fontId="19" fillId="16" borderId="40" xfId="0" applyNumberFormat="1" applyFont="1" applyFill="1" applyBorder="1" applyAlignment="1">
      <alignment horizontal="center" vertical="center"/>
    </xf>
    <xf numFmtId="2" fontId="16" fillId="16" borderId="40" xfId="0" applyNumberFormat="1" applyFont="1" applyFill="1" applyBorder="1" applyAlignment="1">
      <alignment horizontal="left" vertical="center"/>
    </xf>
    <xf numFmtId="0" fontId="17" fillId="16" borderId="32" xfId="0" applyFont="1" applyFill="1" applyBorder="1" applyAlignment="1">
      <alignment vertical="center" wrapText="1"/>
    </xf>
    <xf numFmtId="2" fontId="17" fillId="16" borderId="40" xfId="0" applyNumberFormat="1" applyFont="1" applyFill="1" applyBorder="1" applyAlignment="1">
      <alignment vertical="center"/>
    </xf>
    <xf numFmtId="0" fontId="17" fillId="16" borderId="40" xfId="0" applyFont="1" applyFill="1" applyBorder="1" applyAlignment="1">
      <alignment vertical="center"/>
    </xf>
    <xf numFmtId="4" fontId="17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left" vertical="center"/>
    </xf>
    <xf numFmtId="0" fontId="19" fillId="16" borderId="40" xfId="0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vertical="center" wrapText="1"/>
    </xf>
    <xf numFmtId="0" fontId="19" fillId="16" borderId="40" xfId="0" applyFont="1" applyFill="1" applyBorder="1" applyAlignment="1">
      <alignment vertical="center"/>
    </xf>
    <xf numFmtId="2" fontId="19" fillId="16" borderId="31" xfId="0" applyNumberFormat="1" applyFont="1" applyFill="1" applyBorder="1" applyAlignment="1">
      <alignment horizontal="center" vertical="center"/>
    </xf>
    <xf numFmtId="4" fontId="19" fillId="16" borderId="31" xfId="0" applyNumberFormat="1" applyFont="1" applyFill="1" applyBorder="1" applyAlignment="1">
      <alignment horizontal="center" vertical="center"/>
    </xf>
    <xf numFmtId="2" fontId="12" fillId="16" borderId="40" xfId="0" applyNumberFormat="1" applyFont="1" applyFill="1" applyBorder="1" applyAlignment="1">
      <alignment horizontal="center" vertical="center"/>
    </xf>
    <xf numFmtId="4" fontId="17" fillId="16" borderId="33" xfId="0" applyNumberFormat="1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horizontal="left" vertical="center"/>
    </xf>
    <xf numFmtId="2" fontId="19" fillId="16" borderId="41" xfId="0" applyNumberFormat="1" applyFont="1" applyFill="1" applyBorder="1" applyAlignment="1">
      <alignment horizontal="center" vertical="center"/>
    </xf>
    <xf numFmtId="0" fontId="19" fillId="16" borderId="29" xfId="0" applyFont="1" applyFill="1" applyBorder="1" applyAlignment="1">
      <alignment horizontal="justify" vertical="center"/>
    </xf>
    <xf numFmtId="0" fontId="19" fillId="16" borderId="28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right" vertical="center"/>
    </xf>
    <xf numFmtId="4" fontId="17" fillId="16" borderId="28" xfId="0" applyNumberFormat="1" applyFont="1" applyFill="1" applyBorder="1" applyAlignment="1">
      <alignment horizontal="center" vertical="center"/>
    </xf>
    <xf numFmtId="0" fontId="0" fillId="0" borderId="15" xfId="0" applyBorder="1"/>
    <xf numFmtId="49" fontId="10" fillId="15" borderId="12" xfId="0" applyNumberFormat="1" applyFont="1" applyFill="1" applyBorder="1" applyAlignment="1">
      <alignment horizontal="left" vertical="center"/>
    </xf>
    <xf numFmtId="2" fontId="16" fillId="16" borderId="31" xfId="2" applyNumberFormat="1" applyFont="1" applyFill="1" applyBorder="1" applyAlignment="1">
      <alignment horizontal="center" vertical="center"/>
    </xf>
    <xf numFmtId="2" fontId="17" fillId="16" borderId="31" xfId="2" applyNumberFormat="1" applyFont="1" applyFill="1" applyBorder="1" applyAlignment="1">
      <alignment horizontal="center" vertical="center"/>
    </xf>
    <xf numFmtId="164" fontId="12" fillId="16" borderId="28" xfId="2" applyFont="1" applyFill="1" applyBorder="1" applyAlignment="1">
      <alignment horizontal="right" vertical="center"/>
    </xf>
    <xf numFmtId="2" fontId="17" fillId="16" borderId="28" xfId="2" applyNumberFormat="1" applyFont="1" applyFill="1" applyBorder="1" applyAlignment="1">
      <alignment horizontal="center" vertical="center"/>
    </xf>
    <xf numFmtId="0" fontId="0" fillId="0" borderId="7" xfId="0" applyBorder="1"/>
    <xf numFmtId="2" fontId="17" fillId="16" borderId="39" xfId="2" applyNumberFormat="1" applyFont="1" applyFill="1" applyBorder="1" applyAlignment="1">
      <alignment horizontal="center" vertical="center"/>
    </xf>
    <xf numFmtId="2" fontId="17" fillId="16" borderId="30" xfId="2" applyNumberFormat="1" applyFont="1" applyFill="1" applyBorder="1" applyAlignment="1">
      <alignment horizontal="center" vertical="center"/>
    </xf>
    <xf numFmtId="0" fontId="19" fillId="17" borderId="40" xfId="0" applyFont="1" applyFill="1" applyBorder="1" applyAlignment="1">
      <alignment horizontal="left" vertical="center"/>
    </xf>
    <xf numFmtId="0" fontId="19" fillId="17" borderId="40" xfId="0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horizontal="justify" vertical="center"/>
    </xf>
    <xf numFmtId="0" fontId="19" fillId="14" borderId="31" xfId="0" applyFont="1" applyFill="1" applyBorder="1" applyAlignment="1">
      <alignment vertical="center"/>
    </xf>
    <xf numFmtId="2" fontId="23" fillId="16" borderId="31" xfId="0" applyNumberFormat="1" applyFont="1" applyFill="1" applyBorder="1" applyAlignment="1">
      <alignment horizontal="center" vertical="center"/>
    </xf>
    <xf numFmtId="0" fontId="12" fillId="14" borderId="43" xfId="0" applyFont="1" applyFill="1" applyBorder="1" applyAlignment="1">
      <alignment vertical="center"/>
    </xf>
    <xf numFmtId="4" fontId="17" fillId="16" borderId="43" xfId="0" applyNumberFormat="1" applyFont="1" applyFill="1" applyBorder="1" applyAlignment="1">
      <alignment horizontal="center" vertical="center"/>
    </xf>
    <xf numFmtId="4" fontId="19" fillId="16" borderId="43" xfId="0" applyNumberFormat="1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2" fontId="19" fillId="16" borderId="43" xfId="0" applyNumberFormat="1" applyFont="1" applyFill="1" applyBorder="1" applyAlignment="1">
      <alignment horizontal="center" vertical="center"/>
    </xf>
    <xf numFmtId="164" fontId="0" fillId="0" borderId="32" xfId="2" applyFont="1" applyBorder="1" applyAlignment="1">
      <alignment vertical="center"/>
    </xf>
    <xf numFmtId="4" fontId="17" fillId="16" borderId="32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right" vertical="center"/>
    </xf>
    <xf numFmtId="4" fontId="17" fillId="16" borderId="12" xfId="0" applyNumberFormat="1" applyFont="1" applyFill="1" applyBorder="1" applyAlignment="1">
      <alignment horizontal="center" vertical="center"/>
    </xf>
    <xf numFmtId="4" fontId="12" fillId="14" borderId="44" xfId="0" applyNumberFormat="1" applyFont="1" applyFill="1" applyBorder="1" applyAlignment="1">
      <alignment vertical="center"/>
    </xf>
    <xf numFmtId="0" fontId="0" fillId="0" borderId="39" xfId="0" applyBorder="1" applyAlignment="1">
      <alignment vertical="center"/>
    </xf>
    <xf numFmtId="4" fontId="17" fillId="16" borderId="44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/>
    </xf>
    <xf numFmtId="4" fontId="19" fillId="16" borderId="44" xfId="0" applyNumberFormat="1" applyFont="1" applyFill="1" applyBorder="1" applyAlignment="1">
      <alignment horizontal="center" vertical="center"/>
    </xf>
    <xf numFmtId="4" fontId="17" fillId="16" borderId="30" xfId="0" applyNumberFormat="1" applyFont="1" applyFill="1" applyBorder="1" applyAlignment="1">
      <alignment horizontal="center" vertical="center"/>
    </xf>
    <xf numFmtId="164" fontId="12" fillId="16" borderId="12" xfId="2" applyFont="1" applyFill="1" applyBorder="1" applyAlignment="1">
      <alignment horizontal="right" vertical="center"/>
    </xf>
    <xf numFmtId="2" fontId="17" fillId="16" borderId="12" xfId="2" applyNumberFormat="1" applyFont="1" applyFill="1" applyBorder="1" applyAlignment="1">
      <alignment horizontal="center" vertical="center"/>
    </xf>
    <xf numFmtId="2" fontId="17" fillId="16" borderId="45" xfId="2" applyNumberFormat="1" applyFont="1" applyFill="1" applyBorder="1" applyAlignment="1">
      <alignment horizontal="center" vertical="center"/>
    </xf>
    <xf numFmtId="0" fontId="19" fillId="16" borderId="46" xfId="0" applyFont="1" applyFill="1" applyBorder="1" applyAlignment="1">
      <alignment horizontal="left" vertical="center"/>
    </xf>
    <xf numFmtId="0" fontId="19" fillId="16" borderId="46" xfId="0" applyFont="1" applyFill="1" applyBorder="1" applyAlignment="1">
      <alignment horizontal="center" vertical="center"/>
    </xf>
    <xf numFmtId="0" fontId="19" fillId="16" borderId="11" xfId="0" applyFont="1" applyFill="1" applyBorder="1" applyAlignment="1">
      <alignment horizontal="justify" vertical="center"/>
    </xf>
    <xf numFmtId="0" fontId="19" fillId="16" borderId="12" xfId="0" applyFont="1" applyFill="1" applyBorder="1" applyAlignment="1">
      <alignment horizontal="center" vertical="center"/>
    </xf>
    <xf numFmtId="4" fontId="19" fillId="16" borderId="28" xfId="0" applyNumberFormat="1" applyFont="1" applyFill="1" applyBorder="1" applyAlignment="1">
      <alignment horizontal="center" vertical="center"/>
    </xf>
    <xf numFmtId="0" fontId="6" fillId="0" borderId="0" xfId="0" applyFont="1"/>
    <xf numFmtId="0" fontId="24" fillId="16" borderId="32" xfId="0" applyFont="1" applyFill="1" applyBorder="1" applyAlignment="1">
      <alignment horizontal="right" vertical="center" wrapText="1"/>
    </xf>
    <xf numFmtId="0" fontId="24" fillId="16" borderId="32" xfId="0" applyFont="1" applyFill="1" applyBorder="1" applyAlignment="1">
      <alignment horizontal="right" vertical="center"/>
    </xf>
    <xf numFmtId="0" fontId="19" fillId="16" borderId="50" xfId="0" applyFont="1" applyFill="1" applyBorder="1" applyAlignment="1">
      <alignment horizontal="left" vertical="center"/>
    </xf>
    <xf numFmtId="0" fontId="19" fillId="16" borderId="50" xfId="0" applyFont="1" applyFill="1" applyBorder="1" applyAlignment="1">
      <alignment vertical="center"/>
    </xf>
    <xf numFmtId="4" fontId="19" fillId="16" borderId="32" xfId="0" applyNumberFormat="1" applyFont="1" applyFill="1" applyBorder="1" applyAlignment="1">
      <alignment horizontal="center" vertical="center"/>
    </xf>
    <xf numFmtId="4" fontId="17" fillId="16" borderId="39" xfId="0" applyNumberFormat="1" applyFont="1" applyFill="1" applyBorder="1" applyAlignment="1">
      <alignment horizontal="center" vertical="center" wrapText="1"/>
    </xf>
    <xf numFmtId="4" fontId="23" fillId="16" borderId="39" xfId="0" applyNumberFormat="1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6" borderId="41" xfId="0" applyFont="1" applyFill="1" applyBorder="1" applyAlignment="1">
      <alignment vertical="center"/>
    </xf>
    <xf numFmtId="0" fontId="24" fillId="16" borderId="29" xfId="0" applyFont="1" applyFill="1" applyBorder="1" applyAlignment="1">
      <alignment horizontal="right" vertical="center" wrapText="1"/>
    </xf>
    <xf numFmtId="4" fontId="17" fillId="16" borderId="53" xfId="0" applyNumberFormat="1" applyFont="1" applyFill="1" applyBorder="1" applyAlignment="1">
      <alignment horizontal="center" vertical="center"/>
    </xf>
    <xf numFmtId="0" fontId="19" fillId="16" borderId="43" xfId="0" applyFont="1" applyFill="1" applyBorder="1" applyAlignment="1">
      <alignment horizontal="center" vertical="center"/>
    </xf>
    <xf numFmtId="2" fontId="19" fillId="16" borderId="44" xfId="0" applyNumberFormat="1" applyFont="1" applyFill="1" applyBorder="1" applyAlignment="1">
      <alignment horizontal="center" vertical="center"/>
    </xf>
    <xf numFmtId="4" fontId="19" fillId="16" borderId="39" xfId="0" applyNumberFormat="1" applyFont="1" applyFill="1" applyBorder="1" applyAlignment="1">
      <alignment horizontal="center" vertical="center"/>
    </xf>
    <xf numFmtId="2" fontId="19" fillId="16" borderId="32" xfId="0" applyNumberFormat="1" applyFont="1" applyFill="1" applyBorder="1" applyAlignment="1">
      <alignment horizontal="center" vertical="center"/>
    </xf>
    <xf numFmtId="4" fontId="19" fillId="16" borderId="30" xfId="0" applyNumberFormat="1" applyFont="1" applyFill="1" applyBorder="1" applyAlignment="1">
      <alignment horizontal="center" vertical="center"/>
    </xf>
    <xf numFmtId="4" fontId="19" fillId="16" borderId="36" xfId="0" applyNumberFormat="1" applyFont="1" applyFill="1" applyBorder="1" applyAlignment="1">
      <alignment horizontal="center" vertical="center"/>
    </xf>
    <xf numFmtId="4" fontId="19" fillId="16" borderId="33" xfId="0" applyNumberFormat="1" applyFont="1" applyFill="1" applyBorder="1" applyAlignment="1">
      <alignment horizontal="center" vertical="center"/>
    </xf>
    <xf numFmtId="4" fontId="19" fillId="16" borderId="51" xfId="0" applyNumberFormat="1" applyFont="1" applyFill="1" applyBorder="1" applyAlignment="1">
      <alignment horizontal="center" vertical="center"/>
    </xf>
    <xf numFmtId="4" fontId="19" fillId="16" borderId="52" xfId="0" applyNumberFormat="1" applyFont="1" applyFill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44" fontId="10" fillId="15" borderId="19" xfId="0" applyNumberFormat="1" applyFont="1" applyFill="1" applyBorder="1" applyAlignment="1">
      <alignment vertical="center"/>
    </xf>
    <xf numFmtId="44" fontId="10" fillId="15" borderId="17" xfId="0" applyNumberFormat="1" applyFont="1" applyFill="1" applyBorder="1" applyAlignment="1">
      <alignment vertical="center"/>
    </xf>
    <xf numFmtId="44" fontId="10" fillId="15" borderId="18" xfId="0" applyNumberFormat="1" applyFont="1" applyFill="1" applyBorder="1" applyAlignment="1">
      <alignment horizontal="left" vertical="center"/>
    </xf>
    <xf numFmtId="169" fontId="10" fillId="15" borderId="18" xfId="2" applyNumberFormat="1" applyFont="1" applyFill="1" applyBorder="1" applyAlignment="1">
      <alignment vertical="center"/>
    </xf>
    <xf numFmtId="169" fontId="10" fillId="15" borderId="19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right" vertical="center"/>
    </xf>
    <xf numFmtId="0" fontId="25" fillId="16" borderId="32" xfId="0" applyFont="1" applyFill="1" applyBorder="1" applyAlignment="1">
      <alignment horizontal="right" vertical="center" wrapText="1"/>
    </xf>
    <xf numFmtId="0" fontId="12" fillId="14" borderId="54" xfId="0" applyFont="1" applyFill="1" applyBorder="1" applyAlignment="1">
      <alignment vertical="center"/>
    </xf>
    <xf numFmtId="0" fontId="15" fillId="15" borderId="4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vertical="center"/>
    </xf>
    <xf numFmtId="0" fontId="15" fillId="15" borderId="31" xfId="0" applyFont="1" applyFill="1" applyBorder="1" applyAlignment="1">
      <alignment horizontal="center" vertical="center" wrapText="1"/>
    </xf>
    <xf numFmtId="0" fontId="0" fillId="0" borderId="45" xfId="0" applyBorder="1" applyAlignment="1">
      <alignment vertical="center"/>
    </xf>
    <xf numFmtId="165" fontId="14" fillId="15" borderId="39" xfId="1" applyFont="1" applyFill="1" applyBorder="1" applyAlignment="1" applyProtection="1">
      <alignment horizontal="center" vertical="center" wrapText="1"/>
    </xf>
    <xf numFmtId="2" fontId="23" fillId="16" borderId="43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center" vertical="center" wrapText="1"/>
    </xf>
    <xf numFmtId="0" fontId="26" fillId="16" borderId="32" xfId="0" applyFont="1" applyFill="1" applyBorder="1" applyAlignment="1">
      <alignment horizontal="center" vertical="center" wrapText="1"/>
    </xf>
    <xf numFmtId="170" fontId="17" fillId="16" borderId="39" xfId="0" applyNumberFormat="1" applyFont="1" applyFill="1" applyBorder="1" applyAlignment="1">
      <alignment horizontal="center" vertical="center"/>
    </xf>
    <xf numFmtId="171" fontId="17" fillId="16" borderId="39" xfId="0" applyNumberFormat="1" applyFont="1" applyFill="1" applyBorder="1" applyAlignment="1">
      <alignment horizontal="center" vertical="center"/>
    </xf>
    <xf numFmtId="4" fontId="17" fillId="16" borderId="44" xfId="0" applyNumberFormat="1" applyFont="1" applyFill="1" applyBorder="1" applyAlignment="1">
      <alignment horizontal="center" vertical="center" wrapText="1"/>
    </xf>
    <xf numFmtId="2" fontId="23" fillId="16" borderId="31" xfId="0" applyNumberFormat="1" applyFont="1" applyFill="1" applyBorder="1" applyAlignment="1">
      <alignment horizontal="center" vertical="center" wrapText="1"/>
    </xf>
    <xf numFmtId="170" fontId="17" fillId="16" borderId="44" xfId="0" applyNumberFormat="1" applyFont="1" applyFill="1" applyBorder="1" applyAlignment="1">
      <alignment horizontal="center" vertical="center"/>
    </xf>
    <xf numFmtId="0" fontId="29" fillId="16" borderId="32" xfId="0" applyFont="1" applyFill="1" applyBorder="1" applyAlignment="1">
      <alignment horizontal="center" vertical="center"/>
    </xf>
    <xf numFmtId="4" fontId="17" fillId="16" borderId="1" xfId="0" applyNumberFormat="1" applyFont="1" applyFill="1" applyBorder="1" applyAlignment="1">
      <alignment horizontal="center" vertical="center"/>
    </xf>
    <xf numFmtId="2" fontId="17" fillId="16" borderId="1" xfId="2" applyNumberFormat="1" applyFont="1" applyFill="1" applyBorder="1" applyAlignment="1">
      <alignment horizontal="center" vertical="center"/>
    </xf>
    <xf numFmtId="0" fontId="30" fillId="0" borderId="0" xfId="0" applyFont="1"/>
    <xf numFmtId="0" fontId="31" fillId="0" borderId="0" xfId="0" applyFont="1"/>
    <xf numFmtId="2" fontId="23" fillId="18" borderId="31" xfId="0" applyNumberFormat="1" applyFont="1" applyFill="1" applyBorder="1" applyAlignment="1">
      <alignment horizontal="center" vertical="center"/>
    </xf>
    <xf numFmtId="0" fontId="19" fillId="16" borderId="40" xfId="0" applyFont="1" applyFill="1" applyBorder="1" applyAlignment="1">
      <alignment horizontal="center" vertical="top"/>
    </xf>
    <xf numFmtId="0" fontId="0" fillId="16" borderId="0" xfId="0" applyFill="1"/>
    <xf numFmtId="0" fontId="30" fillId="16" borderId="0" xfId="0" applyFont="1" applyFill="1"/>
    <xf numFmtId="0" fontId="31" fillId="16" borderId="0" xfId="0" applyFont="1" applyFill="1"/>
    <xf numFmtId="0" fontId="12" fillId="16" borderId="32" xfId="0" applyFont="1" applyFill="1" applyBorder="1" applyAlignment="1">
      <alignment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0" fontId="16" fillId="16" borderId="40" xfId="0" applyFont="1" applyFill="1" applyBorder="1" applyAlignment="1">
      <alignment horizontal="left" vertical="center" shrinkToFit="1"/>
    </xf>
    <xf numFmtId="0" fontId="12" fillId="16" borderId="40" xfId="0" applyFont="1" applyFill="1" applyBorder="1" applyAlignment="1">
      <alignment vertical="center"/>
    </xf>
    <xf numFmtId="0" fontId="12" fillId="16" borderId="43" xfId="0" applyFont="1" applyFill="1" applyBorder="1" applyAlignment="1">
      <alignment vertical="center"/>
    </xf>
    <xf numFmtId="0" fontId="12" fillId="16" borderId="54" xfId="0" applyFont="1" applyFill="1" applyBorder="1" applyAlignment="1">
      <alignment vertical="center"/>
    </xf>
    <xf numFmtId="0" fontId="12" fillId="16" borderId="12" xfId="0" applyFont="1" applyFill="1" applyBorder="1" applyAlignment="1">
      <alignment vertical="center"/>
    </xf>
    <xf numFmtId="0" fontId="0" fillId="16" borderId="45" xfId="0" applyFill="1" applyBorder="1" applyAlignment="1">
      <alignment vertical="center"/>
    </xf>
    <xf numFmtId="164" fontId="0" fillId="16" borderId="32" xfId="2" applyFont="1" applyFill="1" applyBorder="1" applyAlignment="1">
      <alignment vertical="center"/>
    </xf>
    <xf numFmtId="164" fontId="6" fillId="16" borderId="31" xfId="2" applyFont="1" applyFill="1" applyBorder="1" applyAlignment="1">
      <alignment vertical="center"/>
    </xf>
    <xf numFmtId="164" fontId="0" fillId="16" borderId="39" xfId="2" applyFont="1" applyFill="1" applyBorder="1" applyAlignment="1">
      <alignment vertical="center"/>
    </xf>
    <xf numFmtId="4" fontId="12" fillId="16" borderId="44" xfId="0" applyNumberFormat="1" applyFont="1" applyFill="1" applyBorder="1" applyAlignment="1">
      <alignment vertical="center"/>
    </xf>
    <xf numFmtId="0" fontId="19" fillId="16" borderId="31" xfId="0" applyFont="1" applyFill="1" applyBorder="1" applyAlignment="1">
      <alignment vertical="center"/>
    </xf>
    <xf numFmtId="0" fontId="0" fillId="16" borderId="39" xfId="0" applyFill="1" applyBorder="1" applyAlignment="1">
      <alignment vertical="center"/>
    </xf>
    <xf numFmtId="0" fontId="16" fillId="16" borderId="31" xfId="2" applyNumberFormat="1" applyFont="1" applyFill="1" applyBorder="1" applyAlignment="1">
      <alignment horizontal="center" vertical="center"/>
    </xf>
    <xf numFmtId="2" fontId="16" fillId="16" borderId="32" xfId="2" applyNumberFormat="1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9" fillId="16" borderId="34" xfId="0" applyFont="1" applyFill="1" applyBorder="1" applyAlignment="1">
      <alignment horizontal="justify" vertical="center"/>
    </xf>
    <xf numFmtId="0" fontId="19" fillId="16" borderId="33" xfId="0" applyFont="1" applyFill="1" applyBorder="1" applyAlignment="1">
      <alignment horizontal="center" vertical="center"/>
    </xf>
    <xf numFmtId="4" fontId="19" fillId="16" borderId="37" xfId="0" applyNumberFormat="1" applyFont="1" applyFill="1" applyBorder="1" applyAlignment="1">
      <alignment horizontal="center" vertical="center"/>
    </xf>
    <xf numFmtId="4" fontId="19" fillId="16" borderId="34" xfId="0" applyNumberFormat="1" applyFont="1" applyFill="1" applyBorder="1" applyAlignment="1">
      <alignment horizontal="center" vertical="center"/>
    </xf>
    <xf numFmtId="0" fontId="0" fillId="16" borderId="32" xfId="0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top"/>
    </xf>
    <xf numFmtId="164" fontId="0" fillId="16" borderId="31" xfId="2" applyFont="1" applyFill="1" applyBorder="1" applyAlignment="1">
      <alignment vertical="center"/>
    </xf>
    <xf numFmtId="0" fontId="6" fillId="16" borderId="0" xfId="0" applyFont="1" applyFill="1" applyAlignment="1">
      <alignment horizontal="center"/>
    </xf>
    <xf numFmtId="0" fontId="6" fillId="16" borderId="0" xfId="0" applyFont="1" applyFill="1"/>
    <xf numFmtId="0" fontId="18" fillId="16" borderId="40" xfId="0" applyFont="1" applyFill="1" applyBorder="1" applyAlignment="1">
      <alignment horizontal="left" vertical="center" shrinkToFit="1"/>
    </xf>
    <xf numFmtId="0" fontId="18" fillId="16" borderId="40" xfId="0" applyFont="1" applyFill="1" applyBorder="1" applyAlignment="1">
      <alignment vertical="center"/>
    </xf>
    <xf numFmtId="0" fontId="18" fillId="16" borderId="32" xfId="0" applyFont="1" applyFill="1" applyBorder="1" applyAlignment="1">
      <alignment vertical="center"/>
    </xf>
    <xf numFmtId="0" fontId="18" fillId="16" borderId="31" xfId="0" applyFont="1" applyFill="1" applyBorder="1" applyAlignment="1">
      <alignment vertical="center"/>
    </xf>
    <xf numFmtId="0" fontId="0" fillId="16" borderId="31" xfId="0" applyFill="1" applyBorder="1" applyAlignment="1">
      <alignment vertical="center"/>
    </xf>
    <xf numFmtId="4" fontId="18" fillId="16" borderId="31" xfId="0" applyNumberFormat="1" applyFont="1" applyFill="1" applyBorder="1" applyAlignment="1">
      <alignment vertical="center"/>
    </xf>
    <xf numFmtId="0" fontId="23" fillId="16" borderId="40" xfId="0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center" vertical="center"/>
    </xf>
    <xf numFmtId="0" fontId="23" fillId="16" borderId="32" xfId="0" applyFont="1" applyFill="1" applyBorder="1" applyAlignment="1">
      <alignment horizontal="justify" vertical="center"/>
    </xf>
    <xf numFmtId="4" fontId="23" fillId="16" borderId="31" xfId="0" applyNumberFormat="1" applyFont="1" applyFill="1" applyBorder="1" applyAlignment="1">
      <alignment horizontal="center" vertical="center"/>
    </xf>
    <xf numFmtId="4" fontId="18" fillId="16" borderId="31" xfId="0" applyNumberFormat="1" applyFont="1" applyFill="1" applyBorder="1" applyAlignment="1">
      <alignment horizontal="center" vertical="center"/>
    </xf>
    <xf numFmtId="164" fontId="18" fillId="16" borderId="31" xfId="2" applyFont="1" applyFill="1" applyBorder="1" applyAlignment="1">
      <alignment horizontal="center" vertical="center"/>
    </xf>
    <xf numFmtId="164" fontId="23" fillId="16" borderId="31" xfId="2" applyFont="1" applyFill="1" applyBorder="1" applyAlignment="1">
      <alignment horizontal="center" vertical="center"/>
    </xf>
    <xf numFmtId="164" fontId="23" fillId="16" borderId="39" xfId="2" applyFont="1" applyFill="1" applyBorder="1" applyAlignment="1">
      <alignment horizontal="center" vertical="center"/>
    </xf>
    <xf numFmtId="0" fontId="23" fillId="16" borderId="40" xfId="0" applyFont="1" applyFill="1" applyBorder="1" applyAlignment="1">
      <alignment horizontal="center" vertical="center"/>
    </xf>
    <xf numFmtId="0" fontId="18" fillId="16" borderId="40" xfId="0" applyFont="1" applyFill="1" applyBorder="1" applyAlignment="1">
      <alignment horizontal="left" vertical="center"/>
    </xf>
    <xf numFmtId="2" fontId="18" fillId="16" borderId="40" xfId="0" applyNumberFormat="1" applyFont="1" applyFill="1" applyBorder="1" applyAlignment="1">
      <alignment horizontal="left" vertical="center"/>
    </xf>
    <xf numFmtId="2" fontId="23" fillId="16" borderId="40" xfId="0" applyNumberFormat="1" applyFont="1" applyFill="1" applyBorder="1" applyAlignment="1">
      <alignment horizontal="left" vertical="center"/>
    </xf>
    <xf numFmtId="0" fontId="23" fillId="16" borderId="32" xfId="0" applyFont="1" applyFill="1" applyBorder="1" applyAlignment="1">
      <alignment vertical="center" wrapText="1"/>
    </xf>
    <xf numFmtId="0" fontId="18" fillId="16" borderId="31" xfId="0" applyFont="1" applyFill="1" applyBorder="1" applyAlignment="1">
      <alignment horizontal="center" vertical="center"/>
    </xf>
    <xf numFmtId="0" fontId="23" fillId="16" borderId="31" xfId="0" applyFont="1" applyFill="1" applyBorder="1" applyAlignment="1">
      <alignment horizontal="center" vertical="center"/>
    </xf>
    <xf numFmtId="2" fontId="18" fillId="16" borderId="40" xfId="0" applyNumberFormat="1" applyFont="1" applyFill="1" applyBorder="1" applyAlignment="1">
      <alignment horizontal="center" vertical="center"/>
    </xf>
    <xf numFmtId="0" fontId="23" fillId="16" borderId="41" xfId="0" applyFont="1" applyFill="1" applyBorder="1" applyAlignment="1">
      <alignment horizontal="left" vertical="center"/>
    </xf>
    <xf numFmtId="2" fontId="23" fillId="16" borderId="41" xfId="0" applyNumberFormat="1" applyFont="1" applyFill="1" applyBorder="1" applyAlignment="1">
      <alignment horizontal="center" vertical="center"/>
    </xf>
    <xf numFmtId="0" fontId="23" fillId="16" borderId="29" xfId="0" applyFont="1" applyFill="1" applyBorder="1" applyAlignment="1">
      <alignment horizontal="justify" vertical="center"/>
    </xf>
    <xf numFmtId="0" fontId="23" fillId="16" borderId="28" xfId="0" applyFont="1" applyFill="1" applyBorder="1" applyAlignment="1">
      <alignment horizontal="center" vertical="center"/>
    </xf>
    <xf numFmtId="4" fontId="23" fillId="16" borderId="28" xfId="0" applyNumberFormat="1" applyFont="1" applyFill="1" applyBorder="1" applyAlignment="1">
      <alignment horizontal="center" vertical="center"/>
    </xf>
    <xf numFmtId="4" fontId="18" fillId="16" borderId="28" xfId="0" applyNumberFormat="1" applyFont="1" applyFill="1" applyBorder="1" applyAlignment="1">
      <alignment horizontal="center" vertical="center"/>
    </xf>
    <xf numFmtId="2" fontId="18" fillId="16" borderId="28" xfId="0" applyNumberFormat="1" applyFont="1" applyFill="1" applyBorder="1" applyAlignment="1">
      <alignment horizontal="center" vertical="center"/>
    </xf>
    <xf numFmtId="4" fontId="23" fillId="16" borderId="33" xfId="0" applyNumberFormat="1" applyFont="1" applyFill="1" applyBorder="1" applyAlignment="1">
      <alignment horizontal="center" vertical="center"/>
    </xf>
    <xf numFmtId="164" fontId="18" fillId="16" borderId="33" xfId="2" applyFont="1" applyFill="1" applyBorder="1" applyAlignment="1">
      <alignment horizontal="center" vertical="center"/>
    </xf>
    <xf numFmtId="164" fontId="23" fillId="16" borderId="33" xfId="2" applyFont="1" applyFill="1" applyBorder="1" applyAlignment="1">
      <alignment horizontal="center" vertical="center"/>
    </xf>
    <xf numFmtId="164" fontId="23" fillId="16" borderId="38" xfId="2" applyFont="1" applyFill="1" applyBorder="1" applyAlignment="1">
      <alignment horizontal="center" vertical="center"/>
    </xf>
    <xf numFmtId="0" fontId="0" fillId="16" borderId="0" xfId="0" applyFill="1" applyAlignment="1">
      <alignment horizontal="center"/>
    </xf>
    <xf numFmtId="0" fontId="0" fillId="16" borderId="7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169" fontId="18" fillId="16" borderId="42" xfId="2" applyNumberFormat="1" applyFont="1" applyFill="1" applyBorder="1" applyAlignment="1">
      <alignment horizontal="center" vertical="center"/>
    </xf>
    <xf numFmtId="0" fontId="0" fillId="16" borderId="15" xfId="0" applyFill="1" applyBorder="1"/>
    <xf numFmtId="2" fontId="19" fillId="16" borderId="50" xfId="0" applyNumberFormat="1" applyFont="1" applyFill="1" applyBorder="1" applyAlignment="1">
      <alignment horizontal="center" vertical="center"/>
    </xf>
    <xf numFmtId="2" fontId="17" fillId="16" borderId="33" xfId="2" applyNumberFormat="1" applyFont="1" applyFill="1" applyBorder="1" applyAlignment="1">
      <alignment horizontal="center" vertical="center"/>
    </xf>
    <xf numFmtId="2" fontId="17" fillId="16" borderId="38" xfId="2" applyNumberFormat="1" applyFont="1" applyFill="1" applyBorder="1" applyAlignment="1">
      <alignment horizontal="center" vertical="center"/>
    </xf>
    <xf numFmtId="0" fontId="0" fillId="0" borderId="31" xfId="0" applyBorder="1"/>
    <xf numFmtId="0" fontId="23" fillId="0" borderId="31" xfId="0" applyFont="1" applyBorder="1"/>
    <xf numFmtId="2" fontId="12" fillId="19" borderId="31" xfId="2" applyNumberFormat="1" applyFont="1" applyFill="1" applyBorder="1" applyAlignment="1">
      <alignment horizontal="right" vertical="center"/>
    </xf>
    <xf numFmtId="0" fontId="25" fillId="0" borderId="32" xfId="0" applyFont="1" applyBorder="1" applyAlignment="1">
      <alignment horizontal="right" vertical="center" wrapText="1"/>
    </xf>
    <xf numFmtId="4" fontId="17" fillId="0" borderId="31" xfId="0" applyNumberFormat="1" applyFont="1" applyBorder="1" applyAlignment="1">
      <alignment horizontal="center" vertical="center"/>
    </xf>
    <xf numFmtId="4" fontId="17" fillId="0" borderId="43" xfId="0" applyNumberFormat="1" applyFont="1" applyBorder="1" applyAlignment="1">
      <alignment horizontal="center" vertical="center"/>
    </xf>
    <xf numFmtId="4" fontId="17" fillId="0" borderId="44" xfId="0" applyNumberFormat="1" applyFont="1" applyBorder="1" applyAlignment="1">
      <alignment horizontal="center" vertical="center"/>
    </xf>
    <xf numFmtId="2" fontId="23" fillId="0" borderId="31" xfId="0" applyNumberFormat="1" applyFont="1" applyBorder="1" applyAlignment="1">
      <alignment horizontal="center" vertical="center"/>
    </xf>
    <xf numFmtId="4" fontId="17" fillId="0" borderId="39" xfId="0" applyNumberFormat="1" applyFont="1" applyBorder="1" applyAlignment="1">
      <alignment horizontal="center" vertical="center"/>
    </xf>
    <xf numFmtId="0" fontId="17" fillId="0" borderId="40" xfId="0" applyFont="1" applyBorder="1" applyAlignment="1">
      <alignment horizontal="left" vertical="center"/>
    </xf>
    <xf numFmtId="0" fontId="17" fillId="0" borderId="40" xfId="0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2" fontId="16" fillId="0" borderId="31" xfId="2" applyNumberFormat="1" applyFont="1" applyFill="1" applyBorder="1" applyAlignment="1">
      <alignment horizontal="center" vertical="center"/>
    </xf>
    <xf numFmtId="2" fontId="17" fillId="0" borderId="31" xfId="2" applyNumberFormat="1" applyFont="1" applyFill="1" applyBorder="1" applyAlignment="1">
      <alignment horizontal="center" vertical="center"/>
    </xf>
    <xf numFmtId="2" fontId="17" fillId="0" borderId="39" xfId="2" applyNumberFormat="1" applyFont="1" applyFill="1" applyBorder="1" applyAlignment="1">
      <alignment horizontal="center" vertical="center"/>
    </xf>
    <xf numFmtId="4" fontId="17" fillId="16" borderId="11" xfId="0" applyNumberFormat="1" applyFont="1" applyFill="1" applyBorder="1" applyAlignment="1">
      <alignment horizontal="center" vertical="center"/>
    </xf>
    <xf numFmtId="4" fontId="17" fillId="16" borderId="34" xfId="0" applyNumberFormat="1" applyFont="1" applyFill="1" applyBorder="1" applyAlignment="1">
      <alignment horizontal="center" vertical="center"/>
    </xf>
    <xf numFmtId="0" fontId="0" fillId="0" borderId="32" xfId="0" applyBorder="1"/>
    <xf numFmtId="4" fontId="17" fillId="16" borderId="45" xfId="0" applyNumberFormat="1" applyFont="1" applyFill="1" applyBorder="1" applyAlignment="1">
      <alignment horizontal="center" vertical="center"/>
    </xf>
    <xf numFmtId="4" fontId="17" fillId="16" borderId="38" xfId="0" applyNumberFormat="1" applyFont="1" applyFill="1" applyBorder="1" applyAlignment="1">
      <alignment horizontal="center" vertical="center"/>
    </xf>
    <xf numFmtId="0" fontId="0" fillId="0" borderId="39" xfId="0" applyBorder="1"/>
    <xf numFmtId="4" fontId="19" fillId="16" borderId="39" xfId="0" applyNumberFormat="1" applyFont="1" applyFill="1" applyBorder="1" applyAlignment="1">
      <alignment horizontal="right" vertical="center"/>
    </xf>
    <xf numFmtId="4" fontId="19" fillId="16" borderId="38" xfId="0" applyNumberFormat="1" applyFont="1" applyFill="1" applyBorder="1" applyAlignment="1">
      <alignment horizontal="right" vertical="center"/>
    </xf>
    <xf numFmtId="2" fontId="23" fillId="0" borderId="39" xfId="0" applyNumberFormat="1" applyFont="1" applyBorder="1"/>
    <xf numFmtId="0" fontId="19" fillId="16" borderId="32" xfId="0" applyFont="1" applyFill="1" applyBorder="1" applyAlignment="1">
      <alignment horizontal="left" vertical="center" wrapText="1"/>
    </xf>
    <xf numFmtId="0" fontId="19" fillId="16" borderId="32" xfId="0" applyFont="1" applyFill="1" applyBorder="1" applyAlignment="1">
      <alignment vertical="center"/>
    </xf>
    <xf numFmtId="0" fontId="19" fillId="16" borderId="49" xfId="0" applyFont="1" applyFill="1" applyBorder="1" applyAlignment="1">
      <alignment vertical="center"/>
    </xf>
    <xf numFmtId="0" fontId="19" fillId="16" borderId="49" xfId="0" applyFont="1" applyFill="1" applyBorder="1" applyAlignment="1">
      <alignment horizontal="left" vertical="center"/>
    </xf>
    <xf numFmtId="0" fontId="0" fillId="0" borderId="40" xfId="0" applyBorder="1"/>
    <xf numFmtId="0" fontId="24" fillId="16" borderId="44" xfId="0" applyFont="1" applyFill="1" applyBorder="1" applyAlignment="1">
      <alignment horizontal="right" vertical="center" wrapText="1"/>
    </xf>
    <xf numFmtId="2" fontId="12" fillId="16" borderId="31" xfId="2" applyNumberFormat="1" applyFont="1" applyFill="1" applyBorder="1" applyAlignment="1">
      <alignment horizontal="center" vertical="center"/>
    </xf>
    <xf numFmtId="4" fontId="19" fillId="16" borderId="11" xfId="0" applyNumberFormat="1" applyFont="1" applyFill="1" applyBorder="1" applyAlignment="1">
      <alignment horizontal="center" vertical="center"/>
    </xf>
    <xf numFmtId="4" fontId="19" fillId="16" borderId="12" xfId="0" applyNumberFormat="1" applyFont="1" applyFill="1" applyBorder="1" applyAlignment="1">
      <alignment horizontal="center" vertical="center"/>
    </xf>
    <xf numFmtId="4" fontId="12" fillId="16" borderId="31" xfId="0" applyNumberFormat="1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9" xfId="0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31" xfId="0" applyFont="1" applyBorder="1" applyAlignment="1">
      <alignment horizontal="center" wrapText="1"/>
    </xf>
    <xf numFmtId="0" fontId="23" fillId="0" borderId="31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2" fontId="34" fillId="0" borderId="31" xfId="0" applyNumberFormat="1" applyFont="1" applyBorder="1" applyAlignment="1">
      <alignment horizontal="center" vertical="center"/>
    </xf>
    <xf numFmtId="0" fontId="23" fillId="0" borderId="31" xfId="0" applyFont="1" applyBorder="1" applyAlignment="1">
      <alignment horizontal="left" vertical="center"/>
    </xf>
    <xf numFmtId="164" fontId="30" fillId="0" borderId="0" xfId="2" applyFont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0" fontId="19" fillId="0" borderId="32" xfId="0" applyFont="1" applyBorder="1" applyAlignment="1">
      <alignment horizontal="justify" vertical="center"/>
    </xf>
    <xf numFmtId="0" fontId="1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left" vertical="center" wrapText="1"/>
    </xf>
    <xf numFmtId="4" fontId="17" fillId="0" borderId="39" xfId="0" applyNumberFormat="1" applyFont="1" applyBorder="1" applyAlignment="1">
      <alignment horizontal="center" vertical="center" wrapText="1"/>
    </xf>
    <xf numFmtId="2" fontId="33" fillId="0" borderId="31" xfId="0" applyNumberFormat="1" applyFont="1" applyBorder="1" applyAlignment="1">
      <alignment horizontal="left" vertical="center" wrapText="1"/>
    </xf>
    <xf numFmtId="4" fontId="19" fillId="0" borderId="31" xfId="0" applyNumberFormat="1" applyFont="1" applyBorder="1" applyAlignment="1">
      <alignment horizontal="center" vertical="center"/>
    </xf>
    <xf numFmtId="4" fontId="19" fillId="0" borderId="43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25" fillId="16" borderId="32" xfId="0" applyFont="1" applyFill="1" applyBorder="1" applyAlignment="1">
      <alignment vertical="center"/>
    </xf>
    <xf numFmtId="0" fontId="25" fillId="16" borderId="32" xfId="0" applyFont="1" applyFill="1" applyBorder="1" applyAlignment="1">
      <alignment horizontal="justify" vertical="center"/>
    </xf>
    <xf numFmtId="0" fontId="23" fillId="0" borderId="0" xfId="0" applyFont="1" applyAlignment="1">
      <alignment horizontal="center"/>
    </xf>
    <xf numFmtId="0" fontId="17" fillId="16" borderId="1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left" vertical="top" wrapText="1" indent="6"/>
    </xf>
    <xf numFmtId="1" fontId="17" fillId="0" borderId="59" xfId="0" applyNumberFormat="1" applyFont="1" applyBorder="1" applyAlignment="1">
      <alignment horizontal="center" vertical="top" shrinkToFit="1"/>
    </xf>
    <xf numFmtId="172" fontId="17" fillId="0" borderId="58" xfId="0" applyNumberFormat="1" applyFont="1" applyBorder="1" applyAlignment="1">
      <alignment horizontal="center" vertical="top" shrinkToFit="1"/>
    </xf>
    <xf numFmtId="1" fontId="17" fillId="0" borderId="60" xfId="0" applyNumberFormat="1" applyFont="1" applyBorder="1" applyAlignment="1">
      <alignment horizontal="center" vertical="top" shrinkToFit="1"/>
    </xf>
    <xf numFmtId="1" fontId="17" fillId="0" borderId="58" xfId="0" applyNumberFormat="1" applyFont="1" applyBorder="1" applyAlignment="1">
      <alignment horizontal="center" vertical="top" shrinkToFit="1"/>
    </xf>
    <xf numFmtId="0" fontId="24" fillId="16" borderId="2" xfId="0" applyFont="1" applyFill="1" applyBorder="1" applyAlignment="1">
      <alignment horizontal="left" vertical="top" wrapText="1" indent="6"/>
    </xf>
    <xf numFmtId="1" fontId="17" fillId="16" borderId="60" xfId="0" applyNumberFormat="1" applyFont="1" applyFill="1" applyBorder="1" applyAlignment="1">
      <alignment horizontal="center" vertical="top" shrinkToFit="1"/>
    </xf>
    <xf numFmtId="172" fontId="17" fillId="16" borderId="58" xfId="0" applyNumberFormat="1" applyFont="1" applyFill="1" applyBorder="1" applyAlignment="1">
      <alignment horizontal="center" vertical="top" shrinkToFit="1"/>
    </xf>
    <xf numFmtId="2" fontId="17" fillId="16" borderId="58" xfId="0" applyNumberFormat="1" applyFont="1" applyFill="1" applyBorder="1" applyAlignment="1">
      <alignment horizontal="center" vertical="top" shrinkToFit="1"/>
    </xf>
    <xf numFmtId="1" fontId="17" fillId="16" borderId="58" xfId="0" applyNumberFormat="1" applyFont="1" applyFill="1" applyBorder="1" applyAlignment="1">
      <alignment horizontal="center" vertical="top" shrinkToFit="1"/>
    </xf>
    <xf numFmtId="4" fontId="17" fillId="16" borderId="61" xfId="0" applyNumberFormat="1" applyFont="1" applyFill="1" applyBorder="1" applyAlignment="1">
      <alignment horizontal="center" vertical="center"/>
    </xf>
    <xf numFmtId="0" fontId="25" fillId="16" borderId="11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7" fillId="16" borderId="39" xfId="0" applyFont="1" applyFill="1" applyBorder="1" applyAlignment="1">
      <alignment horizontal="center" vertical="center"/>
    </xf>
    <xf numFmtId="2" fontId="19" fillId="16" borderId="39" xfId="0" applyNumberFormat="1" applyFont="1" applyFill="1" applyBorder="1" applyAlignment="1">
      <alignment horizontal="center" vertical="center"/>
    </xf>
    <xf numFmtId="0" fontId="19" fillId="16" borderId="39" xfId="0" applyFont="1" applyFill="1" applyBorder="1" applyAlignment="1">
      <alignment horizontal="center" vertical="center"/>
    </xf>
    <xf numFmtId="4" fontId="19" fillId="16" borderId="62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justify" vertical="center"/>
    </xf>
    <xf numFmtId="4" fontId="19" fillId="16" borderId="49" xfId="0" applyNumberFormat="1" applyFont="1" applyFill="1" applyBorder="1" applyAlignment="1">
      <alignment horizontal="center" vertical="center"/>
    </xf>
    <xf numFmtId="2" fontId="12" fillId="16" borderId="31" xfId="2" applyNumberFormat="1" applyFont="1" applyFill="1" applyBorder="1" applyAlignment="1">
      <alignment horizontal="right" vertical="center"/>
    </xf>
    <xf numFmtId="4" fontId="17" fillId="16" borderId="49" xfId="0" applyNumberFormat="1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center" vertical="center"/>
    </xf>
    <xf numFmtId="4" fontId="17" fillId="16" borderId="55" xfId="0" applyNumberFormat="1" applyFont="1" applyFill="1" applyBorder="1" applyAlignment="1">
      <alignment horizontal="center" vertical="center"/>
    </xf>
    <xf numFmtId="4" fontId="17" fillId="16" borderId="57" xfId="0" applyNumberFormat="1" applyFont="1" applyFill="1" applyBorder="1" applyAlignment="1">
      <alignment horizontal="center" vertical="center"/>
    </xf>
    <xf numFmtId="0" fontId="24" fillId="0" borderId="58" xfId="0" applyFont="1" applyBorder="1" applyAlignment="1">
      <alignment horizontal="left" vertical="top" wrapText="1" indent="6"/>
    </xf>
    <xf numFmtId="0" fontId="24" fillId="17" borderId="2" xfId="0" applyFont="1" applyFill="1" applyBorder="1" applyAlignment="1">
      <alignment horizontal="left" vertical="top" wrapText="1" indent="6"/>
    </xf>
    <xf numFmtId="2" fontId="23" fillId="16" borderId="31" xfId="2" applyNumberFormat="1" applyFont="1" applyFill="1" applyBorder="1" applyAlignment="1">
      <alignment horizontal="center" vertical="center"/>
    </xf>
    <xf numFmtId="4" fontId="17" fillId="0" borderId="58" xfId="0" applyNumberFormat="1" applyFont="1" applyBorder="1" applyAlignment="1">
      <alignment horizontal="center" vertical="top" shrinkToFit="1"/>
    </xf>
    <xf numFmtId="4" fontId="17" fillId="16" borderId="58" xfId="0" applyNumberFormat="1" applyFont="1" applyFill="1" applyBorder="1" applyAlignment="1">
      <alignment horizontal="center" vertical="top" shrinkToFit="1"/>
    </xf>
    <xf numFmtId="1" fontId="17" fillId="0" borderId="59" xfId="0" applyNumberFormat="1" applyFont="1" applyBorder="1" applyAlignment="1">
      <alignment horizontal="center" vertical="center" shrinkToFit="1"/>
    </xf>
    <xf numFmtId="1" fontId="17" fillId="16" borderId="60" xfId="0" applyNumberFormat="1" applyFont="1" applyFill="1" applyBorder="1" applyAlignment="1">
      <alignment horizontal="center" vertical="center" shrinkToFit="1"/>
    </xf>
    <xf numFmtId="1" fontId="17" fillId="0" borderId="60" xfId="0" applyNumberFormat="1" applyFont="1" applyBorder="1" applyAlignment="1">
      <alignment horizontal="center" vertical="center" shrinkToFit="1"/>
    </xf>
    <xf numFmtId="2" fontId="23" fillId="14" borderId="1" xfId="0" applyNumberFormat="1" applyFont="1" applyFill="1" applyBorder="1" applyAlignment="1">
      <alignment horizontal="center" vertical="center"/>
    </xf>
    <xf numFmtId="0" fontId="25" fillId="16" borderId="32" xfId="0" applyFont="1" applyFill="1" applyBorder="1" applyAlignment="1">
      <alignment horizontal="center" vertical="center"/>
    </xf>
    <xf numFmtId="0" fontId="23" fillId="20" borderId="40" xfId="0" applyFont="1" applyFill="1" applyBorder="1" applyAlignment="1">
      <alignment horizontal="left" vertical="center"/>
    </xf>
    <xf numFmtId="0" fontId="23" fillId="20" borderId="40" xfId="0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horizontal="justify" vertical="center"/>
    </xf>
    <xf numFmtId="0" fontId="23" fillId="20" borderId="31" xfId="0" applyFont="1" applyFill="1" applyBorder="1" applyAlignment="1">
      <alignment horizontal="center" vertical="center"/>
    </xf>
    <xf numFmtId="4" fontId="23" fillId="20" borderId="31" xfId="0" applyNumberFormat="1" applyFont="1" applyFill="1" applyBorder="1" applyAlignment="1">
      <alignment horizontal="center" vertical="center"/>
    </xf>
    <xf numFmtId="4" fontId="18" fillId="20" borderId="31" xfId="0" applyNumberFormat="1" applyFont="1" applyFill="1" applyBorder="1" applyAlignment="1">
      <alignment horizontal="center" vertical="center"/>
    </xf>
    <xf numFmtId="2" fontId="18" fillId="20" borderId="31" xfId="0" applyNumberFormat="1" applyFont="1" applyFill="1" applyBorder="1" applyAlignment="1">
      <alignment horizontal="center" vertical="center"/>
    </xf>
    <xf numFmtId="164" fontId="18" fillId="20" borderId="31" xfId="2" applyFont="1" applyFill="1" applyBorder="1" applyAlignment="1">
      <alignment horizontal="center" vertical="center"/>
    </xf>
    <xf numFmtId="164" fontId="23" fillId="20" borderId="31" xfId="2" applyFont="1" applyFill="1" applyBorder="1" applyAlignment="1">
      <alignment horizontal="center" vertical="center"/>
    </xf>
    <xf numFmtId="164" fontId="23" fillId="20" borderId="39" xfId="2" applyFont="1" applyFill="1" applyBorder="1" applyAlignment="1">
      <alignment horizontal="center" vertical="center"/>
    </xf>
    <xf numFmtId="0" fontId="23" fillId="20" borderId="32" xfId="0" applyFont="1" applyFill="1" applyBorder="1" applyAlignment="1">
      <alignment vertical="center" wrapText="1"/>
    </xf>
    <xf numFmtId="0" fontId="18" fillId="20" borderId="31" xfId="0" applyFont="1" applyFill="1" applyBorder="1" applyAlignment="1">
      <alignment horizontal="center" vertical="center"/>
    </xf>
    <xf numFmtId="0" fontId="24" fillId="16" borderId="32" xfId="0" applyFont="1" applyFill="1" applyBorder="1" applyAlignment="1">
      <alignment horizontal="left" vertical="center"/>
    </xf>
    <xf numFmtId="0" fontId="8" fillId="16" borderId="7" xfId="0" applyFont="1" applyFill="1" applyBorder="1" applyAlignment="1">
      <alignment vertical="center"/>
    </xf>
    <xf numFmtId="164" fontId="18" fillId="0" borderId="31" xfId="2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left" vertical="center"/>
    </xf>
    <xf numFmtId="2" fontId="18" fillId="0" borderId="40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2" fontId="19" fillId="16" borderId="31" xfId="2" applyNumberFormat="1" applyFont="1" applyFill="1" applyBorder="1" applyAlignment="1">
      <alignment horizontal="center" vertical="center"/>
    </xf>
    <xf numFmtId="4" fontId="19" fillId="0" borderId="44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vertical="center"/>
    </xf>
    <xf numFmtId="4" fontId="19" fillId="0" borderId="31" xfId="0" applyNumberFormat="1" applyFont="1" applyBorder="1" applyAlignment="1">
      <alignment vertical="center"/>
    </xf>
    <xf numFmtId="4" fontId="19" fillId="0" borderId="10" xfId="0" applyNumberFormat="1" applyFont="1" applyBorder="1" applyAlignment="1">
      <alignment horizontal="center" vertical="center"/>
    </xf>
    <xf numFmtId="4" fontId="19" fillId="0" borderId="10" xfId="0" applyNumberFormat="1" applyFont="1" applyBorder="1" applyAlignment="1">
      <alignment vertical="center"/>
    </xf>
    <xf numFmtId="4" fontId="17" fillId="0" borderId="5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/>
    </xf>
    <xf numFmtId="4" fontId="19" fillId="0" borderId="12" xfId="0" applyNumberFormat="1" applyFont="1" applyBorder="1" applyAlignment="1">
      <alignment horizontal="center" vertical="center"/>
    </xf>
    <xf numFmtId="4" fontId="17" fillId="0" borderId="45" xfId="0" applyNumberFormat="1" applyFont="1" applyBorder="1" applyAlignment="1">
      <alignment horizontal="center" vertical="center"/>
    </xf>
    <xf numFmtId="0" fontId="17" fillId="17" borderId="40" xfId="0" applyFont="1" applyFill="1" applyBorder="1" applyAlignment="1">
      <alignment horizontal="left" vertical="center"/>
    </xf>
    <xf numFmtId="0" fontId="17" fillId="17" borderId="40" xfId="0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justify" vertical="center"/>
    </xf>
    <xf numFmtId="4" fontId="17" fillId="17" borderId="31" xfId="0" applyNumberFormat="1" applyFont="1" applyFill="1" applyBorder="1" applyAlignment="1">
      <alignment horizontal="center" vertical="center"/>
    </xf>
    <xf numFmtId="4" fontId="17" fillId="17" borderId="43" xfId="0" applyNumberFormat="1" applyFont="1" applyFill="1" applyBorder="1" applyAlignment="1">
      <alignment horizontal="center" vertical="center"/>
    </xf>
    <xf numFmtId="4" fontId="17" fillId="17" borderId="32" xfId="0" applyNumberFormat="1" applyFont="1" applyFill="1" applyBorder="1" applyAlignment="1">
      <alignment horizontal="center" vertical="center"/>
    </xf>
    <xf numFmtId="2" fontId="17" fillId="17" borderId="31" xfId="2" applyNumberFormat="1" applyFont="1" applyFill="1" applyBorder="1" applyAlignment="1">
      <alignment horizontal="center" vertical="center"/>
    </xf>
    <xf numFmtId="2" fontId="17" fillId="17" borderId="39" xfId="2" applyNumberFormat="1" applyFont="1" applyFill="1" applyBorder="1" applyAlignment="1">
      <alignment horizontal="center" vertical="center"/>
    </xf>
    <xf numFmtId="0" fontId="0" fillId="17" borderId="0" xfId="0" applyFill="1"/>
    <xf numFmtId="4" fontId="17" fillId="17" borderId="3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0" fontId="19" fillId="16" borderId="32" xfId="0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vertical="center"/>
    </xf>
    <xf numFmtId="0" fontId="36" fillId="16" borderId="32" xfId="0" applyFont="1" applyFill="1" applyBorder="1" applyAlignment="1">
      <alignment horizontal="right" vertical="center"/>
    </xf>
    <xf numFmtId="164" fontId="35" fillId="16" borderId="0" xfId="0" applyNumberFormat="1" applyFont="1" applyFill="1"/>
    <xf numFmtId="0" fontId="10" fillId="15" borderId="10" xfId="0" applyFont="1" applyFill="1" applyBorder="1" applyAlignment="1">
      <alignment horizontal="left" vertical="center"/>
    </xf>
    <xf numFmtId="49" fontId="11" fillId="15" borderId="19" xfId="0" applyNumberFormat="1" applyFont="1" applyFill="1" applyBorder="1" applyAlignment="1">
      <alignment horizontal="center" vertical="center"/>
    </xf>
    <xf numFmtId="44" fontId="10" fillId="15" borderId="1" xfId="0" applyNumberFormat="1" applyFont="1" applyFill="1" applyBorder="1" applyAlignment="1">
      <alignment horizontal="left" vertical="center"/>
    </xf>
    <xf numFmtId="0" fontId="10" fillId="15" borderId="1" xfId="0" applyFont="1" applyFill="1" applyBorder="1" applyAlignment="1">
      <alignment vertical="center"/>
    </xf>
    <xf numFmtId="4" fontId="19" fillId="16" borderId="48" xfId="0" applyNumberFormat="1" applyFont="1" applyFill="1" applyBorder="1" applyAlignment="1">
      <alignment horizontal="center" vertical="center"/>
    </xf>
    <xf numFmtId="0" fontId="23" fillId="0" borderId="40" xfId="0" applyFont="1" applyBorder="1" applyAlignment="1">
      <alignment horizontal="left" vertical="center"/>
    </xf>
    <xf numFmtId="0" fontId="23" fillId="0" borderId="40" xfId="0" applyFont="1" applyBorder="1" applyAlignment="1">
      <alignment horizontal="center" vertical="center"/>
    </xf>
    <xf numFmtId="0" fontId="23" fillId="0" borderId="32" xfId="0" applyFont="1" applyBorder="1" applyAlignment="1">
      <alignment horizontal="justify" vertical="center"/>
    </xf>
    <xf numFmtId="4" fontId="23" fillId="0" borderId="31" xfId="0" applyNumberFormat="1" applyFont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vertical="center"/>
    </xf>
    <xf numFmtId="0" fontId="23" fillId="0" borderId="32" xfId="0" applyFont="1" applyBorder="1" applyAlignment="1">
      <alignment vertical="center" wrapText="1"/>
    </xf>
    <xf numFmtId="0" fontId="19" fillId="16" borderId="48" xfId="0" applyFont="1" applyFill="1" applyBorder="1" applyAlignment="1">
      <alignment horizontal="center" vertical="center"/>
    </xf>
    <xf numFmtId="0" fontId="36" fillId="0" borderId="32" xfId="0" applyFont="1" applyBorder="1" applyAlignment="1">
      <alignment vertical="center" wrapText="1"/>
    </xf>
    <xf numFmtId="4" fontId="17" fillId="0" borderId="47" xfId="0" applyNumberFormat="1" applyFont="1" applyBorder="1" applyAlignment="1">
      <alignment horizontal="center" vertical="center"/>
    </xf>
    <xf numFmtId="4" fontId="23" fillId="0" borderId="39" xfId="0" applyNumberFormat="1" applyFont="1" applyBorder="1" applyAlignment="1">
      <alignment horizontal="center" vertical="center"/>
    </xf>
    <xf numFmtId="0" fontId="17" fillId="17" borderId="32" xfId="0" applyFont="1" applyFill="1" applyBorder="1" applyAlignment="1">
      <alignment vertical="center" wrapText="1"/>
    </xf>
    <xf numFmtId="4" fontId="17" fillId="17" borderId="44" xfId="0" applyNumberFormat="1" applyFont="1" applyFill="1" applyBorder="1" applyAlignment="1">
      <alignment horizontal="center" vertical="center"/>
    </xf>
    <xf numFmtId="0" fontId="17" fillId="17" borderId="31" xfId="0" applyFont="1" applyFill="1" applyBorder="1" applyAlignment="1">
      <alignment horizontal="center" vertical="center"/>
    </xf>
    <xf numFmtId="2" fontId="16" fillId="17" borderId="31" xfId="2" applyNumberFormat="1" applyFont="1" applyFill="1" applyBorder="1" applyAlignment="1">
      <alignment horizontal="center" vertical="center"/>
    </xf>
    <xf numFmtId="0" fontId="25" fillId="17" borderId="32" xfId="0" applyFont="1" applyFill="1" applyBorder="1" applyAlignment="1">
      <alignment horizontal="right" vertical="center"/>
    </xf>
    <xf numFmtId="0" fontId="17" fillId="17" borderId="32" xfId="0" applyFont="1" applyFill="1" applyBorder="1" applyAlignment="1">
      <alignment horizontal="justify" vertical="center"/>
    </xf>
    <xf numFmtId="0" fontId="17" fillId="0" borderId="32" xfId="0" applyFont="1" applyBorder="1" applyAlignment="1">
      <alignment vertical="center" wrapText="1"/>
    </xf>
    <xf numFmtId="0" fontId="17" fillId="0" borderId="31" xfId="0" applyFont="1" applyBorder="1" applyAlignment="1">
      <alignment horizontal="center" vertical="center"/>
    </xf>
    <xf numFmtId="0" fontId="17" fillId="0" borderId="40" xfId="0" applyFont="1" applyBorder="1" applyAlignment="1">
      <alignment vertical="center"/>
    </xf>
    <xf numFmtId="0" fontId="25" fillId="0" borderId="32" xfId="0" applyFont="1" applyBorder="1" applyAlignment="1">
      <alignment horizontal="right" vertical="center"/>
    </xf>
    <xf numFmtId="4" fontId="17" fillId="0" borderId="49" xfId="0" applyNumberFormat="1" applyFont="1" applyBorder="1" applyAlignment="1">
      <alignment horizontal="center" vertical="center"/>
    </xf>
    <xf numFmtId="0" fontId="17" fillId="0" borderId="32" xfId="0" applyFont="1" applyBorder="1" applyAlignment="1">
      <alignment horizontal="justify" vertical="center"/>
    </xf>
    <xf numFmtId="0" fontId="24" fillId="0" borderId="32" xfId="0" applyFont="1" applyBorder="1" applyAlignment="1">
      <alignment horizontal="right" vertical="center"/>
    </xf>
    <xf numFmtId="164" fontId="8" fillId="0" borderId="57" xfId="2" applyFont="1" applyBorder="1" applyAlignment="1">
      <alignment vertical="center"/>
    </xf>
    <xf numFmtId="169" fontId="10" fillId="15" borderId="17" xfId="2" applyNumberFormat="1" applyFont="1" applyFill="1" applyBorder="1" applyAlignment="1">
      <alignment vertical="center"/>
    </xf>
    <xf numFmtId="0" fontId="25" fillId="16" borderId="32" xfId="0" applyFont="1" applyFill="1" applyBorder="1" applyAlignment="1">
      <alignment horizontal="left" vertical="center"/>
    </xf>
    <xf numFmtId="0" fontId="25" fillId="0" borderId="32" xfId="0" applyFont="1" applyBorder="1" applyAlignment="1">
      <alignment horizontal="left" vertical="center"/>
    </xf>
    <xf numFmtId="0" fontId="36" fillId="0" borderId="0" xfId="0" applyFont="1" applyAlignment="1">
      <alignment horizontal="left"/>
    </xf>
    <xf numFmtId="0" fontId="37" fillId="16" borderId="32" xfId="0" applyFont="1" applyFill="1" applyBorder="1" applyAlignment="1">
      <alignment horizontal="justify" vertical="center"/>
    </xf>
    <xf numFmtId="0" fontId="24" fillId="0" borderId="32" xfId="0" applyFont="1" applyBorder="1" applyAlignment="1">
      <alignment horizontal="left" vertical="center"/>
    </xf>
    <xf numFmtId="4" fontId="17" fillId="16" borderId="47" xfId="0" applyNumberFormat="1" applyFont="1" applyFill="1" applyBorder="1" applyAlignment="1">
      <alignment vertical="center"/>
    </xf>
    <xf numFmtId="4" fontId="17" fillId="16" borderId="49" xfId="0" applyNumberFormat="1" applyFont="1" applyFill="1" applyBorder="1" applyAlignment="1">
      <alignment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0" fontId="12" fillId="0" borderId="31" xfId="0" applyFont="1" applyBorder="1" applyAlignment="1">
      <alignment horizontal="left" vertical="center" wrapText="1"/>
    </xf>
    <xf numFmtId="2" fontId="24" fillId="0" borderId="31" xfId="0" applyNumberFormat="1" applyFont="1" applyBorder="1" applyAlignment="1">
      <alignment horizontal="left" vertical="center" wrapText="1"/>
    </xf>
    <xf numFmtId="2" fontId="24" fillId="0" borderId="32" xfId="0" applyNumberFormat="1" applyFont="1" applyBorder="1" applyAlignment="1">
      <alignment horizontal="left" vertical="center" wrapText="1"/>
    </xf>
    <xf numFmtId="0" fontId="23" fillId="0" borderId="32" xfId="0" applyFont="1" applyBorder="1" applyAlignment="1">
      <alignment horizontal="center" wrapText="1"/>
    </xf>
    <xf numFmtId="0" fontId="23" fillId="0" borderId="39" xfId="0" applyFont="1" applyBorder="1" applyAlignment="1">
      <alignment horizontal="center" wrapText="1"/>
    </xf>
    <xf numFmtId="2" fontId="23" fillId="0" borderId="32" xfId="0" applyNumberFormat="1" applyFont="1" applyBorder="1" applyAlignment="1">
      <alignment horizontal="center" vertical="center"/>
    </xf>
    <xf numFmtId="2" fontId="23" fillId="0" borderId="39" xfId="0" applyNumberFormat="1" applyFont="1" applyBorder="1" applyAlignment="1">
      <alignment horizontal="center" vertical="center"/>
    </xf>
    <xf numFmtId="2" fontId="23" fillId="0" borderId="32" xfId="0" applyNumberFormat="1" applyFont="1" applyBorder="1" applyAlignment="1">
      <alignment horizontal="center" vertical="center" wrapText="1"/>
    </xf>
    <xf numFmtId="2" fontId="23" fillId="0" borderId="31" xfId="0" applyNumberFormat="1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2" fontId="17" fillId="16" borderId="32" xfId="2" applyNumberFormat="1" applyFont="1" applyFill="1" applyBorder="1" applyAlignment="1">
      <alignment horizontal="center" vertical="center"/>
    </xf>
    <xf numFmtId="170" fontId="17" fillId="16" borderId="49" xfId="0" applyNumberFormat="1" applyFont="1" applyFill="1" applyBorder="1" applyAlignment="1">
      <alignment horizontal="center" vertical="center"/>
    </xf>
    <xf numFmtId="0" fontId="16" fillId="16" borderId="32" xfId="0" applyFont="1" applyFill="1" applyBorder="1" applyAlignment="1">
      <alignment horizontal="right" vertical="center" wrapText="1"/>
    </xf>
    <xf numFmtId="2" fontId="17" fillId="16" borderId="49" xfId="2" applyNumberFormat="1" applyFont="1" applyFill="1" applyBorder="1" applyAlignment="1">
      <alignment horizontal="center" vertical="center"/>
    </xf>
    <xf numFmtId="0" fontId="18" fillId="0" borderId="40" xfId="0" applyFont="1" applyBorder="1" applyAlignment="1">
      <alignment horizontal="left" vertical="center" shrinkToFit="1"/>
    </xf>
    <xf numFmtId="0" fontId="18" fillId="0" borderId="40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0" fillId="0" borderId="31" xfId="0" applyBorder="1" applyAlignment="1">
      <alignment vertical="center"/>
    </xf>
    <xf numFmtId="164" fontId="0" fillId="0" borderId="31" xfId="2" applyFont="1" applyFill="1" applyBorder="1" applyAlignment="1">
      <alignment vertical="center"/>
    </xf>
    <xf numFmtId="164" fontId="6" fillId="0" borderId="31" xfId="2" applyFont="1" applyFill="1" applyBorder="1" applyAlignment="1">
      <alignment vertical="center"/>
    </xf>
    <xf numFmtId="164" fontId="0" fillId="0" borderId="39" xfId="2" applyFont="1" applyFill="1" applyBorder="1" applyAlignment="1">
      <alignment vertical="center"/>
    </xf>
    <xf numFmtId="4" fontId="23" fillId="0" borderId="31" xfId="0" applyNumberFormat="1" applyFont="1" applyBorder="1" applyAlignment="1">
      <alignment vertical="center"/>
    </xf>
    <xf numFmtId="2" fontId="23" fillId="0" borderId="40" xfId="0" applyNumberFormat="1" applyFont="1" applyBorder="1" applyAlignment="1">
      <alignment horizontal="center" vertical="center"/>
    </xf>
    <xf numFmtId="2" fontId="18" fillId="0" borderId="31" xfId="0" applyNumberFormat="1" applyFont="1" applyBorder="1" applyAlignment="1">
      <alignment horizontal="center" vertical="center"/>
    </xf>
    <xf numFmtId="4" fontId="18" fillId="0" borderId="31" xfId="0" applyNumberFormat="1" applyFont="1" applyBorder="1" applyAlignment="1">
      <alignment horizontal="center" vertical="center"/>
    </xf>
    <xf numFmtId="164" fontId="23" fillId="0" borderId="31" xfId="2" applyFont="1" applyFill="1" applyBorder="1" applyAlignment="1">
      <alignment horizontal="center" vertical="center"/>
    </xf>
    <xf numFmtId="164" fontId="23" fillId="0" borderId="39" xfId="2" applyFont="1" applyFill="1" applyBorder="1" applyAlignment="1">
      <alignment horizontal="center" vertical="center"/>
    </xf>
    <xf numFmtId="2" fontId="23" fillId="0" borderId="40" xfId="0" applyNumberFormat="1" applyFont="1" applyBorder="1" applyAlignment="1">
      <alignment horizontal="left" vertical="center"/>
    </xf>
    <xf numFmtId="0" fontId="23" fillId="0" borderId="44" xfId="0" applyFont="1" applyBorder="1" applyAlignment="1">
      <alignment horizontal="justify" vertical="center"/>
    </xf>
    <xf numFmtId="4" fontId="23" fillId="0" borderId="33" xfId="0" applyNumberFormat="1" applyFont="1" applyBorder="1" applyAlignment="1">
      <alignment horizontal="center" vertical="center"/>
    </xf>
    <xf numFmtId="4" fontId="18" fillId="0" borderId="28" xfId="0" applyNumberFormat="1" applyFont="1" applyBorder="1" applyAlignment="1">
      <alignment horizontal="center" vertical="center"/>
    </xf>
    <xf numFmtId="2" fontId="18" fillId="0" borderId="28" xfId="0" applyNumberFormat="1" applyFont="1" applyBorder="1" applyAlignment="1">
      <alignment horizontal="center" vertical="center"/>
    </xf>
    <xf numFmtId="4" fontId="23" fillId="0" borderId="28" xfId="0" applyNumberFormat="1" applyFont="1" applyBorder="1" applyAlignment="1">
      <alignment horizontal="center" vertical="center"/>
    </xf>
    <xf numFmtId="4" fontId="18" fillId="0" borderId="33" xfId="0" applyNumberFormat="1" applyFont="1" applyBorder="1" applyAlignment="1">
      <alignment horizontal="center" vertical="center"/>
    </xf>
    <xf numFmtId="164" fontId="23" fillId="0" borderId="38" xfId="2" applyFont="1" applyFill="1" applyBorder="1" applyAlignment="1">
      <alignment horizontal="center" vertical="center"/>
    </xf>
    <xf numFmtId="0" fontId="18" fillId="0" borderId="46" xfId="0" applyFont="1" applyBorder="1" applyAlignment="1">
      <alignment horizontal="left" vertical="center"/>
    </xf>
    <xf numFmtId="2" fontId="18" fillId="0" borderId="46" xfId="0" applyNumberFormat="1" applyFont="1" applyBorder="1" applyAlignment="1">
      <alignment horizontal="left" vertical="center"/>
    </xf>
    <xf numFmtId="0" fontId="23" fillId="0" borderId="11" xfId="0" applyFont="1" applyBorder="1" applyAlignment="1">
      <alignment horizontal="justify" vertical="center"/>
    </xf>
    <xf numFmtId="0" fontId="23" fillId="0" borderId="12" xfId="0" applyFont="1" applyBorder="1" applyAlignment="1">
      <alignment horizontal="center" vertical="center"/>
    </xf>
    <xf numFmtId="4" fontId="23" fillId="0" borderId="12" xfId="0" applyNumberFormat="1" applyFont="1" applyBorder="1" applyAlignment="1">
      <alignment horizontal="center" vertical="center"/>
    </xf>
    <xf numFmtId="0" fontId="23" fillId="0" borderId="41" xfId="0" applyFont="1" applyBorder="1" applyAlignment="1">
      <alignment horizontal="left" vertical="center"/>
    </xf>
    <xf numFmtId="0" fontId="23" fillId="0" borderId="41" xfId="0" applyFont="1" applyBorder="1" applyAlignment="1">
      <alignment horizontal="center" vertical="center"/>
    </xf>
    <xf numFmtId="0" fontId="23" fillId="0" borderId="64" xfId="0" applyFont="1" applyBorder="1" applyAlignment="1">
      <alignment horizontal="justify" vertical="center"/>
    </xf>
    <xf numFmtId="0" fontId="23" fillId="0" borderId="33" xfId="0" applyFont="1" applyBorder="1" applyAlignment="1">
      <alignment horizontal="center" vertical="center"/>
    </xf>
    <xf numFmtId="0" fontId="31" fillId="0" borderId="31" xfId="0" applyFont="1" applyBorder="1"/>
    <xf numFmtId="164" fontId="35" fillId="0" borderId="31" xfId="0" applyNumberFormat="1" applyFont="1" applyBorder="1"/>
    <xf numFmtId="0" fontId="38" fillId="0" borderId="0" xfId="0" applyFont="1"/>
    <xf numFmtId="0" fontId="38" fillId="0" borderId="1" xfId="0" applyFont="1" applyBorder="1"/>
    <xf numFmtId="4" fontId="19" fillId="16" borderId="47" xfId="0" applyNumberFormat="1" applyFont="1" applyFill="1" applyBorder="1" applyAlignment="1">
      <alignment horizontal="center" vertical="center"/>
    </xf>
    <xf numFmtId="4" fontId="19" fillId="16" borderId="48" xfId="0" applyNumberFormat="1" applyFont="1" applyFill="1" applyBorder="1" applyAlignment="1">
      <alignment horizontal="center" vertical="center"/>
    </xf>
    <xf numFmtId="4" fontId="19" fillId="16" borderId="49" xfId="0" applyNumberFormat="1" applyFont="1" applyFill="1" applyBorder="1" applyAlignment="1">
      <alignment horizontal="center" vertical="center"/>
    </xf>
    <xf numFmtId="4" fontId="19" fillId="16" borderId="32" xfId="0" applyNumberFormat="1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 wrapText="1"/>
    </xf>
    <xf numFmtId="0" fontId="13" fillId="15" borderId="23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4" fillId="15" borderId="27" xfId="0" applyFont="1" applyFill="1" applyBorder="1" applyAlignment="1">
      <alignment horizontal="center" vertical="center" wrapText="1"/>
    </xf>
    <xf numFmtId="0" fontId="13" fillId="15" borderId="21" xfId="0" applyFont="1" applyFill="1" applyBorder="1" applyAlignment="1">
      <alignment horizontal="center" vertical="center" wrapText="1"/>
    </xf>
    <xf numFmtId="0" fontId="13" fillId="15" borderId="35" xfId="0" applyFont="1" applyFill="1" applyBorder="1" applyAlignment="1">
      <alignment horizontal="center" vertical="center" wrapText="1"/>
    </xf>
    <xf numFmtId="0" fontId="13" fillId="15" borderId="8" xfId="0" applyFont="1" applyFill="1" applyBorder="1" applyAlignment="1">
      <alignment horizontal="center" vertical="center" wrapText="1"/>
    </xf>
    <xf numFmtId="0" fontId="13" fillId="15" borderId="15" xfId="0" applyFont="1" applyFill="1" applyBorder="1" applyAlignment="1">
      <alignment horizontal="center" vertical="center" wrapText="1"/>
    </xf>
    <xf numFmtId="0" fontId="14" fillId="15" borderId="21" xfId="0" applyFont="1" applyFill="1" applyBorder="1" applyAlignment="1">
      <alignment horizontal="center" vertical="center" wrapText="1"/>
    </xf>
    <xf numFmtId="0" fontId="14" fillId="15" borderId="35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 vertical="center"/>
    </xf>
    <xf numFmtId="0" fontId="7" fillId="15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15" borderId="9" xfId="0" applyFont="1" applyFill="1" applyBorder="1" applyAlignment="1">
      <alignment horizontal="left" vertical="center"/>
    </xf>
    <xf numFmtId="0" fontId="10" fillId="15" borderId="10" xfId="0" applyFont="1" applyFill="1" applyBorder="1" applyAlignment="1">
      <alignment horizontal="left" vertical="center"/>
    </xf>
    <xf numFmtId="44" fontId="10" fillId="15" borderId="13" xfId="0" applyNumberFormat="1" applyFont="1" applyFill="1" applyBorder="1" applyAlignment="1">
      <alignment horizontal="left" vertical="center"/>
    </xf>
    <xf numFmtId="44" fontId="10" fillId="15" borderId="10" xfId="0" applyNumberFormat="1" applyFont="1" applyFill="1" applyBorder="1" applyAlignment="1">
      <alignment horizontal="left" vertical="center"/>
    </xf>
    <xf numFmtId="0" fontId="10" fillId="15" borderId="11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horizontal="left" vertical="center"/>
    </xf>
    <xf numFmtId="0" fontId="10" fillId="15" borderId="13" xfId="0" applyFont="1" applyFill="1" applyBorder="1" applyAlignment="1">
      <alignment vertical="center"/>
    </xf>
    <xf numFmtId="0" fontId="10" fillId="15" borderId="10" xfId="0" applyFont="1" applyFill="1" applyBorder="1" applyAlignment="1">
      <alignment vertical="center"/>
    </xf>
    <xf numFmtId="168" fontId="10" fillId="15" borderId="16" xfId="0" applyNumberFormat="1" applyFont="1" applyFill="1" applyBorder="1" applyAlignment="1">
      <alignment horizontal="center" vertical="center"/>
    </xf>
    <xf numFmtId="168" fontId="10" fillId="15" borderId="17" xfId="0" applyNumberFormat="1" applyFont="1" applyFill="1" applyBorder="1" applyAlignment="1">
      <alignment horizontal="center" vertical="center"/>
    </xf>
    <xf numFmtId="44" fontId="10" fillId="15" borderId="18" xfId="0" applyNumberFormat="1" applyFont="1" applyFill="1" applyBorder="1" applyAlignment="1">
      <alignment horizontal="center" vertical="center"/>
    </xf>
    <xf numFmtId="44" fontId="10" fillId="15" borderId="19" xfId="0" applyNumberFormat="1" applyFont="1" applyFill="1" applyBorder="1" applyAlignment="1">
      <alignment horizontal="center" vertical="center"/>
    </xf>
    <xf numFmtId="44" fontId="10" fillId="15" borderId="17" xfId="0" applyNumberFormat="1" applyFont="1" applyFill="1" applyBorder="1" applyAlignment="1">
      <alignment horizontal="center" vertical="center"/>
    </xf>
    <xf numFmtId="169" fontId="10" fillId="15" borderId="18" xfId="2" applyNumberFormat="1" applyFont="1" applyFill="1" applyBorder="1" applyAlignment="1">
      <alignment horizontal="center" vertical="center"/>
    </xf>
    <xf numFmtId="169" fontId="10" fillId="15" borderId="19" xfId="2" applyNumberFormat="1" applyFont="1" applyFill="1" applyBorder="1" applyAlignment="1">
      <alignment horizontal="center" vertical="center"/>
    </xf>
    <xf numFmtId="49" fontId="11" fillId="15" borderId="18" xfId="0" applyNumberFormat="1" applyFont="1" applyFill="1" applyBorder="1" applyAlignment="1">
      <alignment horizontal="center" vertical="center"/>
    </xf>
    <xf numFmtId="49" fontId="11" fillId="15" borderId="1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/>
    </xf>
    <xf numFmtId="4" fontId="17" fillId="16" borderId="49" xfId="0" applyNumberFormat="1" applyFont="1" applyFill="1" applyBorder="1" applyAlignment="1">
      <alignment horizontal="center" vertical="center"/>
    </xf>
    <xf numFmtId="4" fontId="17" fillId="16" borderId="47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 wrapText="1"/>
    </xf>
    <xf numFmtId="4" fontId="17" fillId="16" borderId="32" xfId="0" applyNumberFormat="1" applyFont="1" applyFill="1" applyBorder="1" applyAlignment="1">
      <alignment horizontal="center" vertical="center"/>
    </xf>
    <xf numFmtId="4" fontId="17" fillId="16" borderId="48" xfId="0" applyNumberFormat="1" applyFont="1" applyFill="1" applyBorder="1" applyAlignment="1">
      <alignment horizontal="center" vertical="center" wrapText="1"/>
    </xf>
    <xf numFmtId="4" fontId="17" fillId="16" borderId="49" xfId="0" applyNumberFormat="1" applyFont="1" applyFill="1" applyBorder="1" applyAlignment="1">
      <alignment horizontal="center" vertical="center" wrapText="1"/>
    </xf>
    <xf numFmtId="0" fontId="21" fillId="15" borderId="42" xfId="0" applyFont="1" applyFill="1" applyBorder="1" applyAlignment="1">
      <alignment horizontal="center" vertical="center" wrapText="1"/>
    </xf>
    <xf numFmtId="0" fontId="22" fillId="15" borderId="4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169" fontId="10" fillId="15" borderId="17" xfId="2" applyNumberFormat="1" applyFont="1" applyFill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/>
    </xf>
    <xf numFmtId="4" fontId="17" fillId="0" borderId="32" xfId="0" applyNumberFormat="1" applyFont="1" applyBorder="1" applyAlignment="1">
      <alignment horizontal="center" vertical="center"/>
    </xf>
    <xf numFmtId="4" fontId="17" fillId="0" borderId="47" xfId="0" applyNumberFormat="1" applyFont="1" applyBorder="1" applyAlignment="1">
      <alignment horizontal="center" vertical="center" wrapText="1"/>
    </xf>
    <xf numFmtId="4" fontId="17" fillId="0" borderId="48" xfId="0" applyNumberFormat="1" applyFont="1" applyBorder="1" applyAlignment="1">
      <alignment horizontal="center" vertical="center" wrapText="1"/>
    </xf>
    <xf numFmtId="4" fontId="17" fillId="0" borderId="49" xfId="0" applyNumberFormat="1" applyFont="1" applyBorder="1" applyAlignment="1">
      <alignment horizontal="center" vertical="center" wrapText="1"/>
    </xf>
    <xf numFmtId="4" fontId="19" fillId="16" borderId="55" xfId="0" applyNumberFormat="1" applyFont="1" applyFill="1" applyBorder="1" applyAlignment="1">
      <alignment horizontal="center" vertical="center"/>
    </xf>
    <xf numFmtId="4" fontId="19" fillId="16" borderId="56" xfId="0" applyNumberFormat="1" applyFont="1" applyFill="1" applyBorder="1" applyAlignment="1">
      <alignment horizontal="center" vertical="center"/>
    </xf>
    <xf numFmtId="4" fontId="19" fillId="16" borderId="57" xfId="0" applyNumberFormat="1" applyFont="1" applyFill="1" applyBorder="1" applyAlignment="1">
      <alignment horizontal="center" vertical="center"/>
    </xf>
    <xf numFmtId="4" fontId="19" fillId="16" borderId="9" xfId="0" applyNumberFormat="1" applyFont="1" applyFill="1" applyBorder="1" applyAlignment="1">
      <alignment horizontal="center" vertical="center"/>
    </xf>
    <xf numFmtId="4" fontId="19" fillId="16" borderId="10" xfId="0" applyNumberFormat="1" applyFont="1" applyFill="1" applyBorder="1" applyAlignment="1">
      <alignment horizontal="center" vertical="center"/>
    </xf>
    <xf numFmtId="4" fontId="19" fillId="16" borderId="53" xfId="0" applyNumberFormat="1" applyFont="1" applyFill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/>
    </xf>
    <xf numFmtId="4" fontId="19" fillId="0" borderId="32" xfId="0" applyNumberFormat="1" applyFont="1" applyBorder="1" applyAlignment="1">
      <alignment horizontal="center" vertical="center"/>
    </xf>
    <xf numFmtId="4" fontId="19" fillId="16" borderId="47" xfId="0" applyNumberFormat="1" applyFont="1" applyFill="1" applyBorder="1" applyAlignment="1">
      <alignment horizontal="center" vertical="center" wrapText="1"/>
    </xf>
    <xf numFmtId="4" fontId="19" fillId="16" borderId="48" xfId="0" applyNumberFormat="1" applyFont="1" applyFill="1" applyBorder="1" applyAlignment="1">
      <alignment horizontal="center" vertical="center" wrapText="1"/>
    </xf>
    <xf numFmtId="4" fontId="19" fillId="16" borderId="49" xfId="0" applyNumberFormat="1" applyFont="1" applyFill="1" applyBorder="1" applyAlignment="1">
      <alignment horizontal="center" vertical="center" wrapText="1"/>
    </xf>
    <xf numFmtId="4" fontId="33" fillId="16" borderId="47" xfId="0" applyNumberFormat="1" applyFont="1" applyFill="1" applyBorder="1" applyAlignment="1">
      <alignment horizontal="center" vertical="center" wrapText="1"/>
    </xf>
    <xf numFmtId="4" fontId="33" fillId="16" borderId="48" xfId="0" applyNumberFormat="1" applyFont="1" applyFill="1" applyBorder="1" applyAlignment="1">
      <alignment horizontal="center" vertical="center" wrapText="1"/>
    </xf>
    <xf numFmtId="4" fontId="33" fillId="16" borderId="49" xfId="0" applyNumberFormat="1" applyFont="1" applyFill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4" fontId="19" fillId="16" borderId="38" xfId="0" applyNumberFormat="1" applyFont="1" applyFill="1" applyBorder="1" applyAlignment="1">
      <alignment horizontal="center" vertical="center"/>
    </xf>
    <xf numFmtId="4" fontId="19" fillId="16" borderId="45" xfId="0" applyNumberFormat="1" applyFont="1" applyFill="1" applyBorder="1" applyAlignment="1">
      <alignment horizontal="center" vertical="center"/>
    </xf>
    <xf numFmtId="4" fontId="32" fillId="16" borderId="42" xfId="0" applyNumberFormat="1" applyFont="1" applyFill="1" applyBorder="1" applyAlignment="1">
      <alignment horizontal="center" vertical="center"/>
    </xf>
    <xf numFmtId="0" fontId="14" fillId="15" borderId="26" xfId="0" applyFont="1" applyFill="1" applyBorder="1" applyAlignment="1">
      <alignment horizontal="center" vertical="center" wrapText="1"/>
    </xf>
    <xf numFmtId="4" fontId="32" fillId="16" borderId="42" xfId="0" applyNumberFormat="1" applyFont="1" applyFill="1" applyBorder="1" applyAlignment="1">
      <alignment horizontal="center" vertical="center" wrapText="1"/>
    </xf>
    <xf numFmtId="0" fontId="13" fillId="15" borderId="22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/>
    </xf>
    <xf numFmtId="0" fontId="23" fillId="0" borderId="48" xfId="0" applyFont="1" applyBorder="1" applyAlignment="1">
      <alignment horizontal="center"/>
    </xf>
    <xf numFmtId="0" fontId="23" fillId="0" borderId="49" xfId="0" applyFont="1" applyBorder="1" applyAlignment="1">
      <alignment horizontal="center"/>
    </xf>
    <xf numFmtId="4" fontId="19" fillId="0" borderId="48" xfId="0" applyNumberFormat="1" applyFont="1" applyBorder="1" applyAlignment="1">
      <alignment horizontal="center" vertical="center"/>
    </xf>
    <xf numFmtId="4" fontId="19" fillId="0" borderId="49" xfId="0" applyNumberFormat="1" applyFont="1" applyBorder="1" applyAlignment="1">
      <alignment horizontal="center" vertical="center"/>
    </xf>
    <xf numFmtId="4" fontId="17" fillId="17" borderId="47" xfId="0" applyNumberFormat="1" applyFont="1" applyFill="1" applyBorder="1" applyAlignment="1">
      <alignment horizontal="center" vertical="center"/>
    </xf>
    <xf numFmtId="4" fontId="17" fillId="17" borderId="48" xfId="0" applyNumberFormat="1" applyFont="1" applyFill="1" applyBorder="1" applyAlignment="1">
      <alignment horizontal="center" vertical="center"/>
    </xf>
    <xf numFmtId="4" fontId="17" fillId="17" borderId="49" xfId="0" applyNumberFormat="1" applyFont="1" applyFill="1" applyBorder="1" applyAlignment="1">
      <alignment horizontal="center" vertical="center"/>
    </xf>
    <xf numFmtId="4" fontId="19" fillId="0" borderId="56" xfId="0" applyNumberFormat="1" applyFont="1" applyBorder="1" applyAlignment="1">
      <alignment horizontal="center" vertical="center"/>
    </xf>
    <xf numFmtId="4" fontId="19" fillId="0" borderId="57" xfId="0" applyNumberFormat="1" applyFont="1" applyBorder="1" applyAlignment="1">
      <alignment horizontal="center" vertical="center"/>
    </xf>
    <xf numFmtId="4" fontId="19" fillId="0" borderId="47" xfId="0" applyNumberFormat="1" applyFont="1" applyBorder="1" applyAlignment="1">
      <alignment horizontal="center" vertical="center" wrapText="1"/>
    </xf>
    <xf numFmtId="4" fontId="19" fillId="0" borderId="48" xfId="0" applyNumberFormat="1" applyFont="1" applyBorder="1" applyAlignment="1">
      <alignment horizontal="center" vertical="center" wrapText="1"/>
    </xf>
    <xf numFmtId="4" fontId="19" fillId="0" borderId="49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0" fontId="38" fillId="0" borderId="1" xfId="0" applyFont="1" applyBorder="1" applyAlignment="1">
      <alignment horizontal="center"/>
    </xf>
    <xf numFmtId="173" fontId="10" fillId="15" borderId="16" xfId="0" applyNumberFormat="1" applyFont="1" applyFill="1" applyBorder="1" applyAlignment="1">
      <alignment horizontal="center" vertical="center"/>
    </xf>
    <xf numFmtId="173" fontId="10" fillId="15" borderId="17" xfId="0" applyNumberFormat="1" applyFont="1" applyFill="1" applyBorder="1" applyAlignment="1">
      <alignment horizontal="center" vertical="center"/>
    </xf>
    <xf numFmtId="164" fontId="8" fillId="0" borderId="7" xfId="2" applyFont="1" applyBorder="1" applyAlignment="1">
      <alignment horizontal="center" vertical="center"/>
    </xf>
    <xf numFmtId="164" fontId="8" fillId="0" borderId="8" xfId="2" applyFont="1" applyBorder="1" applyAlignment="1">
      <alignment horizontal="center" vertical="center"/>
    </xf>
    <xf numFmtId="164" fontId="8" fillId="0" borderId="1" xfId="2" applyFont="1" applyBorder="1" applyAlignment="1">
      <alignment horizontal="center" vertical="center"/>
    </xf>
    <xf numFmtId="164" fontId="8" fillId="0" borderId="15" xfId="2" applyFont="1" applyBorder="1" applyAlignment="1">
      <alignment horizontal="center" vertical="center"/>
    </xf>
    <xf numFmtId="164" fontId="8" fillId="0" borderId="19" xfId="2" applyFont="1" applyBorder="1" applyAlignment="1">
      <alignment horizontal="center" vertical="center"/>
    </xf>
    <xf numFmtId="164" fontId="8" fillId="0" borderId="20" xfId="2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/>
    </xf>
    <xf numFmtId="4" fontId="32" fillId="0" borderId="42" xfId="0" applyNumberFormat="1" applyFont="1" applyBorder="1" applyAlignment="1">
      <alignment horizontal="center" vertical="center" wrapText="1"/>
    </xf>
    <xf numFmtId="4" fontId="32" fillId="0" borderId="21" xfId="0" applyNumberFormat="1" applyFont="1" applyBorder="1" applyAlignment="1">
      <alignment horizontal="center" vertical="center"/>
    </xf>
    <xf numFmtId="4" fontId="32" fillId="0" borderId="63" xfId="0" applyNumberFormat="1" applyFont="1" applyBorder="1" applyAlignment="1">
      <alignment horizontal="center" vertical="center"/>
    </xf>
    <xf numFmtId="0" fontId="7" fillId="15" borderId="14" xfId="0" applyFont="1" applyFill="1" applyBorder="1" applyAlignment="1">
      <alignment horizontal="center" vertical="center"/>
    </xf>
    <xf numFmtId="0" fontId="7" fillId="15" borderId="1" xfId="0" applyFont="1" applyFill="1" applyBorder="1" applyAlignment="1">
      <alignment horizontal="center" vertical="center"/>
    </xf>
    <xf numFmtId="4" fontId="16" fillId="16" borderId="47" xfId="0" applyNumberFormat="1" applyFont="1" applyFill="1" applyBorder="1" applyAlignment="1">
      <alignment horizontal="center" vertical="center" wrapText="1"/>
    </xf>
    <xf numFmtId="4" fontId="16" fillId="16" borderId="48" xfId="0" applyNumberFormat="1" applyFont="1" applyFill="1" applyBorder="1" applyAlignment="1">
      <alignment horizontal="center" vertical="center" wrapText="1"/>
    </xf>
    <xf numFmtId="4" fontId="16" fillId="16" borderId="49" xfId="0" applyNumberFormat="1" applyFont="1" applyFill="1" applyBorder="1" applyAlignment="1">
      <alignment horizontal="center" vertical="center" wrapText="1"/>
    </xf>
    <xf numFmtId="4" fontId="16" fillId="16" borderId="47" xfId="0" applyNumberFormat="1" applyFont="1" applyFill="1" applyBorder="1" applyAlignment="1">
      <alignment horizontal="center" vertical="center"/>
    </xf>
    <xf numFmtId="4" fontId="16" fillId="16" borderId="48" xfId="0" applyNumberFormat="1" applyFont="1" applyFill="1" applyBorder="1" applyAlignment="1">
      <alignment horizontal="center" vertical="center"/>
    </xf>
    <xf numFmtId="4" fontId="16" fillId="16" borderId="49" xfId="0" applyNumberFormat="1" applyFont="1" applyFill="1" applyBorder="1" applyAlignment="1">
      <alignment horizontal="center" vertical="center"/>
    </xf>
    <xf numFmtId="4" fontId="17" fillId="0" borderId="48" xfId="0" applyNumberFormat="1" applyFont="1" applyBorder="1" applyAlignment="1">
      <alignment horizontal="center" vertical="center"/>
    </xf>
    <xf numFmtId="4" fontId="17" fillId="0" borderId="49" xfId="0" applyNumberFormat="1" applyFont="1" applyBorder="1" applyAlignment="1">
      <alignment horizontal="center" vertical="center"/>
    </xf>
    <xf numFmtId="2" fontId="23" fillId="0" borderId="48" xfId="0" applyNumberFormat="1" applyFont="1" applyBorder="1" applyAlignment="1">
      <alignment horizontal="center" vertical="center"/>
    </xf>
    <xf numFmtId="2" fontId="23" fillId="0" borderId="49" xfId="0" applyNumberFormat="1" applyFont="1" applyBorder="1" applyAlignment="1">
      <alignment horizontal="center" vertical="center"/>
    </xf>
    <xf numFmtId="2" fontId="18" fillId="16" borderId="47" xfId="0" applyNumberFormat="1" applyFont="1" applyFill="1" applyBorder="1" applyAlignment="1">
      <alignment horizontal="left" vertical="center"/>
    </xf>
    <xf numFmtId="2" fontId="18" fillId="16" borderId="32" xfId="0" applyNumberFormat="1" applyFont="1" applyFill="1" applyBorder="1" applyAlignment="1">
      <alignment horizontal="left" vertical="center"/>
    </xf>
    <xf numFmtId="4" fontId="17" fillId="0" borderId="56" xfId="0" applyNumberFormat="1" applyFont="1" applyBorder="1" applyAlignment="1">
      <alignment horizontal="center" vertical="center"/>
    </xf>
    <xf numFmtId="4" fontId="17" fillId="0" borderId="10" xfId="0" applyNumberFormat="1" applyFont="1" applyBorder="1" applyAlignment="1">
      <alignment horizontal="center" vertical="center"/>
    </xf>
    <xf numFmtId="4" fontId="19" fillId="17" borderId="47" xfId="0" applyNumberFormat="1" applyFont="1" applyFill="1" applyBorder="1" applyAlignment="1">
      <alignment horizontal="center" vertical="center"/>
    </xf>
    <xf numFmtId="4" fontId="19" fillId="17" borderId="48" xfId="0" applyNumberFormat="1" applyFont="1" applyFill="1" applyBorder="1" applyAlignment="1">
      <alignment horizontal="center" vertical="center"/>
    </xf>
    <xf numFmtId="4" fontId="19" fillId="17" borderId="49" xfId="0" applyNumberFormat="1" applyFont="1" applyFill="1" applyBorder="1" applyAlignment="1">
      <alignment horizontal="center" vertical="center"/>
    </xf>
    <xf numFmtId="0" fontId="23" fillId="17" borderId="47" xfId="0" applyFont="1" applyFill="1" applyBorder="1" applyAlignment="1">
      <alignment horizontal="center"/>
    </xf>
    <xf numFmtId="0" fontId="23" fillId="17" borderId="48" xfId="0" applyFont="1" applyFill="1" applyBorder="1" applyAlignment="1">
      <alignment horizontal="center"/>
    </xf>
    <xf numFmtId="0" fontId="23" fillId="17" borderId="49" xfId="0" applyFont="1" applyFill="1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righ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4" fillId="14" borderId="1" xfId="0" applyFont="1" applyFill="1" applyBorder="1" applyAlignment="1">
      <alignment horizontal="right" vertical="center" wrapText="1"/>
    </xf>
    <xf numFmtId="0" fontId="31" fillId="0" borderId="31" xfId="0" applyFont="1" applyBorder="1" applyAlignment="1">
      <alignment wrapText="1"/>
    </xf>
    <xf numFmtId="0" fontId="39" fillId="15" borderId="35" xfId="0" applyFont="1" applyFill="1" applyBorder="1" applyAlignment="1">
      <alignment horizontal="center" vertical="center" wrapText="1"/>
    </xf>
    <xf numFmtId="0" fontId="31" fillId="0" borderId="31" xfId="0" applyFont="1" applyBorder="1" applyAlignment="1">
      <alignment horizontal="left" wrapText="1"/>
    </xf>
    <xf numFmtId="169" fontId="0" fillId="0" borderId="0" xfId="0" applyNumberFormat="1"/>
  </cellXfs>
  <cellStyles count="4">
    <cellStyle name="Moeda" xfId="2" builtinId="4"/>
    <cellStyle name="Normal" xfId="0" builtinId="0"/>
    <cellStyle name="Normal 4" xfId="3" xr:uid="{53DB5324-CF09-4584-AA29-98E97336265D}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18" Type="http://schemas.openxmlformats.org/officeDocument/2006/relationships/image" Target="../media/image20.jpg"/><Relationship Id="rId26" Type="http://schemas.openxmlformats.org/officeDocument/2006/relationships/image" Target="../media/image28.jpeg"/><Relationship Id="rId3" Type="http://schemas.openxmlformats.org/officeDocument/2006/relationships/image" Target="../media/image5.jpeg"/><Relationship Id="rId21" Type="http://schemas.openxmlformats.org/officeDocument/2006/relationships/image" Target="../media/image23.jp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9.jpg"/><Relationship Id="rId25" Type="http://schemas.openxmlformats.org/officeDocument/2006/relationships/image" Target="../media/image27.jpeg"/><Relationship Id="rId2" Type="http://schemas.openxmlformats.org/officeDocument/2006/relationships/image" Target="../media/image4.jpg"/><Relationship Id="rId16" Type="http://schemas.openxmlformats.org/officeDocument/2006/relationships/image" Target="../media/image18.jpg"/><Relationship Id="rId20" Type="http://schemas.openxmlformats.org/officeDocument/2006/relationships/image" Target="../media/image22.jpeg"/><Relationship Id="rId29" Type="http://schemas.openxmlformats.org/officeDocument/2006/relationships/image" Target="../media/image31.jp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1" Type="http://schemas.openxmlformats.org/officeDocument/2006/relationships/image" Target="../media/image13.jpeg"/><Relationship Id="rId24" Type="http://schemas.openxmlformats.org/officeDocument/2006/relationships/image" Target="../media/image26.jpeg"/><Relationship Id="rId5" Type="http://schemas.openxmlformats.org/officeDocument/2006/relationships/image" Target="../media/image7.jpg"/><Relationship Id="rId15" Type="http://schemas.openxmlformats.org/officeDocument/2006/relationships/image" Target="../media/image17.jp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10" Type="http://schemas.openxmlformats.org/officeDocument/2006/relationships/image" Target="../media/image12.jpeg"/><Relationship Id="rId19" Type="http://schemas.openxmlformats.org/officeDocument/2006/relationships/image" Target="../media/image21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4" Type="http://schemas.openxmlformats.org/officeDocument/2006/relationships/image" Target="../media/image16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g"/><Relationship Id="rId13" Type="http://schemas.openxmlformats.org/officeDocument/2006/relationships/image" Target="../media/image43.jpeg"/><Relationship Id="rId18" Type="http://schemas.openxmlformats.org/officeDocument/2006/relationships/image" Target="../media/image48.jpeg"/><Relationship Id="rId3" Type="http://schemas.openxmlformats.org/officeDocument/2006/relationships/image" Target="../media/image33.jpg"/><Relationship Id="rId7" Type="http://schemas.openxmlformats.org/officeDocument/2006/relationships/image" Target="../media/image37.jpeg"/><Relationship Id="rId12" Type="http://schemas.openxmlformats.org/officeDocument/2006/relationships/image" Target="../media/image42.jpg"/><Relationship Id="rId17" Type="http://schemas.openxmlformats.org/officeDocument/2006/relationships/image" Target="../media/image47.jpeg"/><Relationship Id="rId2" Type="http://schemas.openxmlformats.org/officeDocument/2006/relationships/image" Target="../media/image32.jpg"/><Relationship Id="rId16" Type="http://schemas.openxmlformats.org/officeDocument/2006/relationships/image" Target="../media/image46.jpeg"/><Relationship Id="rId1" Type="http://schemas.openxmlformats.org/officeDocument/2006/relationships/image" Target="../media/image3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5" Type="http://schemas.openxmlformats.org/officeDocument/2006/relationships/image" Target="../media/image45.jpg"/><Relationship Id="rId10" Type="http://schemas.openxmlformats.org/officeDocument/2006/relationships/image" Target="../media/image40.jpeg"/><Relationship Id="rId19" Type="http://schemas.openxmlformats.org/officeDocument/2006/relationships/image" Target="../media/image49.jpeg"/><Relationship Id="rId4" Type="http://schemas.openxmlformats.org/officeDocument/2006/relationships/image" Target="../media/image34.jpeg"/><Relationship Id="rId9" Type="http://schemas.openxmlformats.org/officeDocument/2006/relationships/image" Target="../media/image39.jpg"/><Relationship Id="rId14" Type="http://schemas.openxmlformats.org/officeDocument/2006/relationships/image" Target="../media/image4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.jpeg"/><Relationship Id="rId13" Type="http://schemas.openxmlformats.org/officeDocument/2006/relationships/image" Target="../media/image61.jpeg"/><Relationship Id="rId3" Type="http://schemas.openxmlformats.org/officeDocument/2006/relationships/image" Target="../media/image51.jpeg"/><Relationship Id="rId7" Type="http://schemas.openxmlformats.org/officeDocument/2006/relationships/image" Target="../media/image55.jpeg"/><Relationship Id="rId12" Type="http://schemas.openxmlformats.org/officeDocument/2006/relationships/image" Target="../media/image60.jpeg"/><Relationship Id="rId2" Type="http://schemas.openxmlformats.org/officeDocument/2006/relationships/image" Target="../media/image50.jpeg"/><Relationship Id="rId1" Type="http://schemas.openxmlformats.org/officeDocument/2006/relationships/image" Target="../media/image3.jpeg"/><Relationship Id="rId6" Type="http://schemas.openxmlformats.org/officeDocument/2006/relationships/image" Target="../media/image54.jpeg"/><Relationship Id="rId11" Type="http://schemas.openxmlformats.org/officeDocument/2006/relationships/image" Target="../media/image59.jpeg"/><Relationship Id="rId5" Type="http://schemas.openxmlformats.org/officeDocument/2006/relationships/image" Target="../media/image53.jpeg"/><Relationship Id="rId15" Type="http://schemas.openxmlformats.org/officeDocument/2006/relationships/image" Target="../media/image63.jpg"/><Relationship Id="rId10" Type="http://schemas.openxmlformats.org/officeDocument/2006/relationships/image" Target="../media/image58.jpeg"/><Relationship Id="rId4" Type="http://schemas.openxmlformats.org/officeDocument/2006/relationships/image" Target="../media/image52.jpeg"/><Relationship Id="rId9" Type="http://schemas.openxmlformats.org/officeDocument/2006/relationships/image" Target="../media/image57.jpeg"/><Relationship Id="rId14" Type="http://schemas.openxmlformats.org/officeDocument/2006/relationships/image" Target="../media/image6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70.jpeg"/><Relationship Id="rId13" Type="http://schemas.openxmlformats.org/officeDocument/2006/relationships/image" Target="../media/image75.jpeg"/><Relationship Id="rId3" Type="http://schemas.openxmlformats.org/officeDocument/2006/relationships/image" Target="../media/image65.jpeg"/><Relationship Id="rId7" Type="http://schemas.openxmlformats.org/officeDocument/2006/relationships/image" Target="../media/image69.jpeg"/><Relationship Id="rId12" Type="http://schemas.openxmlformats.org/officeDocument/2006/relationships/image" Target="../media/image74.jpeg"/><Relationship Id="rId2" Type="http://schemas.openxmlformats.org/officeDocument/2006/relationships/image" Target="../media/image64.jpeg"/><Relationship Id="rId1" Type="http://schemas.openxmlformats.org/officeDocument/2006/relationships/image" Target="../media/image3.jpeg"/><Relationship Id="rId6" Type="http://schemas.openxmlformats.org/officeDocument/2006/relationships/image" Target="../media/image68.jpeg"/><Relationship Id="rId11" Type="http://schemas.openxmlformats.org/officeDocument/2006/relationships/image" Target="../media/image73.jpeg"/><Relationship Id="rId5" Type="http://schemas.openxmlformats.org/officeDocument/2006/relationships/image" Target="../media/image67.jpeg"/><Relationship Id="rId10" Type="http://schemas.openxmlformats.org/officeDocument/2006/relationships/image" Target="../media/image72.jpeg"/><Relationship Id="rId4" Type="http://schemas.openxmlformats.org/officeDocument/2006/relationships/image" Target="../media/image66.jpeg"/><Relationship Id="rId9" Type="http://schemas.openxmlformats.org/officeDocument/2006/relationships/image" Target="../media/image71.jpeg"/><Relationship Id="rId14" Type="http://schemas.openxmlformats.org/officeDocument/2006/relationships/image" Target="../media/image76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jpeg"/><Relationship Id="rId13" Type="http://schemas.openxmlformats.org/officeDocument/2006/relationships/image" Target="../media/image88.jpeg"/><Relationship Id="rId3" Type="http://schemas.openxmlformats.org/officeDocument/2006/relationships/image" Target="../media/image78.jpeg"/><Relationship Id="rId7" Type="http://schemas.openxmlformats.org/officeDocument/2006/relationships/image" Target="../media/image82.jpeg"/><Relationship Id="rId12" Type="http://schemas.openxmlformats.org/officeDocument/2006/relationships/image" Target="../media/image87.jpeg"/><Relationship Id="rId2" Type="http://schemas.openxmlformats.org/officeDocument/2006/relationships/image" Target="../media/image77.jpeg"/><Relationship Id="rId16" Type="http://schemas.openxmlformats.org/officeDocument/2006/relationships/image" Target="../media/image91.jpeg"/><Relationship Id="rId1" Type="http://schemas.openxmlformats.org/officeDocument/2006/relationships/image" Target="../media/image3.jpeg"/><Relationship Id="rId6" Type="http://schemas.openxmlformats.org/officeDocument/2006/relationships/image" Target="../media/image81.jpeg"/><Relationship Id="rId11" Type="http://schemas.openxmlformats.org/officeDocument/2006/relationships/image" Target="../media/image86.jpeg"/><Relationship Id="rId5" Type="http://schemas.openxmlformats.org/officeDocument/2006/relationships/image" Target="../media/image80.jpeg"/><Relationship Id="rId15" Type="http://schemas.openxmlformats.org/officeDocument/2006/relationships/image" Target="../media/image90.jpeg"/><Relationship Id="rId10" Type="http://schemas.openxmlformats.org/officeDocument/2006/relationships/image" Target="../media/image85.jpeg"/><Relationship Id="rId4" Type="http://schemas.openxmlformats.org/officeDocument/2006/relationships/image" Target="../media/image79.jpeg"/><Relationship Id="rId9" Type="http://schemas.openxmlformats.org/officeDocument/2006/relationships/image" Target="../media/image84.jpeg"/><Relationship Id="rId14" Type="http://schemas.openxmlformats.org/officeDocument/2006/relationships/image" Target="../media/image8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9.jpeg"/><Relationship Id="rId3" Type="http://schemas.openxmlformats.org/officeDocument/2006/relationships/image" Target="../media/image94.jpeg"/><Relationship Id="rId7" Type="http://schemas.openxmlformats.org/officeDocument/2006/relationships/image" Target="../media/image98.jpeg"/><Relationship Id="rId2" Type="http://schemas.openxmlformats.org/officeDocument/2006/relationships/image" Target="../media/image93.jpeg"/><Relationship Id="rId1" Type="http://schemas.openxmlformats.org/officeDocument/2006/relationships/image" Target="../media/image3.jpeg"/><Relationship Id="rId6" Type="http://schemas.openxmlformats.org/officeDocument/2006/relationships/image" Target="../media/image97.jpeg"/><Relationship Id="rId5" Type="http://schemas.openxmlformats.org/officeDocument/2006/relationships/image" Target="../media/image96.jpeg"/><Relationship Id="rId4" Type="http://schemas.openxmlformats.org/officeDocument/2006/relationships/image" Target="../media/image95.jpeg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6.jpg"/><Relationship Id="rId13" Type="http://schemas.openxmlformats.org/officeDocument/2006/relationships/image" Target="../media/image111.jpg"/><Relationship Id="rId3" Type="http://schemas.openxmlformats.org/officeDocument/2006/relationships/image" Target="../media/image101.jpg"/><Relationship Id="rId7" Type="http://schemas.openxmlformats.org/officeDocument/2006/relationships/image" Target="../media/image105.jpg"/><Relationship Id="rId12" Type="http://schemas.openxmlformats.org/officeDocument/2006/relationships/image" Target="../media/image110.jpg"/><Relationship Id="rId2" Type="http://schemas.openxmlformats.org/officeDocument/2006/relationships/image" Target="../media/image100.jpg"/><Relationship Id="rId1" Type="http://schemas.openxmlformats.org/officeDocument/2006/relationships/image" Target="../media/image3.jpeg"/><Relationship Id="rId6" Type="http://schemas.openxmlformats.org/officeDocument/2006/relationships/image" Target="../media/image104.jpg"/><Relationship Id="rId11" Type="http://schemas.openxmlformats.org/officeDocument/2006/relationships/image" Target="../media/image109.jpg"/><Relationship Id="rId5" Type="http://schemas.openxmlformats.org/officeDocument/2006/relationships/image" Target="../media/image103.jpg"/><Relationship Id="rId10" Type="http://schemas.openxmlformats.org/officeDocument/2006/relationships/image" Target="../media/image108.jpg"/><Relationship Id="rId4" Type="http://schemas.openxmlformats.org/officeDocument/2006/relationships/image" Target="../media/image102.jpg"/><Relationship Id="rId9" Type="http://schemas.openxmlformats.org/officeDocument/2006/relationships/image" Target="../media/image107.jpg"/><Relationship Id="rId14" Type="http://schemas.openxmlformats.org/officeDocument/2006/relationships/image" Target="../media/image112.jp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9.jpeg"/><Relationship Id="rId13" Type="http://schemas.openxmlformats.org/officeDocument/2006/relationships/image" Target="../media/image124.jpeg"/><Relationship Id="rId3" Type="http://schemas.openxmlformats.org/officeDocument/2006/relationships/image" Target="../media/image114.jpeg"/><Relationship Id="rId7" Type="http://schemas.openxmlformats.org/officeDocument/2006/relationships/image" Target="../media/image118.jpeg"/><Relationship Id="rId12" Type="http://schemas.openxmlformats.org/officeDocument/2006/relationships/image" Target="../media/image123.jpeg"/><Relationship Id="rId2" Type="http://schemas.openxmlformats.org/officeDocument/2006/relationships/image" Target="../media/image113.jpeg"/><Relationship Id="rId1" Type="http://schemas.openxmlformats.org/officeDocument/2006/relationships/image" Target="../media/image3.jpeg"/><Relationship Id="rId6" Type="http://schemas.openxmlformats.org/officeDocument/2006/relationships/image" Target="../media/image117.jpeg"/><Relationship Id="rId11" Type="http://schemas.openxmlformats.org/officeDocument/2006/relationships/image" Target="../media/image122.jpeg"/><Relationship Id="rId5" Type="http://schemas.openxmlformats.org/officeDocument/2006/relationships/image" Target="../media/image116.jpeg"/><Relationship Id="rId10" Type="http://schemas.openxmlformats.org/officeDocument/2006/relationships/image" Target="../media/image121.jpeg"/><Relationship Id="rId4" Type="http://schemas.openxmlformats.org/officeDocument/2006/relationships/image" Target="../media/image115.jpeg"/><Relationship Id="rId9" Type="http://schemas.openxmlformats.org/officeDocument/2006/relationships/image" Target="../media/image120.jpeg"/><Relationship Id="rId14" Type="http://schemas.openxmlformats.org/officeDocument/2006/relationships/image" Target="../media/image125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2.jpeg"/><Relationship Id="rId3" Type="http://schemas.openxmlformats.org/officeDocument/2006/relationships/image" Target="../media/image127.jpeg"/><Relationship Id="rId7" Type="http://schemas.openxmlformats.org/officeDocument/2006/relationships/image" Target="../media/image131.jpeg"/><Relationship Id="rId12" Type="http://schemas.openxmlformats.org/officeDocument/2006/relationships/image" Target="../media/image136.jpeg"/><Relationship Id="rId2" Type="http://schemas.openxmlformats.org/officeDocument/2006/relationships/image" Target="../media/image126.jpeg"/><Relationship Id="rId1" Type="http://schemas.openxmlformats.org/officeDocument/2006/relationships/image" Target="../media/image3.jpeg"/><Relationship Id="rId6" Type="http://schemas.openxmlformats.org/officeDocument/2006/relationships/image" Target="../media/image130.jpeg"/><Relationship Id="rId11" Type="http://schemas.openxmlformats.org/officeDocument/2006/relationships/image" Target="../media/image135.jpeg"/><Relationship Id="rId5" Type="http://schemas.openxmlformats.org/officeDocument/2006/relationships/image" Target="../media/image129.jpeg"/><Relationship Id="rId10" Type="http://schemas.openxmlformats.org/officeDocument/2006/relationships/image" Target="../media/image134.jpeg"/><Relationship Id="rId4" Type="http://schemas.openxmlformats.org/officeDocument/2006/relationships/image" Target="../media/image128.jpeg"/><Relationship Id="rId9" Type="http://schemas.openxmlformats.org/officeDocument/2006/relationships/image" Target="../media/image13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E0175BA-D925-4369-A4DD-C15C8F715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20627" y="863614"/>
          <a:ext cx="1087754" cy="5095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4E78293-6B78-46FB-B428-CD609F0D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3017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9C8E3D-668C-4074-AE9C-C7B77F775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3</xdr:col>
      <xdr:colOff>3030876</xdr:colOff>
      <xdr:row>11</xdr:row>
      <xdr:rowOff>17121</xdr:rowOff>
    </xdr:from>
    <xdr:to>
      <xdr:col>7</xdr:col>
      <xdr:colOff>1341810</xdr:colOff>
      <xdr:row>25</xdr:row>
      <xdr:rowOff>60272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BF2F2F-74B5-5C8B-AB5A-4BFB881E0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168" y="2243188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1425707</xdr:colOff>
      <xdr:row>11</xdr:row>
      <xdr:rowOff>21572</xdr:rowOff>
    </xdr:from>
    <xdr:to>
      <xdr:col>16</xdr:col>
      <xdr:colOff>735916</xdr:colOff>
      <xdr:row>25</xdr:row>
      <xdr:rowOff>64723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FB573D1-822E-6915-912A-E01B63BE5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3707" y="2247639"/>
          <a:ext cx="340274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813707</xdr:colOff>
      <xdr:row>11</xdr:row>
      <xdr:rowOff>337</xdr:rowOff>
    </xdr:from>
    <xdr:to>
      <xdr:col>25</xdr:col>
      <xdr:colOff>467613</xdr:colOff>
      <xdr:row>25</xdr:row>
      <xdr:rowOff>43488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3952D20-0074-483E-416E-776727601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64246" y="2226404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330135</xdr:colOff>
      <xdr:row>25</xdr:row>
      <xdr:rowOff>90405</xdr:rowOff>
    </xdr:from>
    <xdr:to>
      <xdr:col>3</xdr:col>
      <xdr:colOff>3014918</xdr:colOff>
      <xdr:row>39</xdr:row>
      <xdr:rowOff>133557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B4C2E7A9-59FB-CDF4-E0B7-14A38B94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4674" y="4833641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3057235</xdr:colOff>
      <xdr:row>25</xdr:row>
      <xdr:rowOff>86292</xdr:rowOff>
    </xdr:from>
    <xdr:to>
      <xdr:col>7</xdr:col>
      <xdr:colOff>1373043</xdr:colOff>
      <xdr:row>39</xdr:row>
      <xdr:rowOff>129444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B3F7E787-B5EA-A891-6061-D57CE5F11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527" y="4829528"/>
          <a:ext cx="3401516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3074697</xdr:colOff>
      <xdr:row>83</xdr:row>
      <xdr:rowOff>26697</xdr:rowOff>
    </xdr:from>
    <xdr:to>
      <xdr:col>7</xdr:col>
      <xdr:colOff>1402749</xdr:colOff>
      <xdr:row>97</xdr:row>
      <xdr:rowOff>69849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FAAB814F-E5A2-AA1E-2965-4F70F540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6989" y="15198203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330810</xdr:colOff>
      <xdr:row>54</xdr:row>
      <xdr:rowOff>91078</xdr:rowOff>
    </xdr:from>
    <xdr:to>
      <xdr:col>3</xdr:col>
      <xdr:colOff>3020496</xdr:colOff>
      <xdr:row>68</xdr:row>
      <xdr:rowOff>134230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7E7E02FD-1E81-393E-942D-2FFC327C6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349" y="10048449"/>
          <a:ext cx="3417439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3066474</xdr:colOff>
      <xdr:row>54</xdr:row>
      <xdr:rowOff>69843</xdr:rowOff>
    </xdr:from>
    <xdr:to>
      <xdr:col>7</xdr:col>
      <xdr:colOff>1389628</xdr:colOff>
      <xdr:row>68</xdr:row>
      <xdr:rowOff>112995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9286677B-F78F-2CA0-9202-A53FD01BB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66" y="10027214"/>
          <a:ext cx="340886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1418494</xdr:colOff>
      <xdr:row>25</xdr:row>
      <xdr:rowOff>91415</xdr:rowOff>
    </xdr:from>
    <xdr:to>
      <xdr:col>16</xdr:col>
      <xdr:colOff>747072</xdr:colOff>
      <xdr:row>39</xdr:row>
      <xdr:rowOff>134567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5ECB0C30-F1F7-ABD1-A3CA-3530D4DF7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76494" y="4834651"/>
          <a:ext cx="3421117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840742</xdr:colOff>
      <xdr:row>25</xdr:row>
      <xdr:rowOff>78742</xdr:rowOff>
    </xdr:from>
    <xdr:to>
      <xdr:col>25</xdr:col>
      <xdr:colOff>488531</xdr:colOff>
      <xdr:row>39</xdr:row>
      <xdr:rowOff>121894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01D8C13-AD84-1E2B-9174-6A1F00172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1281" y="4821978"/>
          <a:ext cx="3406419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1444516</xdr:colOff>
      <xdr:row>54</xdr:row>
      <xdr:rowOff>57504</xdr:rowOff>
    </xdr:from>
    <xdr:to>
      <xdr:col>16</xdr:col>
      <xdr:colOff>775575</xdr:colOff>
      <xdr:row>68</xdr:row>
      <xdr:rowOff>100656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05E7FCAB-6B6A-09A2-623B-DEABE349E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2516" y="10014875"/>
          <a:ext cx="3423598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3045912</xdr:colOff>
      <xdr:row>39</xdr:row>
      <xdr:rowOff>134901</xdr:rowOff>
    </xdr:from>
    <xdr:to>
      <xdr:col>7</xdr:col>
      <xdr:colOff>1371519</xdr:colOff>
      <xdr:row>53</xdr:row>
      <xdr:rowOff>178052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6308711F-337E-54A3-840F-989EE31AD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8204" y="7395305"/>
          <a:ext cx="3411315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336270</xdr:colOff>
      <xdr:row>39</xdr:row>
      <xdr:rowOff>139347</xdr:rowOff>
    </xdr:from>
    <xdr:to>
      <xdr:col>3</xdr:col>
      <xdr:colOff>3024726</xdr:colOff>
      <xdr:row>54</xdr:row>
      <xdr:rowOff>2700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4C50FC5B-5459-80DC-AB0F-643F8F38A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0809" y="7399751"/>
          <a:ext cx="341620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839055</xdr:colOff>
      <xdr:row>39</xdr:row>
      <xdr:rowOff>128430</xdr:rowOff>
    </xdr:from>
    <xdr:to>
      <xdr:col>25</xdr:col>
      <xdr:colOff>613438</xdr:colOff>
      <xdr:row>53</xdr:row>
      <xdr:rowOff>171581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E0C3CCE-ADF1-B6A7-C1D2-814D6759C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4" y="7388834"/>
          <a:ext cx="353301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1433931</xdr:colOff>
      <xdr:row>39</xdr:row>
      <xdr:rowOff>98631</xdr:rowOff>
    </xdr:from>
    <xdr:to>
      <xdr:col>16</xdr:col>
      <xdr:colOff>745370</xdr:colOff>
      <xdr:row>53</xdr:row>
      <xdr:rowOff>141782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03E3B73-C051-1077-EECD-26A94BC8F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1931" y="7359035"/>
          <a:ext cx="3403978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856180</xdr:colOff>
      <xdr:row>54</xdr:row>
      <xdr:rowOff>42808</xdr:rowOff>
    </xdr:from>
    <xdr:to>
      <xdr:col>25</xdr:col>
      <xdr:colOff>511310</xdr:colOff>
      <xdr:row>68</xdr:row>
      <xdr:rowOff>85960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196A9786-4E9E-0F85-8B9D-A75213462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6719" y="10000179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355483</xdr:colOff>
      <xdr:row>68</xdr:row>
      <xdr:rowOff>150000</xdr:rowOff>
    </xdr:from>
    <xdr:to>
      <xdr:col>3</xdr:col>
      <xdr:colOff>3024372</xdr:colOff>
      <xdr:row>83</xdr:row>
      <xdr:rowOff>13353</xdr:rowOff>
    </xdr:to>
    <xdr:pic>
      <xdr:nvPicPr>
        <xdr:cNvPr id="42" name="Imagem 41">
          <a:extLst>
            <a:ext uri="{FF2B5EF4-FFF2-40B4-BE49-F238E27FC236}">
              <a16:creationId xmlns:a16="http://schemas.microsoft.com/office/drawing/2014/main" id="{E3CFB278-22E5-4EC1-2008-44A1381DC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022" y="12624539"/>
          <a:ext cx="339664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3082586</xdr:colOff>
      <xdr:row>68</xdr:row>
      <xdr:rowOff>128765</xdr:rowOff>
    </xdr:from>
    <xdr:to>
      <xdr:col>7</xdr:col>
      <xdr:colOff>1410638</xdr:colOff>
      <xdr:row>82</xdr:row>
      <xdr:rowOff>171916</xdr:rowOff>
    </xdr:to>
    <xdr:pic>
      <xdr:nvPicPr>
        <xdr:cNvPr id="44" name="Imagem 43">
          <a:extLst>
            <a:ext uri="{FF2B5EF4-FFF2-40B4-BE49-F238E27FC236}">
              <a16:creationId xmlns:a16="http://schemas.microsoft.com/office/drawing/2014/main" id="{A51EC06F-B34E-9FBE-8802-C199F677A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4878" y="12603304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1489753</xdr:colOff>
      <xdr:row>68</xdr:row>
      <xdr:rowOff>136989</xdr:rowOff>
    </xdr:from>
    <xdr:to>
      <xdr:col>16</xdr:col>
      <xdr:colOff>810360</xdr:colOff>
      <xdr:row>83</xdr:row>
      <xdr:rowOff>342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81F2D3B7-EAA5-6690-ED4B-BBFB926E3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753" y="12611528"/>
          <a:ext cx="341314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873305</xdr:colOff>
      <xdr:row>68</xdr:row>
      <xdr:rowOff>102742</xdr:rowOff>
    </xdr:from>
    <xdr:to>
      <xdr:col>25</xdr:col>
      <xdr:colOff>659118</xdr:colOff>
      <xdr:row>82</xdr:row>
      <xdr:rowOff>145893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907D28E7-D01B-8068-1D16-D754B5DD9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23844" y="12577281"/>
          <a:ext cx="3544443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1472966</xdr:colOff>
      <xdr:row>83</xdr:row>
      <xdr:rowOff>34581</xdr:rowOff>
    </xdr:from>
    <xdr:to>
      <xdr:col>16</xdr:col>
      <xdr:colOff>794187</xdr:colOff>
      <xdr:row>97</xdr:row>
      <xdr:rowOff>77733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7D0FEAC3-6B58-AE24-6D56-6555CDCC2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0966" y="15206087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119866</xdr:colOff>
      <xdr:row>108</xdr:row>
      <xdr:rowOff>51371</xdr:rowOff>
    </xdr:from>
    <xdr:to>
      <xdr:col>3</xdr:col>
      <xdr:colOff>2808332</xdr:colOff>
      <xdr:row>122</xdr:row>
      <xdr:rowOff>94522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9FDCD255-0A75-5EB2-9AD2-264557114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405" y="19717820"/>
          <a:ext cx="3416219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869192</xdr:colOff>
      <xdr:row>82</xdr:row>
      <xdr:rowOff>150000</xdr:rowOff>
    </xdr:from>
    <xdr:to>
      <xdr:col>25</xdr:col>
      <xdr:colOff>524322</xdr:colOff>
      <xdr:row>97</xdr:row>
      <xdr:rowOff>13354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F01E1C7F-13D9-8E84-3B23-48BAD2164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9731" y="15141708"/>
          <a:ext cx="3413760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2979506</xdr:colOff>
      <xdr:row>108</xdr:row>
      <xdr:rowOff>25686</xdr:rowOff>
    </xdr:from>
    <xdr:to>
      <xdr:col>7</xdr:col>
      <xdr:colOff>1319838</xdr:colOff>
      <xdr:row>122</xdr:row>
      <xdr:rowOff>68837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EBF8DB60-3B63-80CA-9906-FAB36CD83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1798" y="19692135"/>
          <a:ext cx="3426040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1429584</xdr:colOff>
      <xdr:row>108</xdr:row>
      <xdr:rowOff>40904</xdr:rowOff>
    </xdr:from>
    <xdr:to>
      <xdr:col>16</xdr:col>
      <xdr:colOff>747051</xdr:colOff>
      <xdr:row>122</xdr:row>
      <xdr:rowOff>84055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C017F948-37A7-1380-B037-FB4FEE1FE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7584" y="19707353"/>
          <a:ext cx="3410006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839056</xdr:colOff>
      <xdr:row>108</xdr:row>
      <xdr:rowOff>59933</xdr:rowOff>
    </xdr:from>
    <xdr:to>
      <xdr:col>25</xdr:col>
      <xdr:colOff>492962</xdr:colOff>
      <xdr:row>122</xdr:row>
      <xdr:rowOff>103084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166500FD-32DB-65EA-C915-E6A5F5D24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9595" y="19726382"/>
          <a:ext cx="3412536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361739</xdr:colOff>
      <xdr:row>83</xdr:row>
      <xdr:rowOff>51841</xdr:rowOff>
    </xdr:from>
    <xdr:to>
      <xdr:col>3</xdr:col>
      <xdr:colOff>3029568</xdr:colOff>
      <xdr:row>97</xdr:row>
      <xdr:rowOff>94993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3C544FD-FDC2-1EBA-A414-21D17CF7F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278" y="15223347"/>
          <a:ext cx="3395582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291101</xdr:colOff>
      <xdr:row>11</xdr:row>
      <xdr:rowOff>17123</xdr:rowOff>
    </xdr:from>
    <xdr:to>
      <xdr:col>3</xdr:col>
      <xdr:colOff>2977108</xdr:colOff>
      <xdr:row>25</xdr:row>
      <xdr:rowOff>60274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689BE95-A088-777D-2690-607F63CA1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5640" y="2243190"/>
          <a:ext cx="3413760" cy="25603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160565C-3025-4DDA-BFCF-6F3766CE3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51183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2</xdr:col>
      <xdr:colOff>264367</xdr:colOff>
      <xdr:row>11</xdr:row>
      <xdr:rowOff>62205</xdr:rowOff>
    </xdr:from>
    <xdr:to>
      <xdr:col>3</xdr:col>
      <xdr:colOff>2852741</xdr:colOff>
      <xdr:row>25</xdr:row>
      <xdr:rowOff>9953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EA83ED1-F14B-32B0-F5D8-D3F2C5B9F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285" y="2309327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3145320</xdr:colOff>
      <xdr:row>11</xdr:row>
      <xdr:rowOff>35896</xdr:rowOff>
    </xdr:from>
    <xdr:to>
      <xdr:col>7</xdr:col>
      <xdr:colOff>1387184</xdr:colOff>
      <xdr:row>24</xdr:row>
      <xdr:rowOff>164619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AF0E921-7AC3-B90B-B783-DADB52865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495" y="2255221"/>
          <a:ext cx="3328214" cy="2481398"/>
        </a:xfrm>
        <a:prstGeom prst="rect">
          <a:avLst/>
        </a:prstGeom>
      </xdr:spPr>
    </xdr:pic>
    <xdr:clientData/>
  </xdr:twoCellAnchor>
  <xdr:twoCellAnchor editAs="oneCell">
    <xdr:from>
      <xdr:col>16</xdr:col>
      <xdr:colOff>1207214</xdr:colOff>
      <xdr:row>39</xdr:row>
      <xdr:rowOff>2009</xdr:rowOff>
    </xdr:from>
    <xdr:to>
      <xdr:col>25</xdr:col>
      <xdr:colOff>763979</xdr:colOff>
      <xdr:row>52</xdr:row>
      <xdr:rowOff>136369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CC999F3E-D332-8FB2-A486-997CB3DA9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3538" y="7446955"/>
          <a:ext cx="3315279" cy="254392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1662980</xdr:colOff>
      <xdr:row>11</xdr:row>
      <xdr:rowOff>76778</xdr:rowOff>
    </xdr:from>
    <xdr:to>
      <xdr:col>16</xdr:col>
      <xdr:colOff>892333</xdr:colOff>
      <xdr:row>25</xdr:row>
      <xdr:rowOff>24526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6221FAAF-DA6F-8775-4F2A-F53C2583E0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3204" y="2323900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3142802</xdr:colOff>
      <xdr:row>54</xdr:row>
      <xdr:rowOff>50251</xdr:rowOff>
    </xdr:from>
    <xdr:to>
      <xdr:col>7</xdr:col>
      <xdr:colOff>1384666</xdr:colOff>
      <xdr:row>67</xdr:row>
      <xdr:rowOff>184611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EBEE83D8-550E-FF6A-D235-9C55B0D9A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937" y="10275467"/>
          <a:ext cx="3328729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319404</xdr:colOff>
      <xdr:row>54</xdr:row>
      <xdr:rowOff>58188</xdr:rowOff>
    </xdr:from>
    <xdr:to>
      <xdr:col>3</xdr:col>
      <xdr:colOff>2902524</xdr:colOff>
      <xdr:row>68</xdr:row>
      <xdr:rowOff>5937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1F1E118E-DC10-478B-CE4C-69EF7D7DA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9431" y="10283404"/>
          <a:ext cx="3314228" cy="2542668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1662000</xdr:colOff>
      <xdr:row>25</xdr:row>
      <xdr:rowOff>44695</xdr:rowOff>
    </xdr:from>
    <xdr:to>
      <xdr:col>16</xdr:col>
      <xdr:colOff>891353</xdr:colOff>
      <xdr:row>38</xdr:row>
      <xdr:rowOff>179056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4B904671-3EAB-87BF-2BF5-3A2E2821C7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2224" y="4904389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1205509</xdr:colOff>
      <xdr:row>11</xdr:row>
      <xdr:rowOff>78062</xdr:rowOff>
    </xdr:from>
    <xdr:to>
      <xdr:col>25</xdr:col>
      <xdr:colOff>761434</xdr:colOff>
      <xdr:row>25</xdr:row>
      <xdr:rowOff>25810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340640EE-0481-2686-7457-60BA4B8C8F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45652" y="2325184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3162580</xdr:colOff>
      <xdr:row>68</xdr:row>
      <xdr:rowOff>165017</xdr:rowOff>
    </xdr:from>
    <xdr:to>
      <xdr:col>7</xdr:col>
      <xdr:colOff>1395197</xdr:colOff>
      <xdr:row>82</xdr:row>
      <xdr:rowOff>114025</xdr:rowOff>
    </xdr:to>
    <xdr:pic>
      <xdr:nvPicPr>
        <xdr:cNvPr id="20" name="Imagem 19">
          <a:extLst>
            <a:ext uri="{FF2B5EF4-FFF2-40B4-BE49-F238E27FC236}">
              <a16:creationId xmlns:a16="http://schemas.microsoft.com/office/drawing/2014/main" id="{3BDD201D-EDB8-9427-03F5-47CAC891F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715" y="12985152"/>
          <a:ext cx="3319482" cy="2543927"/>
        </a:xfrm>
        <a:prstGeom prst="rect">
          <a:avLst/>
        </a:prstGeom>
      </xdr:spPr>
    </xdr:pic>
    <xdr:clientData/>
  </xdr:twoCellAnchor>
  <xdr:twoCellAnchor editAs="oneCell">
    <xdr:from>
      <xdr:col>16</xdr:col>
      <xdr:colOff>1262368</xdr:colOff>
      <xdr:row>54</xdr:row>
      <xdr:rowOff>57164</xdr:rowOff>
    </xdr:from>
    <xdr:to>
      <xdr:col>25</xdr:col>
      <xdr:colOff>831531</xdr:colOff>
      <xdr:row>68</xdr:row>
      <xdr:rowOff>4912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79FB2A42-7DBE-2E44-7452-5886651642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8692" y="10282380"/>
          <a:ext cx="3327677" cy="2542667"/>
        </a:xfrm>
        <a:prstGeom prst="rect">
          <a:avLst/>
        </a:prstGeom>
      </xdr:spPr>
    </xdr:pic>
    <xdr:clientData/>
  </xdr:twoCellAnchor>
  <xdr:twoCellAnchor editAs="oneCell">
    <xdr:from>
      <xdr:col>8</xdr:col>
      <xdr:colOff>6892</xdr:colOff>
      <xdr:row>54</xdr:row>
      <xdr:rowOff>79394</xdr:rowOff>
    </xdr:from>
    <xdr:to>
      <xdr:col>16</xdr:col>
      <xdr:colOff>960938</xdr:colOff>
      <xdr:row>68</xdr:row>
      <xdr:rowOff>28404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710BABF6-1C92-B1C3-B81B-3A6C93826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4838" y="10304610"/>
          <a:ext cx="3322424" cy="2543929"/>
        </a:xfrm>
        <a:prstGeom prst="rect">
          <a:avLst/>
        </a:prstGeom>
      </xdr:spPr>
    </xdr:pic>
    <xdr:clientData/>
  </xdr:twoCellAnchor>
  <xdr:twoCellAnchor editAs="oneCell">
    <xdr:from>
      <xdr:col>14</xdr:col>
      <xdr:colOff>22397</xdr:colOff>
      <xdr:row>69</xdr:row>
      <xdr:rowOff>15040</xdr:rowOff>
    </xdr:from>
    <xdr:to>
      <xdr:col>16</xdr:col>
      <xdr:colOff>970559</xdr:colOff>
      <xdr:row>82</xdr:row>
      <xdr:rowOff>148140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8E44FFC3-2856-7DF1-D025-E72FA94125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10343" y="13020526"/>
          <a:ext cx="3316540" cy="2542668"/>
        </a:xfrm>
        <a:prstGeom prst="rect">
          <a:avLst/>
        </a:prstGeom>
      </xdr:spPr>
    </xdr:pic>
    <xdr:clientData/>
  </xdr:twoCellAnchor>
  <xdr:twoCellAnchor editAs="oneCell">
    <xdr:from>
      <xdr:col>2</xdr:col>
      <xdr:colOff>295632</xdr:colOff>
      <xdr:row>25</xdr:row>
      <xdr:rowOff>33987</xdr:rowOff>
    </xdr:from>
    <xdr:to>
      <xdr:col>3</xdr:col>
      <xdr:colOff>2889838</xdr:colOff>
      <xdr:row>38</xdr:row>
      <xdr:rowOff>162710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0626A6-D051-4198-4BD4-147481EAA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382" y="4786962"/>
          <a:ext cx="3327631" cy="2481398"/>
        </a:xfrm>
        <a:prstGeom prst="rect">
          <a:avLst/>
        </a:prstGeom>
      </xdr:spPr>
    </xdr:pic>
    <xdr:clientData/>
  </xdr:twoCellAnchor>
  <xdr:twoCellAnchor editAs="oneCell">
    <xdr:from>
      <xdr:col>3</xdr:col>
      <xdr:colOff>3139655</xdr:colOff>
      <xdr:row>25</xdr:row>
      <xdr:rowOff>29448</xdr:rowOff>
    </xdr:from>
    <xdr:to>
      <xdr:col>7</xdr:col>
      <xdr:colOff>1381519</xdr:colOff>
      <xdr:row>38</xdr:row>
      <xdr:rowOff>163809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0B1C65B7-A829-BAFB-FB8C-5EEEC8ECCA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2471" y="4889142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7</xdr:col>
      <xdr:colOff>1677554</xdr:colOff>
      <xdr:row>39</xdr:row>
      <xdr:rowOff>27256</xdr:rowOff>
    </xdr:from>
    <xdr:to>
      <xdr:col>16</xdr:col>
      <xdr:colOff>897241</xdr:colOff>
      <xdr:row>52</xdr:row>
      <xdr:rowOff>160356</xdr:rowOff>
    </xdr:to>
    <xdr:pic>
      <xdr:nvPicPr>
        <xdr:cNvPr id="34" name="Imagem 33">
          <a:extLst>
            <a:ext uri="{FF2B5EF4-FFF2-40B4-BE49-F238E27FC236}">
              <a16:creationId xmlns:a16="http://schemas.microsoft.com/office/drawing/2014/main" id="{D0C036B0-5DF7-79CB-575F-451E4ABB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5554" y="7472202"/>
          <a:ext cx="3318011" cy="2542668"/>
        </a:xfrm>
        <a:prstGeom prst="rect">
          <a:avLst/>
        </a:prstGeom>
      </xdr:spPr>
    </xdr:pic>
    <xdr:clientData/>
  </xdr:twoCellAnchor>
  <xdr:twoCellAnchor editAs="oneCell">
    <xdr:from>
      <xdr:col>16</xdr:col>
      <xdr:colOff>1210347</xdr:colOff>
      <xdr:row>25</xdr:row>
      <xdr:rowOff>28469</xdr:rowOff>
    </xdr:from>
    <xdr:to>
      <xdr:col>25</xdr:col>
      <xdr:colOff>766272</xdr:colOff>
      <xdr:row>38</xdr:row>
      <xdr:rowOff>162830</xdr:rowOff>
    </xdr:to>
    <xdr:pic>
      <xdr:nvPicPr>
        <xdr:cNvPr id="36" name="Imagem 35">
          <a:extLst>
            <a:ext uri="{FF2B5EF4-FFF2-40B4-BE49-F238E27FC236}">
              <a16:creationId xmlns:a16="http://schemas.microsoft.com/office/drawing/2014/main" id="{FDD41128-CE75-D327-D154-233B9A37C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50490" y="4888163"/>
          <a:ext cx="3319272" cy="25603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3148083</xdr:colOff>
      <xdr:row>39</xdr:row>
      <xdr:rowOff>41032</xdr:rowOff>
    </xdr:from>
    <xdr:to>
      <xdr:col>7</xdr:col>
      <xdr:colOff>1379229</xdr:colOff>
      <xdr:row>52</xdr:row>
      <xdr:rowOff>175392</xdr:rowOff>
    </xdr:to>
    <xdr:pic>
      <xdr:nvPicPr>
        <xdr:cNvPr id="38" name="Imagem 37">
          <a:extLst>
            <a:ext uri="{FF2B5EF4-FFF2-40B4-BE49-F238E27FC236}">
              <a16:creationId xmlns:a16="http://schemas.microsoft.com/office/drawing/2014/main" id="{7DC2649F-901C-28B9-675F-FFE617B1D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9218" y="7485978"/>
          <a:ext cx="3318011" cy="254392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320693</xdr:colOff>
      <xdr:row>39</xdr:row>
      <xdr:rowOff>33001</xdr:rowOff>
    </xdr:from>
    <xdr:to>
      <xdr:col>3</xdr:col>
      <xdr:colOff>2909067</xdr:colOff>
      <xdr:row>52</xdr:row>
      <xdr:rowOff>167362</xdr:rowOff>
    </xdr:to>
    <xdr:pic>
      <xdr:nvPicPr>
        <xdr:cNvPr id="40" name="Imagem 39">
          <a:extLst>
            <a:ext uri="{FF2B5EF4-FFF2-40B4-BE49-F238E27FC236}">
              <a16:creationId xmlns:a16="http://schemas.microsoft.com/office/drawing/2014/main" id="{D1544909-C9B8-BEC6-F673-C58F2BA7DE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611" y="7505266"/>
          <a:ext cx="3319272" cy="25603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B92E17-AAC1-4CE8-995C-B9E8035B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39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DC7DCC-4047-4CBD-AA13-2C1951D5C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454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361078</xdr:colOff>
      <xdr:row>28</xdr:row>
      <xdr:rowOff>78442</xdr:rowOff>
    </xdr:to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53A5F3A7-9C18-317C-1177-8254AC7ECB7C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575389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ESCAVAÇÃO MANUAL DE VALA</a:t>
          </a:r>
        </a:p>
      </xdr:txBody>
    </xdr:sp>
    <xdr:clientData/>
  </xdr:twoCellAnchor>
  <xdr:twoCellAnchor>
    <xdr:from>
      <xdr:col>7</xdr:col>
      <xdr:colOff>1185333</xdr:colOff>
      <xdr:row>26</xdr:row>
      <xdr:rowOff>1</xdr:rowOff>
    </xdr:from>
    <xdr:to>
      <xdr:col>13</xdr:col>
      <xdr:colOff>12096</xdr:colOff>
      <xdr:row>28</xdr:row>
      <xdr:rowOff>145145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76C4A95-1936-402E-80E4-267C09CDADB6}"/>
            </a:ext>
          </a:extLst>
        </xdr:cNvPr>
        <xdr:cNvSpPr txBox="1">
          <a:spLocks noChangeArrowheads="1"/>
        </xdr:cNvSpPr>
      </xdr:nvSpPr>
      <xdr:spPr bwMode="auto">
        <a:xfrm>
          <a:off x="8031238" y="4959049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REATERRO MANUAL APILOADO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18E936D-A24E-4C41-A694-9ABEE2B6D5E8}"/>
            </a:ext>
          </a:extLst>
        </xdr:cNvPr>
        <xdr:cNvSpPr txBox="1">
          <a:spLocks noChangeArrowheads="1"/>
        </xdr:cNvSpPr>
      </xdr:nvSpPr>
      <xdr:spPr bwMode="auto">
        <a:xfrm>
          <a:off x="14683618" y="4995334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 DE VALAS</a:t>
          </a:r>
        </a:p>
      </xdr:txBody>
    </xdr:sp>
    <xdr:clientData/>
  </xdr:twoCellAnchor>
  <xdr:twoCellAnchor editAs="oneCell">
    <xdr:from>
      <xdr:col>2</xdr:col>
      <xdr:colOff>641051</xdr:colOff>
      <xdr:row>11</xdr:row>
      <xdr:rowOff>108857</xdr:rowOff>
    </xdr:from>
    <xdr:to>
      <xdr:col>5</xdr:col>
      <xdr:colOff>4860</xdr:colOff>
      <xdr:row>25</xdr:row>
      <xdr:rowOff>88857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831A0FB-A003-E760-9979-362FD5C85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41" y="234647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1100667</xdr:colOff>
      <xdr:row>11</xdr:row>
      <xdr:rowOff>108857</xdr:rowOff>
    </xdr:from>
    <xdr:to>
      <xdr:col>13</xdr:col>
      <xdr:colOff>307239</xdr:colOff>
      <xdr:row>25</xdr:row>
      <xdr:rowOff>88857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F2E49CD3-4675-7406-E1B6-6C9D6A215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2" y="2346476"/>
          <a:ext cx="3960000" cy="2520000"/>
        </a:xfrm>
        <a:prstGeom prst="rect">
          <a:avLst/>
        </a:prstGeom>
      </xdr:spPr>
    </xdr:pic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2E61232-5F7B-412D-827F-03A8206D11A4}"/>
            </a:ext>
          </a:extLst>
        </xdr:cNvPr>
        <xdr:cNvSpPr txBox="1">
          <a:spLocks noChangeArrowheads="1"/>
        </xdr:cNvSpPr>
      </xdr:nvSpPr>
      <xdr:spPr bwMode="auto">
        <a:xfrm>
          <a:off x="1802191" y="843038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EMBASAMENTO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904891-6A3D-4448-AAD9-D139A6A57C1D}"/>
            </a:ext>
          </a:extLst>
        </xdr:cNvPr>
        <xdr:cNvSpPr txBox="1">
          <a:spLocks noChangeArrowheads="1"/>
        </xdr:cNvSpPr>
      </xdr:nvSpPr>
      <xdr:spPr bwMode="auto">
        <a:xfrm>
          <a:off x="8067524" y="8382000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A3156912-A9BF-4398-B2F6-0693F91438FF}"/>
            </a:ext>
          </a:extLst>
        </xdr:cNvPr>
        <xdr:cNvSpPr txBox="1">
          <a:spLocks noChangeArrowheads="1"/>
        </xdr:cNvSpPr>
      </xdr:nvSpPr>
      <xdr:spPr bwMode="auto">
        <a:xfrm>
          <a:off x="1715922" y="11717260"/>
          <a:ext cx="3578056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 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5211C7E-80B4-4D41-A0BB-30353EB200FA}"/>
            </a:ext>
          </a:extLst>
        </xdr:cNvPr>
        <xdr:cNvSpPr txBox="1">
          <a:spLocks noChangeArrowheads="1"/>
        </xdr:cNvSpPr>
      </xdr:nvSpPr>
      <xdr:spPr bwMode="auto">
        <a:xfrm>
          <a:off x="8213556" y="11726690"/>
          <a:ext cx="357805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DE FÔRMAS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30DB1F08-1D50-4143-9119-48336F2BEF8C}"/>
            </a:ext>
          </a:extLst>
        </xdr:cNvPr>
        <xdr:cNvSpPr txBox="1">
          <a:spLocks noChangeArrowheads="1"/>
        </xdr:cNvSpPr>
      </xdr:nvSpPr>
      <xdr:spPr bwMode="auto">
        <a:xfrm>
          <a:off x="14586858" y="8321523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EFD83BB9-D845-437B-B01C-9C1923A8FCFA}"/>
            </a:ext>
          </a:extLst>
        </xdr:cNvPr>
        <xdr:cNvSpPr txBox="1">
          <a:spLocks noChangeArrowheads="1"/>
        </xdr:cNvSpPr>
      </xdr:nvSpPr>
      <xdr:spPr bwMode="auto">
        <a:xfrm>
          <a:off x="1729620" y="15457715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FCK = 30MPA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55DC2F4E-AA9B-4D55-A2B6-1BC83EEB6933}"/>
            </a:ext>
          </a:extLst>
        </xdr:cNvPr>
        <xdr:cNvSpPr txBox="1">
          <a:spLocks noChangeArrowheads="1"/>
        </xdr:cNvSpPr>
      </xdr:nvSpPr>
      <xdr:spPr bwMode="auto">
        <a:xfrm>
          <a:off x="8273144" y="15469811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23E8E241-CA1D-4825-B88D-922D7774E136}"/>
            </a:ext>
          </a:extLst>
        </xdr:cNvPr>
        <xdr:cNvSpPr txBox="1">
          <a:spLocks noChangeArrowheads="1"/>
        </xdr:cNvSpPr>
      </xdr:nvSpPr>
      <xdr:spPr bwMode="auto">
        <a:xfrm>
          <a:off x="14598952" y="15506096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2370989B-C93B-4A0A-BABA-B1F4D30DD2B3}"/>
            </a:ext>
          </a:extLst>
        </xdr:cNvPr>
        <xdr:cNvSpPr txBox="1">
          <a:spLocks noChangeArrowheads="1"/>
        </xdr:cNvSpPr>
      </xdr:nvSpPr>
      <xdr:spPr bwMode="auto">
        <a:xfrm>
          <a:off x="8242193" y="18907879"/>
          <a:ext cx="3578056" cy="50159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8056CAF-5758-4F3F-AC85-43F688C6AF4E}"/>
            </a:ext>
          </a:extLst>
        </xdr:cNvPr>
        <xdr:cNvSpPr txBox="1">
          <a:spLocks noChangeArrowheads="1"/>
        </xdr:cNvSpPr>
      </xdr:nvSpPr>
      <xdr:spPr bwMode="auto">
        <a:xfrm>
          <a:off x="14587001" y="11653727"/>
          <a:ext cx="3577167" cy="50159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 editAs="oneCell">
    <xdr:from>
      <xdr:col>2</xdr:col>
      <xdr:colOff>628953</xdr:colOff>
      <xdr:row>30</xdr:row>
      <xdr:rowOff>60475</xdr:rowOff>
    </xdr:from>
    <xdr:to>
      <xdr:col>4</xdr:col>
      <xdr:colOff>597524</xdr:colOff>
      <xdr:row>44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90B37436-AF1E-F767-92A4-0AE266ED7E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143" y="574523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1088572</xdr:colOff>
      <xdr:row>30</xdr:row>
      <xdr:rowOff>36286</xdr:rowOff>
    </xdr:from>
    <xdr:to>
      <xdr:col>13</xdr:col>
      <xdr:colOff>295144</xdr:colOff>
      <xdr:row>44</xdr:row>
      <xdr:rowOff>16286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D521976-7F64-B75F-C515-EEEAC7D52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4477" y="572104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730571</xdr:colOff>
      <xdr:row>29</xdr:row>
      <xdr:rowOff>101620</xdr:rowOff>
    </xdr:from>
    <xdr:to>
      <xdr:col>25</xdr:col>
      <xdr:colOff>191142</xdr:colOff>
      <xdr:row>43</xdr:row>
      <xdr:rowOff>81620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A5A37B6-8683-A4FB-6FB8-E1403DB5D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5428" y="56049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641049</xdr:colOff>
      <xdr:row>49</xdr:row>
      <xdr:rowOff>72569</xdr:rowOff>
    </xdr:from>
    <xdr:to>
      <xdr:col>5</xdr:col>
      <xdr:colOff>4858</xdr:colOff>
      <xdr:row>63</xdr:row>
      <xdr:rowOff>52569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ADE556F1-2EDC-DF98-D5F0-5A5239853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39" y="9204474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1190190</xdr:colOff>
      <xdr:row>49</xdr:row>
      <xdr:rowOff>150001</xdr:rowOff>
    </xdr:from>
    <xdr:to>
      <xdr:col>13</xdr:col>
      <xdr:colOff>396762</xdr:colOff>
      <xdr:row>63</xdr:row>
      <xdr:rowOff>130001</xdr:rowOff>
    </xdr:to>
    <xdr:pic>
      <xdr:nvPicPr>
        <xdr:cNvPr id="8194" name="Imagem 8193">
          <a:extLst>
            <a:ext uri="{FF2B5EF4-FFF2-40B4-BE49-F238E27FC236}">
              <a16:creationId xmlns:a16="http://schemas.microsoft.com/office/drawing/2014/main" id="{1658D043-C6A9-071D-D4F1-F34BBC2ED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095" y="9281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49</xdr:row>
      <xdr:rowOff>72572</xdr:rowOff>
    </xdr:from>
    <xdr:to>
      <xdr:col>25</xdr:col>
      <xdr:colOff>113713</xdr:colOff>
      <xdr:row>63</xdr:row>
      <xdr:rowOff>52572</xdr:rowOff>
    </xdr:to>
    <xdr:pic>
      <xdr:nvPicPr>
        <xdr:cNvPr id="8196" name="Imagem 8195">
          <a:extLst>
            <a:ext uri="{FF2B5EF4-FFF2-40B4-BE49-F238E27FC236}">
              <a16:creationId xmlns:a16="http://schemas.microsoft.com/office/drawing/2014/main" id="{0652180D-5CAF-7964-1060-CAB852C50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920447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1400254</xdr:colOff>
      <xdr:row>88</xdr:row>
      <xdr:rowOff>139328</xdr:rowOff>
    </xdr:from>
    <xdr:to>
      <xdr:col>14</xdr:col>
      <xdr:colOff>2063</xdr:colOff>
      <xdr:row>102</xdr:row>
      <xdr:rowOff>121463</xdr:rowOff>
    </xdr:to>
    <xdr:pic>
      <xdr:nvPicPr>
        <xdr:cNvPr id="8198" name="Imagem 8197">
          <a:extLst>
            <a:ext uri="{FF2B5EF4-FFF2-40B4-BE49-F238E27FC236}">
              <a16:creationId xmlns:a16="http://schemas.microsoft.com/office/drawing/2014/main" id="{5E1689A4-DA3C-F162-A23F-690B4D1364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7048" y="16174946"/>
          <a:ext cx="3958221" cy="2492252"/>
        </a:xfrm>
        <a:prstGeom prst="rect">
          <a:avLst/>
        </a:prstGeom>
      </xdr:spPr>
    </xdr:pic>
    <xdr:clientData/>
  </xdr:twoCellAnchor>
  <xdr:twoCellAnchor editAs="oneCell">
    <xdr:from>
      <xdr:col>2</xdr:col>
      <xdr:colOff>650763</xdr:colOff>
      <xdr:row>68</xdr:row>
      <xdr:rowOff>154858</xdr:rowOff>
    </xdr:from>
    <xdr:to>
      <xdr:col>5</xdr:col>
      <xdr:colOff>14572</xdr:colOff>
      <xdr:row>82</xdr:row>
      <xdr:rowOff>134858</xdr:rowOff>
    </xdr:to>
    <xdr:pic>
      <xdr:nvPicPr>
        <xdr:cNvPr id="8200" name="Imagem 8199">
          <a:extLst>
            <a:ext uri="{FF2B5EF4-FFF2-40B4-BE49-F238E27FC236}">
              <a16:creationId xmlns:a16="http://schemas.microsoft.com/office/drawing/2014/main" id="{024DDE90-1278-DE6F-7E62-D538A4450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953" y="12733906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653142</xdr:colOff>
      <xdr:row>69</xdr:row>
      <xdr:rowOff>48381</xdr:rowOff>
    </xdr:from>
    <xdr:to>
      <xdr:col>25</xdr:col>
      <xdr:colOff>113713</xdr:colOff>
      <xdr:row>83</xdr:row>
      <xdr:rowOff>28381</xdr:rowOff>
    </xdr:to>
    <xdr:pic>
      <xdr:nvPicPr>
        <xdr:cNvPr id="8204" name="Imagem 8203">
          <a:extLst>
            <a:ext uri="{FF2B5EF4-FFF2-40B4-BE49-F238E27FC236}">
              <a16:creationId xmlns:a16="http://schemas.microsoft.com/office/drawing/2014/main" id="{E96538AA-D116-CDC2-69E4-79AF1D087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7999" y="12808857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1306285</xdr:colOff>
      <xdr:row>69</xdr:row>
      <xdr:rowOff>12095</xdr:rowOff>
    </xdr:from>
    <xdr:to>
      <xdr:col>13</xdr:col>
      <xdr:colOff>512857</xdr:colOff>
      <xdr:row>82</xdr:row>
      <xdr:rowOff>173523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14B1F4CE-57C9-FCB1-5CF2-AE0BF9F614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2190" y="1277257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737810</xdr:colOff>
      <xdr:row>11</xdr:row>
      <xdr:rowOff>108858</xdr:rowOff>
    </xdr:from>
    <xdr:to>
      <xdr:col>25</xdr:col>
      <xdr:colOff>198381</xdr:colOff>
      <xdr:row>25</xdr:row>
      <xdr:rowOff>88858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9902466-24EC-F3E5-BCD0-DCAA2BDCA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2667" y="2346477"/>
          <a:ext cx="3960000" cy="2520000"/>
        </a:xfrm>
        <a:prstGeom prst="rect">
          <a:avLst/>
        </a:prstGeom>
      </xdr:spPr>
    </xdr:pic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FE727BCC-B8CD-4BD5-8F4F-9D7E6879B1C5}"/>
            </a:ext>
          </a:extLst>
        </xdr:cNvPr>
        <xdr:cNvSpPr txBox="1">
          <a:spLocks noChangeArrowheads="1"/>
        </xdr:cNvSpPr>
      </xdr:nvSpPr>
      <xdr:spPr bwMode="auto">
        <a:xfrm>
          <a:off x="14504643" y="18813394"/>
          <a:ext cx="3578057" cy="5911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IMPERMEABILIZAÇÃO COM</a:t>
          </a:r>
          <a:r>
            <a:rPr lang="pt-BR" sz="1800" b="1" i="0" u="none" strike="noStrike" baseline="0">
              <a:effectLst/>
              <a:latin typeface="+mn-lt"/>
              <a:ea typeface="+mn-ea"/>
              <a:cs typeface="+mn-cs"/>
            </a:rPr>
            <a:t> </a:t>
          </a: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EMULSÃO ASFÁLTICA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15</xdr:col>
      <xdr:colOff>692630</xdr:colOff>
      <xdr:row>88</xdr:row>
      <xdr:rowOff>69014</xdr:rowOff>
    </xdr:from>
    <xdr:to>
      <xdr:col>25</xdr:col>
      <xdr:colOff>145731</xdr:colOff>
      <xdr:row>102</xdr:row>
      <xdr:rowOff>49014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2AF856E1-AC11-D9FC-CBEE-FE045DD5E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09483" y="16104632"/>
          <a:ext cx="3957866" cy="2490117"/>
        </a:xfrm>
        <a:prstGeom prst="rect">
          <a:avLst/>
        </a:prstGeom>
      </xdr:spPr>
    </xdr:pic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E9714E-5AF8-4EB3-B6BE-6A839E4C23FA}"/>
            </a:ext>
          </a:extLst>
        </xdr:cNvPr>
        <xdr:cNvSpPr txBox="1">
          <a:spLocks noChangeArrowheads="1"/>
        </xdr:cNvSpPr>
      </xdr:nvSpPr>
      <xdr:spPr bwMode="auto">
        <a:xfrm>
          <a:off x="1713077" y="18913751"/>
          <a:ext cx="3577167" cy="5037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627530</xdr:colOff>
      <xdr:row>88</xdr:row>
      <xdr:rowOff>112058</xdr:rowOff>
    </xdr:from>
    <xdr:to>
      <xdr:col>4</xdr:col>
      <xdr:colOff>597588</xdr:colOff>
      <xdr:row>102</xdr:row>
      <xdr:rowOff>98253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C8E5741A-9E54-A0E9-BC38-110B0309B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677" y="16147676"/>
          <a:ext cx="3959352" cy="249631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C4AFB6-AFBE-4EC2-B3ED-58CA98093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1007743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0273D5D-F5A5-4BCC-908F-785A1BCCF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00588" y="503569"/>
          <a:ext cx="2170781" cy="10555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295BABD-596B-4490-B7CC-5A48D6DA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49D9058-E06F-4F02-B814-9B1456624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46601</xdr:colOff>
      <xdr:row>25</xdr:row>
      <xdr:rowOff>114726</xdr:rowOff>
    </xdr:from>
    <xdr:to>
      <xdr:col>4</xdr:col>
      <xdr:colOff>481853</xdr:colOff>
      <xdr:row>30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38BF36E3-7185-46CD-A7D1-D4DCA213D773}"/>
            </a:ext>
          </a:extLst>
        </xdr:cNvPr>
        <xdr:cNvSpPr txBox="1">
          <a:spLocks noChangeArrowheads="1"/>
        </xdr:cNvSpPr>
      </xdr:nvSpPr>
      <xdr:spPr bwMode="auto">
        <a:xfrm>
          <a:off x="1817130" y="4854814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IMPERMEABILIZAÇÃO DE SUPERFÍCIE COM EMULSÃO ASFÁLTICA</a:t>
          </a:r>
        </a:p>
      </xdr:txBody>
    </xdr:sp>
    <xdr:clientData/>
  </xdr:twoCellAnchor>
  <xdr:twoCellAnchor>
    <xdr:from>
      <xdr:col>7</xdr:col>
      <xdr:colOff>1162921</xdr:colOff>
      <xdr:row>25</xdr:row>
      <xdr:rowOff>112060</xdr:rowOff>
    </xdr:from>
    <xdr:to>
      <xdr:col>12</xdr:col>
      <xdr:colOff>594801</xdr:colOff>
      <xdr:row>30</xdr:row>
      <xdr:rowOff>56030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8DDD6657-2D48-4872-9B3F-DC8408DDB557}"/>
            </a:ext>
          </a:extLst>
        </xdr:cNvPr>
        <xdr:cNvSpPr txBox="1">
          <a:spLocks noChangeArrowheads="1"/>
        </xdr:cNvSpPr>
      </xdr:nvSpPr>
      <xdr:spPr bwMode="auto">
        <a:xfrm>
          <a:off x="8009715" y="4852148"/>
          <a:ext cx="3578057" cy="84044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FÔRMAS</a:t>
          </a:r>
        </a:p>
      </xdr:txBody>
    </xdr:sp>
    <xdr:clientData/>
  </xdr:twoCellAnchor>
  <xdr:twoCellAnchor>
    <xdr:from>
      <xdr:col>16</xdr:col>
      <xdr:colOff>108856</xdr:colOff>
      <xdr:row>26</xdr:row>
      <xdr:rowOff>36286</xdr:rowOff>
    </xdr:from>
    <xdr:to>
      <xdr:col>24</xdr:col>
      <xdr:colOff>1209523</xdr:colOff>
      <xdr:row>29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2744086B-F215-48CD-AF01-FE1FC7AEB926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36286</xdr:colOff>
      <xdr:row>45</xdr:row>
      <xdr:rowOff>24190</xdr:rowOff>
    </xdr:from>
    <xdr:to>
      <xdr:col>4</xdr:col>
      <xdr:colOff>350763</xdr:colOff>
      <xdr:row>47</xdr:row>
      <xdr:rowOff>169333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61F1A3-C92F-4D1D-8C9F-A7A19D7F8AB2}"/>
            </a:ext>
          </a:extLst>
        </xdr:cNvPr>
        <xdr:cNvSpPr txBox="1">
          <a:spLocks noChangeArrowheads="1"/>
        </xdr:cNvSpPr>
      </xdr:nvSpPr>
      <xdr:spPr bwMode="auto">
        <a:xfrm>
          <a:off x="1811746" y="8482390"/>
          <a:ext cx="3575837" cy="51090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ATERRO</a:t>
          </a:r>
        </a:p>
      </xdr:txBody>
    </xdr:sp>
    <xdr:clientData/>
  </xdr:twoCellAnchor>
  <xdr:twoCellAnchor>
    <xdr:from>
      <xdr:col>7</xdr:col>
      <xdr:colOff>1221619</xdr:colOff>
      <xdr:row>44</xdr:row>
      <xdr:rowOff>157238</xdr:rowOff>
    </xdr:from>
    <xdr:to>
      <xdr:col>13</xdr:col>
      <xdr:colOff>48382</xdr:colOff>
      <xdr:row>47</xdr:row>
      <xdr:rowOff>120953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874029C-B361-4968-B83C-31410513136E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63</xdr:row>
      <xdr:rowOff>163995</xdr:rowOff>
    </xdr:from>
    <xdr:to>
      <xdr:col>4</xdr:col>
      <xdr:colOff>262537</xdr:colOff>
      <xdr:row>66</xdr:row>
      <xdr:rowOff>127710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D2F0FF78-1F53-4F84-9B10-0F7D680E9778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63</xdr:row>
      <xdr:rowOff>173425</xdr:rowOff>
    </xdr:from>
    <xdr:to>
      <xdr:col>13</xdr:col>
      <xdr:colOff>193525</xdr:colOff>
      <xdr:row>66</xdr:row>
      <xdr:rowOff>137140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B4D4798C-DAF9-4A42-944A-A29502DFE849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44</xdr:row>
      <xdr:rowOff>96761</xdr:rowOff>
    </xdr:from>
    <xdr:to>
      <xdr:col>24</xdr:col>
      <xdr:colOff>1112763</xdr:colOff>
      <xdr:row>47</xdr:row>
      <xdr:rowOff>60476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2E0583C-9D2A-4A67-8146-D69CFC751D99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83</xdr:row>
      <xdr:rowOff>157239</xdr:rowOff>
    </xdr:from>
    <xdr:to>
      <xdr:col>4</xdr:col>
      <xdr:colOff>278192</xdr:colOff>
      <xdr:row>86</xdr:row>
      <xdr:rowOff>120954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815C20C7-222D-443B-B17B-8EFE5D46AB60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83</xdr:row>
      <xdr:rowOff>169335</xdr:rowOff>
    </xdr:from>
    <xdr:to>
      <xdr:col>13</xdr:col>
      <xdr:colOff>254002</xdr:colOff>
      <xdr:row>86</xdr:row>
      <xdr:rowOff>133050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3761FA6-852C-4624-B13E-5855130D4C49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84</xdr:row>
      <xdr:rowOff>24191</xdr:rowOff>
    </xdr:from>
    <xdr:to>
      <xdr:col>24</xdr:col>
      <xdr:colOff>1124857</xdr:colOff>
      <xdr:row>86</xdr:row>
      <xdr:rowOff>169335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C5E9225-C772-4807-ABE6-B9E01FAC7015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104</xdr:row>
      <xdr:rowOff>3555</xdr:rowOff>
    </xdr:from>
    <xdr:to>
      <xdr:col>13</xdr:col>
      <xdr:colOff>222161</xdr:colOff>
      <xdr:row>106</xdr:row>
      <xdr:rowOff>146566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EEE2D861-5BEB-4F89-B95D-B83FC3FCC707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63</xdr:row>
      <xdr:rowOff>100462</xdr:rowOff>
    </xdr:from>
    <xdr:to>
      <xdr:col>24</xdr:col>
      <xdr:colOff>1120021</xdr:colOff>
      <xdr:row>66</xdr:row>
      <xdr:rowOff>64177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BB82405-D1BF-40A1-BBE1-916537414452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103</xdr:row>
      <xdr:rowOff>88365</xdr:rowOff>
    </xdr:from>
    <xdr:to>
      <xdr:col>24</xdr:col>
      <xdr:colOff>1038553</xdr:colOff>
      <xdr:row>106</xdr:row>
      <xdr:rowOff>141586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80F30D6A-C3E1-4546-9F73-E557BFFE43B9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104</xdr:row>
      <xdr:rowOff>9427</xdr:rowOff>
    </xdr:from>
    <xdr:to>
      <xdr:col>4</xdr:col>
      <xdr:colOff>258803</xdr:colOff>
      <xdr:row>106</xdr:row>
      <xdr:rowOff>154571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6700806E-5874-4A8C-A6B4-AD7BFC5D2E68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IMPERMEABILIZAÇÃO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3</xdr:col>
      <xdr:colOff>112059</xdr:colOff>
      <xdr:row>12</xdr:row>
      <xdr:rowOff>78441</xdr:rowOff>
    </xdr:from>
    <xdr:to>
      <xdr:col>4</xdr:col>
      <xdr:colOff>451147</xdr:colOff>
      <xdr:row>24</xdr:row>
      <xdr:rowOff>86912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41ED4258-8FAD-479A-F9BE-08E06D339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8" y="2487706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12</xdr:row>
      <xdr:rowOff>67235</xdr:rowOff>
    </xdr:from>
    <xdr:to>
      <xdr:col>13</xdr:col>
      <xdr:colOff>36530</xdr:colOff>
      <xdr:row>24</xdr:row>
      <xdr:rowOff>75706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16A8752B-B786-573E-20ED-15F7FCE95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2476500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694765</xdr:colOff>
      <xdr:row>90</xdr:row>
      <xdr:rowOff>123265</xdr:rowOff>
    </xdr:from>
    <xdr:to>
      <xdr:col>4</xdr:col>
      <xdr:colOff>305471</xdr:colOff>
      <xdr:row>102</xdr:row>
      <xdr:rowOff>131736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1FE57CA8-0698-7408-AAF3-F13E1DBD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6912" y="16517471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1187824</xdr:colOff>
      <xdr:row>31</xdr:row>
      <xdr:rowOff>134470</xdr:rowOff>
    </xdr:from>
    <xdr:to>
      <xdr:col>13</xdr:col>
      <xdr:colOff>36530</xdr:colOff>
      <xdr:row>43</xdr:row>
      <xdr:rowOff>142941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D9B87F8-882A-D66A-E58F-8AF0CE5E4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4618" y="595032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22412</xdr:colOff>
      <xdr:row>13</xdr:row>
      <xdr:rowOff>11206</xdr:rowOff>
    </xdr:from>
    <xdr:to>
      <xdr:col>24</xdr:col>
      <xdr:colOff>1145912</xdr:colOff>
      <xdr:row>25</xdr:row>
      <xdr:rowOff>19677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1820E137-DA94-8A00-7325-99A876E6B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90059" y="25997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31</xdr:row>
      <xdr:rowOff>22412</xdr:rowOff>
    </xdr:from>
    <xdr:to>
      <xdr:col>24</xdr:col>
      <xdr:colOff>1134706</xdr:colOff>
      <xdr:row>43</xdr:row>
      <xdr:rowOff>30883</xdr:rowOff>
    </xdr:to>
    <xdr:pic>
      <xdr:nvPicPr>
        <xdr:cNvPr id="30" name="Imagem 29">
          <a:extLst>
            <a:ext uri="{FF2B5EF4-FFF2-40B4-BE49-F238E27FC236}">
              <a16:creationId xmlns:a16="http://schemas.microsoft.com/office/drawing/2014/main" id="{91AEF24D-3D8F-3C75-E940-70DF2FE60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8853" y="583826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90</xdr:row>
      <xdr:rowOff>89647</xdr:rowOff>
    </xdr:from>
    <xdr:to>
      <xdr:col>24</xdr:col>
      <xdr:colOff>1123500</xdr:colOff>
      <xdr:row>102</xdr:row>
      <xdr:rowOff>98118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E3E50916-90B8-4B5A-5B81-B7EAA495F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6483853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1490382</xdr:colOff>
      <xdr:row>90</xdr:row>
      <xdr:rowOff>145676</xdr:rowOff>
    </xdr:from>
    <xdr:to>
      <xdr:col>13</xdr:col>
      <xdr:colOff>339088</xdr:colOff>
      <xdr:row>102</xdr:row>
      <xdr:rowOff>154147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FE987AFD-4124-D7EF-D0AA-E4B33E3F82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7176" y="1653988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71</xdr:row>
      <xdr:rowOff>0</xdr:rowOff>
    </xdr:from>
    <xdr:to>
      <xdr:col>24</xdr:col>
      <xdr:colOff>1123500</xdr:colOff>
      <xdr:row>83</xdr:row>
      <xdr:rowOff>8471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DCA1EB1-EED7-B7D2-43F7-109B7DDF2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67647" y="12987618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1378323</xdr:colOff>
      <xdr:row>70</xdr:row>
      <xdr:rowOff>134470</xdr:rowOff>
    </xdr:from>
    <xdr:to>
      <xdr:col>13</xdr:col>
      <xdr:colOff>227029</xdr:colOff>
      <xdr:row>82</xdr:row>
      <xdr:rowOff>142941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F4C168D9-3083-10CA-4DB1-347C207EB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5117" y="12942794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67235</xdr:colOff>
      <xdr:row>32</xdr:row>
      <xdr:rowOff>112058</xdr:rowOff>
    </xdr:from>
    <xdr:to>
      <xdr:col>4</xdr:col>
      <xdr:colOff>406323</xdr:colOff>
      <xdr:row>44</xdr:row>
      <xdr:rowOff>120529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0205EBF6-50A5-F14B-1211-0E15D30E7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6107205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44824</xdr:colOff>
      <xdr:row>50</xdr:row>
      <xdr:rowOff>134471</xdr:rowOff>
    </xdr:from>
    <xdr:to>
      <xdr:col>24</xdr:col>
      <xdr:colOff>1168324</xdr:colOff>
      <xdr:row>62</xdr:row>
      <xdr:rowOff>142941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D4121F08-2EE4-09F4-5DC4-574EE60F1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12471" y="9356912"/>
          <a:ext cx="3600000" cy="216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717176</xdr:colOff>
      <xdr:row>70</xdr:row>
      <xdr:rowOff>145676</xdr:rowOff>
    </xdr:from>
    <xdr:to>
      <xdr:col>4</xdr:col>
      <xdr:colOff>327882</xdr:colOff>
      <xdr:row>82</xdr:row>
      <xdr:rowOff>154147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637D3D9D-94ED-02AF-4C46-0BD1D6F2D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323" y="12954000"/>
          <a:ext cx="3600000" cy="216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0F9C47-9FEC-43AA-9AC4-3D79F346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659802A-0CC8-41DC-86D2-DA0925F7A13A}"/>
            </a:ext>
          </a:extLst>
        </xdr:cNvPr>
        <xdr:cNvSpPr txBox="1">
          <a:spLocks noChangeArrowheads="1"/>
        </xdr:cNvSpPr>
      </xdr:nvSpPr>
      <xdr:spPr bwMode="auto">
        <a:xfrm>
          <a:off x="1839541" y="4922049"/>
          <a:ext cx="3696164" cy="7817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PILARES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5217499-A230-4859-9860-6D806FA47D61}"/>
            </a:ext>
          </a:extLst>
        </xdr:cNvPr>
        <xdr:cNvSpPr txBox="1">
          <a:spLocks noChangeArrowheads="1"/>
        </xdr:cNvSpPr>
      </xdr:nvSpPr>
      <xdr:spPr bwMode="auto">
        <a:xfrm>
          <a:off x="7967381" y="4986619"/>
          <a:ext cx="3620391" cy="49305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67370CA-AFAC-4E8E-B57A-36E9005FE709}"/>
            </a:ext>
          </a:extLst>
        </xdr:cNvPr>
        <xdr:cNvSpPr txBox="1">
          <a:spLocks noChangeArrowheads="1"/>
        </xdr:cNvSpPr>
      </xdr:nvSpPr>
      <xdr:spPr bwMode="auto">
        <a:xfrm>
          <a:off x="14724016" y="501976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CBEA99A-004F-4AF2-BBD8-E043589BA418}"/>
            </a:ext>
          </a:extLst>
        </xdr:cNvPr>
        <xdr:cNvSpPr txBox="1">
          <a:spLocks noChangeArrowheads="1"/>
        </xdr:cNvSpPr>
      </xdr:nvSpPr>
      <xdr:spPr bwMode="auto">
        <a:xfrm>
          <a:off x="1907668" y="8731161"/>
          <a:ext cx="3575389" cy="50373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CHAPISCO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6E6864DE-6300-4D86-B6E4-37914C71521D}"/>
            </a:ext>
          </a:extLst>
        </xdr:cNvPr>
        <xdr:cNvSpPr txBox="1">
          <a:spLocks noChangeArrowheads="1"/>
        </xdr:cNvSpPr>
      </xdr:nvSpPr>
      <xdr:spPr bwMode="auto">
        <a:xfrm>
          <a:off x="8087239" y="843255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3A225B9-8AA6-45A1-A872-A66FD9183E4C}"/>
            </a:ext>
          </a:extLst>
        </xdr:cNvPr>
        <xdr:cNvSpPr txBox="1">
          <a:spLocks noChangeArrowheads="1"/>
        </xdr:cNvSpPr>
      </xdr:nvSpPr>
      <xdr:spPr bwMode="auto">
        <a:xfrm>
          <a:off x="1717715" y="1191403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VERGA MOLDADA</a:t>
          </a:r>
        </a:p>
      </xdr:txBody>
    </xdr:sp>
    <xdr:clientData/>
  </xdr:twoCellAnchor>
  <xdr:twoCellAnchor>
    <xdr:from>
      <xdr:col>7</xdr:col>
      <xdr:colOff>1366762</xdr:colOff>
      <xdr:row>65</xdr:row>
      <xdr:rowOff>173425</xdr:rowOff>
    </xdr:from>
    <xdr:to>
      <xdr:col>13</xdr:col>
      <xdr:colOff>193525</xdr:colOff>
      <xdr:row>68</xdr:row>
      <xdr:rowOff>137140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617EA50-549E-4003-B3FD-056DB4932C87}"/>
            </a:ext>
          </a:extLst>
        </xdr:cNvPr>
        <xdr:cNvSpPr txBox="1">
          <a:spLocks noChangeArrowheads="1"/>
        </xdr:cNvSpPr>
      </xdr:nvSpPr>
      <xdr:spPr bwMode="auto">
        <a:xfrm>
          <a:off x="8232382" y="1192346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CONTRAVERGA MOLDADA </a:t>
          </a:r>
        </a:p>
      </xdr:txBody>
    </xdr:sp>
    <xdr:clientData/>
  </xdr:twoCellAnchor>
  <xdr:twoCellAnchor>
    <xdr:from>
      <xdr:col>16</xdr:col>
      <xdr:colOff>12096</xdr:colOff>
      <xdr:row>46</xdr:row>
      <xdr:rowOff>96761</xdr:rowOff>
    </xdr:from>
    <xdr:to>
      <xdr:col>24</xdr:col>
      <xdr:colOff>1112763</xdr:colOff>
      <xdr:row>49</xdr:row>
      <xdr:rowOff>60476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37BC6B0-0EAD-451C-A126-79F766B1EC32}"/>
            </a:ext>
          </a:extLst>
        </xdr:cNvPr>
        <xdr:cNvSpPr txBox="1">
          <a:spLocks noChangeArrowheads="1"/>
        </xdr:cNvSpPr>
      </xdr:nvSpPr>
      <xdr:spPr bwMode="auto">
        <a:xfrm>
          <a:off x="14627256" y="8372081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2</xdr:col>
      <xdr:colOff>689430</xdr:colOff>
      <xdr:row>85</xdr:row>
      <xdr:rowOff>157239</xdr:rowOff>
    </xdr:from>
    <xdr:to>
      <xdr:col>4</xdr:col>
      <xdr:colOff>278192</xdr:colOff>
      <xdr:row>88</xdr:row>
      <xdr:rowOff>120954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8622BE06-DD84-480E-98CC-A67EA50D4485}"/>
            </a:ext>
          </a:extLst>
        </xdr:cNvPr>
        <xdr:cNvSpPr txBox="1">
          <a:spLocks noChangeArrowheads="1"/>
        </xdr:cNvSpPr>
      </xdr:nvSpPr>
      <xdr:spPr bwMode="auto">
        <a:xfrm>
          <a:off x="1733370" y="15564879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7</xdr:col>
      <xdr:colOff>1427239</xdr:colOff>
      <xdr:row>85</xdr:row>
      <xdr:rowOff>169335</xdr:rowOff>
    </xdr:from>
    <xdr:to>
      <xdr:col>13</xdr:col>
      <xdr:colOff>254002</xdr:colOff>
      <xdr:row>88</xdr:row>
      <xdr:rowOff>133050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7FDAE38-E049-404A-836A-3787ACB933AF}"/>
            </a:ext>
          </a:extLst>
        </xdr:cNvPr>
        <xdr:cNvSpPr txBox="1">
          <a:spLocks noChangeArrowheads="1"/>
        </xdr:cNvSpPr>
      </xdr:nvSpPr>
      <xdr:spPr bwMode="auto">
        <a:xfrm>
          <a:off x="8292859" y="15576975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16</xdr:col>
      <xdr:colOff>24190</xdr:colOff>
      <xdr:row>86</xdr:row>
      <xdr:rowOff>24191</xdr:rowOff>
    </xdr:from>
    <xdr:to>
      <xdr:col>24</xdr:col>
      <xdr:colOff>1124857</xdr:colOff>
      <xdr:row>88</xdr:row>
      <xdr:rowOff>169335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E5D3E6D5-6764-436A-8F02-E6DE6DC1B4CB}"/>
            </a:ext>
          </a:extLst>
        </xdr:cNvPr>
        <xdr:cNvSpPr txBox="1">
          <a:spLocks noChangeArrowheads="1"/>
        </xdr:cNvSpPr>
      </xdr:nvSpPr>
      <xdr:spPr bwMode="auto">
        <a:xfrm>
          <a:off x="14639350" y="15614711"/>
          <a:ext cx="3584787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baseline="0">
              <a:effectLst/>
              <a:latin typeface="+mn-lt"/>
              <a:ea typeface="+mn-ea"/>
              <a:cs typeface="+mn-cs"/>
            </a:rPr>
            <a:t>MONTAGEM DE FÔRMAS DO MURO</a:t>
          </a:r>
          <a:endParaRPr lang="pt-BR" sz="1800">
            <a:effectLst/>
          </a:endParaRPr>
        </a:p>
        <a:p>
          <a:pPr algn="ctr" rtl="0">
            <a:defRPr sz="1000"/>
          </a:pP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7</xdr:col>
      <xdr:colOff>1395399</xdr:colOff>
      <xdr:row>106</xdr:row>
      <xdr:rowOff>3555</xdr:rowOff>
    </xdr:from>
    <xdr:to>
      <xdr:col>13</xdr:col>
      <xdr:colOff>222161</xdr:colOff>
      <xdr:row>108</xdr:row>
      <xdr:rowOff>146566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584FB5DD-4980-4758-A2B1-14D3A75C0472}"/>
            </a:ext>
          </a:extLst>
        </xdr:cNvPr>
        <xdr:cNvSpPr txBox="1">
          <a:spLocks noChangeArrowheads="1"/>
        </xdr:cNvSpPr>
      </xdr:nvSpPr>
      <xdr:spPr bwMode="auto">
        <a:xfrm>
          <a:off x="8261019" y="19251675"/>
          <a:ext cx="3604502" cy="50877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ALVENARIA DE VEDAÇÃO</a:t>
          </a:r>
        </a:p>
      </xdr:txBody>
    </xdr:sp>
    <xdr:clientData/>
  </xdr:twoCellAnchor>
  <xdr:twoCellAnchor>
    <xdr:from>
      <xdr:col>16</xdr:col>
      <xdr:colOff>19354</xdr:colOff>
      <xdr:row>65</xdr:row>
      <xdr:rowOff>100462</xdr:rowOff>
    </xdr:from>
    <xdr:to>
      <xdr:col>24</xdr:col>
      <xdr:colOff>1120021</xdr:colOff>
      <xdr:row>68</xdr:row>
      <xdr:rowOff>64177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20D1B2-A38F-41DD-BB2A-6E5863783266}"/>
            </a:ext>
          </a:extLst>
        </xdr:cNvPr>
        <xdr:cNvSpPr txBox="1">
          <a:spLocks noChangeArrowheads="1"/>
        </xdr:cNvSpPr>
      </xdr:nvSpPr>
      <xdr:spPr bwMode="auto">
        <a:xfrm>
          <a:off x="14634514" y="11850502"/>
          <a:ext cx="3584787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CINTA DE AMARRAÇÃO </a:t>
          </a:r>
        </a:p>
      </xdr:txBody>
    </xdr:sp>
    <xdr:clientData/>
  </xdr:twoCellAnchor>
  <xdr:twoCellAnchor>
    <xdr:from>
      <xdr:col>15</xdr:col>
      <xdr:colOff>687790</xdr:colOff>
      <xdr:row>105</xdr:row>
      <xdr:rowOff>88365</xdr:rowOff>
    </xdr:from>
    <xdr:to>
      <xdr:col>24</xdr:col>
      <xdr:colOff>1038553</xdr:colOff>
      <xdr:row>108</xdr:row>
      <xdr:rowOff>141586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C1FDA6D0-4D3F-4748-877B-57916ECC7700}"/>
            </a:ext>
          </a:extLst>
        </xdr:cNvPr>
        <xdr:cNvSpPr txBox="1">
          <a:spLocks noChangeArrowheads="1"/>
        </xdr:cNvSpPr>
      </xdr:nvSpPr>
      <xdr:spPr bwMode="auto">
        <a:xfrm>
          <a:off x="14556190" y="19153605"/>
          <a:ext cx="3581643" cy="60186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>
              <a:effectLst/>
              <a:latin typeface="+mn-lt"/>
              <a:ea typeface="+mn-ea"/>
              <a:cs typeface="+mn-cs"/>
            </a:rPr>
            <a:t>CHAPISCO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>
    <xdr:from>
      <xdr:col>2</xdr:col>
      <xdr:colOff>670930</xdr:colOff>
      <xdr:row>106</xdr:row>
      <xdr:rowOff>9427</xdr:rowOff>
    </xdr:from>
    <xdr:to>
      <xdr:col>4</xdr:col>
      <xdr:colOff>258803</xdr:colOff>
      <xdr:row>108</xdr:row>
      <xdr:rowOff>154571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8B2AD018-D7E8-4CD7-966E-DA3304F5298C}"/>
            </a:ext>
          </a:extLst>
        </xdr:cNvPr>
        <xdr:cNvSpPr txBox="1">
          <a:spLocks noChangeArrowheads="1"/>
        </xdr:cNvSpPr>
      </xdr:nvSpPr>
      <xdr:spPr bwMode="auto">
        <a:xfrm>
          <a:off x="1714870" y="19257547"/>
          <a:ext cx="3580753" cy="5109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t-BR" sz="18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MASSA ÚNICA</a:t>
          </a:r>
          <a:endParaRPr lang="pt-BR" sz="1800" b="1" i="0" u="none" strike="noStrike" baseline="0">
            <a:solidFill>
              <a:srgbClr val="000000"/>
            </a:solidFill>
            <a:latin typeface="+mn-lt"/>
            <a:ea typeface="Calibri"/>
            <a:cs typeface="Calibri"/>
          </a:endParaRPr>
        </a:p>
      </xdr:txBody>
    </xdr:sp>
    <xdr:clientData/>
  </xdr:twoCellAnchor>
  <xdr:twoCellAnchor editAs="oneCell">
    <xdr:from>
      <xdr:col>2</xdr:col>
      <xdr:colOff>705969</xdr:colOff>
      <xdr:row>33</xdr:row>
      <xdr:rowOff>11205</xdr:rowOff>
    </xdr:from>
    <xdr:to>
      <xdr:col>5</xdr:col>
      <xdr:colOff>71557</xdr:colOff>
      <xdr:row>47</xdr:row>
      <xdr:rowOff>21087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024F488-7F59-6528-6914-C8C412F60E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8116" y="6095999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930088</xdr:colOff>
      <xdr:row>13</xdr:row>
      <xdr:rowOff>134470</xdr:rowOff>
    </xdr:from>
    <xdr:to>
      <xdr:col>13</xdr:col>
      <xdr:colOff>138794</xdr:colOff>
      <xdr:row>27</xdr:row>
      <xdr:rowOff>144353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4026B5F-ED32-4241-BF02-5698D3D25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6882" y="236444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728382</xdr:colOff>
      <xdr:row>13</xdr:row>
      <xdr:rowOff>123264</xdr:rowOff>
    </xdr:from>
    <xdr:to>
      <xdr:col>25</xdr:col>
      <xdr:colOff>183617</xdr:colOff>
      <xdr:row>27</xdr:row>
      <xdr:rowOff>133147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176E2094-550C-0161-F4AC-2BF707A90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5235" y="235323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683558</xdr:colOff>
      <xdr:row>13</xdr:row>
      <xdr:rowOff>78441</xdr:rowOff>
    </xdr:from>
    <xdr:to>
      <xdr:col>5</xdr:col>
      <xdr:colOff>49146</xdr:colOff>
      <xdr:row>27</xdr:row>
      <xdr:rowOff>88324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F5DCE3C3-9401-48DA-5387-EF0CC2A62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5705" y="257735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616324</xdr:colOff>
      <xdr:row>90</xdr:row>
      <xdr:rowOff>100852</xdr:rowOff>
    </xdr:from>
    <xdr:to>
      <xdr:col>25</xdr:col>
      <xdr:colOff>71559</xdr:colOff>
      <xdr:row>104</xdr:row>
      <xdr:rowOff>110735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443EEE5B-EDC6-332F-F09A-7AC4B6E50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7" y="164054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627529</xdr:colOff>
      <xdr:row>31</xdr:row>
      <xdr:rowOff>168089</xdr:rowOff>
    </xdr:from>
    <xdr:to>
      <xdr:col>25</xdr:col>
      <xdr:colOff>82764</xdr:colOff>
      <xdr:row>46</xdr:row>
      <xdr:rowOff>171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0DE39F9A-9FEE-F821-494E-88DAEDC9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4382" y="589429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605118</xdr:colOff>
      <xdr:row>51</xdr:row>
      <xdr:rowOff>56030</xdr:rowOff>
    </xdr:from>
    <xdr:to>
      <xdr:col>4</xdr:col>
      <xdr:colOff>575824</xdr:colOff>
      <xdr:row>65</xdr:row>
      <xdr:rowOff>65912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790235B0-F0CB-EBE6-3D67-5B5D240DC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265" y="9368118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1120588</xdr:colOff>
      <xdr:row>51</xdr:row>
      <xdr:rowOff>44823</xdr:rowOff>
    </xdr:from>
    <xdr:to>
      <xdr:col>13</xdr:col>
      <xdr:colOff>329294</xdr:colOff>
      <xdr:row>65</xdr:row>
      <xdr:rowOff>54705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59DFE972-8176-EA21-272C-866747B58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7382" y="9356911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986117</xdr:colOff>
      <xdr:row>32</xdr:row>
      <xdr:rowOff>56030</xdr:rowOff>
    </xdr:from>
    <xdr:to>
      <xdr:col>13</xdr:col>
      <xdr:colOff>194823</xdr:colOff>
      <xdr:row>46</xdr:row>
      <xdr:rowOff>65912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DEDC62AA-226D-9DC3-922E-30D8044E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2911" y="596153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526676</xdr:colOff>
      <xdr:row>50</xdr:row>
      <xdr:rowOff>168088</xdr:rowOff>
    </xdr:from>
    <xdr:to>
      <xdr:col>24</xdr:col>
      <xdr:colOff>1259382</xdr:colOff>
      <xdr:row>65</xdr:row>
      <xdr:rowOff>170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A4CB75-3F8E-102E-63CB-9D8BADE55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3529" y="9300882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493059</xdr:colOff>
      <xdr:row>91</xdr:row>
      <xdr:rowOff>22412</xdr:rowOff>
    </xdr:from>
    <xdr:to>
      <xdr:col>4</xdr:col>
      <xdr:colOff>463765</xdr:colOff>
      <xdr:row>105</xdr:row>
      <xdr:rowOff>32294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FBDD8170-5493-09E1-15F2-21FF94C8E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206" y="165062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1154206</xdr:colOff>
      <xdr:row>90</xdr:row>
      <xdr:rowOff>123264</xdr:rowOff>
    </xdr:from>
    <xdr:to>
      <xdr:col>13</xdr:col>
      <xdr:colOff>362912</xdr:colOff>
      <xdr:row>104</xdr:row>
      <xdr:rowOff>133147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A6DCEA90-8990-CDCD-D8DC-8FA4CA0DE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16427823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15</xdr:col>
      <xdr:colOff>616323</xdr:colOff>
      <xdr:row>70</xdr:row>
      <xdr:rowOff>168089</xdr:rowOff>
    </xdr:from>
    <xdr:to>
      <xdr:col>25</xdr:col>
      <xdr:colOff>71558</xdr:colOff>
      <xdr:row>85</xdr:row>
      <xdr:rowOff>171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0A76CD2D-5506-156F-2D4C-20C46A713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33176" y="12886765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549088</xdr:colOff>
      <xdr:row>71</xdr:row>
      <xdr:rowOff>-1</xdr:rowOff>
    </xdr:from>
    <xdr:to>
      <xdr:col>4</xdr:col>
      <xdr:colOff>519794</xdr:colOff>
      <xdr:row>85</xdr:row>
      <xdr:rowOff>9882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506121B8-0A69-C9A2-1103-237A15E09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235" y="12897970"/>
          <a:ext cx="396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1255058</xdr:colOff>
      <xdr:row>70</xdr:row>
      <xdr:rowOff>168089</xdr:rowOff>
    </xdr:from>
    <xdr:to>
      <xdr:col>13</xdr:col>
      <xdr:colOff>463764</xdr:colOff>
      <xdr:row>85</xdr:row>
      <xdr:rowOff>171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0829A0BD-CD9D-8C89-7AB6-2E5040D28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1852" y="12886765"/>
          <a:ext cx="3960000" cy="25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156881</xdr:colOff>
      <xdr:row>3</xdr:row>
      <xdr:rowOff>56029</xdr:rowOff>
    </xdr:from>
    <xdr:to>
      <xdr:col>35</xdr:col>
      <xdr:colOff>986119</xdr:colOff>
      <xdr:row>6</xdr:row>
      <xdr:rowOff>41239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9B7B3F6-DE3B-4606-98FD-2F4C8688A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263" y="717176"/>
          <a:ext cx="3339355" cy="6015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0510789-DF51-4E1C-AB86-8E0AEFC50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791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643430-DCC6-4AB1-BA28-937ABD96C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6934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C754A1-811E-4CC1-A235-FAA7AF1AE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194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134926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F5D2DF-B5F3-4137-AC54-F36F9A58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8792" y="867424"/>
          <a:ext cx="1091564" cy="5057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57152</xdr:colOff>
      <xdr:row>4</xdr:row>
      <xdr:rowOff>15889</xdr:rowOff>
    </xdr:from>
    <xdr:to>
      <xdr:col>13</xdr:col>
      <xdr:colOff>1144906</xdr:colOff>
      <xdr:row>6</xdr:row>
      <xdr:rowOff>131116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690FAA-CE2D-42DB-889E-9AB91B86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3552" y="869329"/>
          <a:ext cx="1087754" cy="5114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220309B-45E0-43F2-BD77-B8F9C018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03068" y="503569"/>
          <a:ext cx="2180306" cy="1065065"/>
        </a:xfrm>
        <a:prstGeom prst="rect">
          <a:avLst/>
        </a:prstGeom>
      </xdr:spPr>
    </xdr:pic>
    <xdr:clientData/>
  </xdr:twoCellAnchor>
  <xdr:twoCellAnchor>
    <xdr:from>
      <xdr:col>3</xdr:col>
      <xdr:colOff>69012</xdr:colOff>
      <xdr:row>28</xdr:row>
      <xdr:rowOff>2667</xdr:rowOff>
    </xdr:from>
    <xdr:to>
      <xdr:col>4</xdr:col>
      <xdr:colOff>504264</xdr:colOff>
      <xdr:row>32</xdr:row>
      <xdr:rowOff>67235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3F3CBE0-DCB1-4D0B-914D-6C27598AF77A}"/>
            </a:ext>
          </a:extLst>
        </xdr:cNvPr>
        <xdr:cNvSpPr txBox="1">
          <a:spLocks noChangeArrowheads="1"/>
        </xdr:cNvSpPr>
      </xdr:nvSpPr>
      <xdr:spPr bwMode="auto">
        <a:xfrm>
          <a:off x="1844472" y="5260467"/>
          <a:ext cx="3696612" cy="79608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MONTAGEM E DESMONTAGEM DE FÔRMA DE VIGAS</a:t>
          </a:r>
        </a:p>
      </xdr:txBody>
    </xdr:sp>
    <xdr:clientData/>
  </xdr:twoCellAnchor>
  <xdr:twoCellAnchor>
    <xdr:from>
      <xdr:col>7</xdr:col>
      <xdr:colOff>1120587</xdr:colOff>
      <xdr:row>28</xdr:row>
      <xdr:rowOff>67237</xdr:rowOff>
    </xdr:from>
    <xdr:to>
      <xdr:col>12</xdr:col>
      <xdr:colOff>594801</xdr:colOff>
      <xdr:row>31</xdr:row>
      <xdr:rowOff>22412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33F0511-74D2-4F13-AEF3-EDDD8C5F96F1}"/>
            </a:ext>
          </a:extLst>
        </xdr:cNvPr>
        <xdr:cNvSpPr txBox="1">
          <a:spLocks noChangeArrowheads="1"/>
        </xdr:cNvSpPr>
      </xdr:nvSpPr>
      <xdr:spPr bwMode="auto">
        <a:xfrm>
          <a:off x="7986207" y="5325037"/>
          <a:ext cx="3642354" cy="5038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 </a:t>
          </a:r>
        </a:p>
      </xdr:txBody>
    </xdr:sp>
    <xdr:clientData/>
  </xdr:twoCellAnchor>
  <xdr:twoCellAnchor>
    <xdr:from>
      <xdr:col>16</xdr:col>
      <xdr:colOff>108856</xdr:colOff>
      <xdr:row>28</xdr:row>
      <xdr:rowOff>36286</xdr:rowOff>
    </xdr:from>
    <xdr:to>
      <xdr:col>24</xdr:col>
      <xdr:colOff>1209523</xdr:colOff>
      <xdr:row>31</xdr:row>
      <xdr:rowOff>2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6D8EE755-E521-47F7-B1E7-4D79C47B2C8E}"/>
            </a:ext>
          </a:extLst>
        </xdr:cNvPr>
        <xdr:cNvSpPr txBox="1">
          <a:spLocks noChangeArrowheads="1"/>
        </xdr:cNvSpPr>
      </xdr:nvSpPr>
      <xdr:spPr bwMode="auto">
        <a:xfrm>
          <a:off x="14724016" y="5294086"/>
          <a:ext cx="3584787" cy="5123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ARMAÇÃO</a:t>
          </a:r>
        </a:p>
      </xdr:txBody>
    </xdr:sp>
    <xdr:clientData/>
  </xdr:twoCellAnchor>
  <xdr:twoCellAnchor>
    <xdr:from>
      <xdr:col>3</xdr:col>
      <xdr:colOff>137139</xdr:colOff>
      <xdr:row>47</xdr:row>
      <xdr:rowOff>136249</xdr:rowOff>
    </xdr:from>
    <xdr:to>
      <xdr:col>4</xdr:col>
      <xdr:colOff>451616</xdr:colOff>
      <xdr:row>50</xdr:row>
      <xdr:rowOff>102098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B283631D-C94A-4EA2-87E2-CC2D60868695}"/>
            </a:ext>
          </a:extLst>
        </xdr:cNvPr>
        <xdr:cNvSpPr txBox="1">
          <a:spLocks noChangeArrowheads="1"/>
        </xdr:cNvSpPr>
      </xdr:nvSpPr>
      <xdr:spPr bwMode="auto">
        <a:xfrm>
          <a:off x="1912599" y="8868769"/>
          <a:ext cx="3575837" cy="51448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>
    <xdr:from>
      <xdr:col>7</xdr:col>
      <xdr:colOff>1221619</xdr:colOff>
      <xdr:row>46</xdr:row>
      <xdr:rowOff>157238</xdr:rowOff>
    </xdr:from>
    <xdr:to>
      <xdr:col>13</xdr:col>
      <xdr:colOff>48382</xdr:colOff>
      <xdr:row>49</xdr:row>
      <xdr:rowOff>120953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2D1667DA-0CB0-46CA-BC61-DABB5AB37845}"/>
            </a:ext>
          </a:extLst>
        </xdr:cNvPr>
        <xdr:cNvSpPr txBox="1">
          <a:spLocks noChangeArrowheads="1"/>
        </xdr:cNvSpPr>
      </xdr:nvSpPr>
      <xdr:spPr bwMode="auto">
        <a:xfrm>
          <a:off x="8087239" y="8706878"/>
          <a:ext cx="3604503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CONCRETO E LANÇAMENTO</a:t>
          </a:r>
        </a:p>
      </xdr:txBody>
    </xdr:sp>
    <xdr:clientData/>
  </xdr:twoCellAnchor>
  <xdr:twoCellAnchor>
    <xdr:from>
      <xdr:col>2</xdr:col>
      <xdr:colOff>673775</xdr:colOff>
      <xdr:row>65</xdr:row>
      <xdr:rowOff>163995</xdr:rowOff>
    </xdr:from>
    <xdr:to>
      <xdr:col>4</xdr:col>
      <xdr:colOff>262537</xdr:colOff>
      <xdr:row>68</xdr:row>
      <xdr:rowOff>127710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1B8FA33-83A0-4A63-A806-943540BF78F2}"/>
            </a:ext>
          </a:extLst>
        </xdr:cNvPr>
        <xdr:cNvSpPr txBox="1">
          <a:spLocks noChangeArrowheads="1"/>
        </xdr:cNvSpPr>
      </xdr:nvSpPr>
      <xdr:spPr bwMode="auto">
        <a:xfrm>
          <a:off x="1717715" y="12188355"/>
          <a:ext cx="3581642" cy="51235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ELETRODUTO </a:t>
          </a:r>
        </a:p>
      </xdr:txBody>
    </xdr:sp>
    <xdr:clientData/>
  </xdr:twoCellAnchor>
  <xdr:twoCellAnchor editAs="oneCell">
    <xdr:from>
      <xdr:col>3</xdr:col>
      <xdr:colOff>96762</xdr:colOff>
      <xdr:row>13</xdr:row>
      <xdr:rowOff>60476</xdr:rowOff>
    </xdr:from>
    <xdr:to>
      <xdr:col>4</xdr:col>
      <xdr:colOff>434858</xdr:colOff>
      <xdr:row>27</xdr:row>
      <xdr:rowOff>40476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6D02E37-B459-7DF6-2C2D-4934E4F6A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2667" y="2564190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1149048</xdr:colOff>
      <xdr:row>32</xdr:row>
      <xdr:rowOff>36286</xdr:rowOff>
    </xdr:from>
    <xdr:to>
      <xdr:col>12</xdr:col>
      <xdr:colOff>598477</xdr:colOff>
      <xdr:row>46</xdr:row>
      <xdr:rowOff>20096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99F9A55-B199-4022-0DE2-2CE6031ADC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94953" y="5987143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1112761</xdr:colOff>
      <xdr:row>13</xdr:row>
      <xdr:rowOff>96761</xdr:rowOff>
    </xdr:from>
    <xdr:to>
      <xdr:col>12</xdr:col>
      <xdr:colOff>562190</xdr:colOff>
      <xdr:row>27</xdr:row>
      <xdr:rowOff>76761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784295A3-C9A3-D8B2-89B0-2E1327307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6" y="2600475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16</xdr:col>
      <xdr:colOff>60475</xdr:colOff>
      <xdr:row>13</xdr:row>
      <xdr:rowOff>60475</xdr:rowOff>
    </xdr:from>
    <xdr:to>
      <xdr:col>24</xdr:col>
      <xdr:colOff>1180951</xdr:colOff>
      <xdr:row>27</xdr:row>
      <xdr:rowOff>40475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6107DED5-DF7B-299C-43A0-C800CB630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5237" y="2564189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12096</xdr:colOff>
      <xdr:row>51</xdr:row>
      <xdr:rowOff>84666</xdr:rowOff>
    </xdr:from>
    <xdr:to>
      <xdr:col>4</xdr:col>
      <xdr:colOff>346382</xdr:colOff>
      <xdr:row>65</xdr:row>
      <xdr:rowOff>60856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35288E1A-F79E-F181-5B24-A502C9C5F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1" y="9482666"/>
          <a:ext cx="3600000" cy="2520000"/>
        </a:xfrm>
        <a:prstGeom prst="rect">
          <a:avLst/>
        </a:prstGeom>
      </xdr:spPr>
    </xdr:pic>
    <xdr:clientData/>
  </xdr:twoCellAnchor>
  <xdr:twoCellAnchor>
    <xdr:from>
      <xdr:col>16</xdr:col>
      <xdr:colOff>24191</xdr:colOff>
      <xdr:row>47</xdr:row>
      <xdr:rowOff>72571</xdr:rowOff>
    </xdr:from>
    <xdr:to>
      <xdr:col>24</xdr:col>
      <xdr:colOff>1124858</xdr:colOff>
      <xdr:row>50</xdr:row>
      <xdr:rowOff>36287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8751ECAE-56BA-4A9D-BE7F-7F4BC35FAAA9}"/>
            </a:ext>
          </a:extLst>
        </xdr:cNvPr>
        <xdr:cNvSpPr txBox="1">
          <a:spLocks noChangeArrowheads="1"/>
        </xdr:cNvSpPr>
      </xdr:nvSpPr>
      <xdr:spPr bwMode="auto">
        <a:xfrm>
          <a:off x="14598953" y="8744857"/>
          <a:ext cx="3580191" cy="5080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ctr" rtl="0">
            <a:defRPr sz="1000"/>
          </a:pPr>
          <a:r>
            <a:rPr lang="pt-BR" sz="1800" b="1" i="0" u="none" strike="noStrike" baseline="0">
              <a:solidFill>
                <a:srgbClr val="000000"/>
              </a:solidFill>
              <a:latin typeface="+mn-lt"/>
              <a:ea typeface="Calibri"/>
              <a:cs typeface="Calibri"/>
            </a:rPr>
            <a:t>MASSA ÚNICA</a:t>
          </a:r>
        </a:p>
      </xdr:txBody>
    </xdr:sp>
    <xdr:clientData/>
  </xdr:twoCellAnchor>
  <xdr:twoCellAnchor editAs="oneCell">
    <xdr:from>
      <xdr:col>15</xdr:col>
      <xdr:colOff>725715</xdr:colOff>
      <xdr:row>32</xdr:row>
      <xdr:rowOff>36285</xdr:rowOff>
    </xdr:from>
    <xdr:to>
      <xdr:col>24</xdr:col>
      <xdr:colOff>1094381</xdr:colOff>
      <xdr:row>46</xdr:row>
      <xdr:rowOff>20095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ED7FACB8-8A9D-40B8-ADDD-EB1162138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50572" y="5987142"/>
          <a:ext cx="36000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157238</xdr:colOff>
      <xdr:row>32</xdr:row>
      <xdr:rowOff>169333</xdr:rowOff>
    </xdr:from>
    <xdr:to>
      <xdr:col>4</xdr:col>
      <xdr:colOff>491524</xdr:colOff>
      <xdr:row>46</xdr:row>
      <xdr:rowOff>149333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5F288B61-8FD5-351A-FFCB-062955D1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3143" y="6120190"/>
          <a:ext cx="3600000" cy="2520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BF7A285-FC0D-4587-8C41-9158DE4F6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8</xdr:col>
      <xdr:colOff>77305</xdr:colOff>
      <xdr:row>43</xdr:row>
      <xdr:rowOff>22089</xdr:rowOff>
    </xdr:from>
    <xdr:to>
      <xdr:col>13</xdr:col>
      <xdr:colOff>510749</xdr:colOff>
      <xdr:row>56</xdr:row>
      <xdr:rowOff>101480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FF9CA18-AAC4-A773-C726-AF3CD3F19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088" y="816113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17479</xdr:colOff>
      <xdr:row>27</xdr:row>
      <xdr:rowOff>183133</xdr:rowOff>
    </xdr:from>
    <xdr:to>
      <xdr:col>16</xdr:col>
      <xdr:colOff>1124574</xdr:colOff>
      <xdr:row>41</xdr:row>
      <xdr:rowOff>74785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73BA31C6-B9E2-C324-3D25-600F75742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2609" y="5318350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3082955</xdr:colOff>
      <xdr:row>42</xdr:row>
      <xdr:rowOff>123305</xdr:rowOff>
    </xdr:from>
    <xdr:to>
      <xdr:col>7</xdr:col>
      <xdr:colOff>1473355</xdr:colOff>
      <xdr:row>56</xdr:row>
      <xdr:rowOff>14957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C0A448AD-664D-C699-0310-4A9489BF2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9912" y="8074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295392</xdr:colOff>
      <xdr:row>42</xdr:row>
      <xdr:rowOff>151828</xdr:rowOff>
    </xdr:from>
    <xdr:to>
      <xdr:col>3</xdr:col>
      <xdr:colOff>2606226</xdr:colOff>
      <xdr:row>56</xdr:row>
      <xdr:rowOff>35860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F031A58-C4F7-2DC4-7594-781151FD3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783" y="8103132"/>
          <a:ext cx="3470400" cy="2512380"/>
        </a:xfrm>
        <a:prstGeom prst="rect">
          <a:avLst/>
        </a:prstGeom>
      </xdr:spPr>
    </xdr:pic>
    <xdr:clientData/>
  </xdr:twoCellAnchor>
  <xdr:twoCellAnchor editAs="oneCell">
    <xdr:from>
      <xdr:col>16</xdr:col>
      <xdr:colOff>1450348</xdr:colOff>
      <xdr:row>27</xdr:row>
      <xdr:rowOff>125131</xdr:rowOff>
    </xdr:from>
    <xdr:to>
      <xdr:col>25</xdr:col>
      <xdr:colOff>1177009</xdr:colOff>
      <xdr:row>41</xdr:row>
      <xdr:rowOff>16783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91885837-D2CE-B5A7-E7C5-D69388B38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8783" y="526034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286175</xdr:colOff>
      <xdr:row>27</xdr:row>
      <xdr:rowOff>46641</xdr:rowOff>
    </xdr:from>
    <xdr:to>
      <xdr:col>3</xdr:col>
      <xdr:colOff>2597009</xdr:colOff>
      <xdr:row>40</xdr:row>
      <xdr:rowOff>126032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22D9573E-D551-8D90-D12C-DD66E0B3D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566" y="5181858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67132</xdr:colOff>
      <xdr:row>12</xdr:row>
      <xdr:rowOff>111306</xdr:rowOff>
    </xdr:from>
    <xdr:to>
      <xdr:col>16</xdr:col>
      <xdr:colOff>1174227</xdr:colOff>
      <xdr:row>26</xdr:row>
      <xdr:rowOff>58176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31E18B86-5CBE-C0BB-C141-F9CD33AB56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92262" y="2485654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283392</xdr:colOff>
      <xdr:row>12</xdr:row>
      <xdr:rowOff>40435</xdr:rowOff>
    </xdr:from>
    <xdr:to>
      <xdr:col>3</xdr:col>
      <xdr:colOff>2594226</xdr:colOff>
      <xdr:row>25</xdr:row>
      <xdr:rowOff>175044</xdr:rowOff>
    </xdr:to>
    <xdr:pic>
      <xdr:nvPicPr>
        <xdr:cNvPr id="33" name="Imagem 32">
          <a:extLst>
            <a:ext uri="{FF2B5EF4-FFF2-40B4-BE49-F238E27FC236}">
              <a16:creationId xmlns:a16="http://schemas.microsoft.com/office/drawing/2014/main" id="{28B8FD16-72B7-B136-6400-A947669BB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783" y="241478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2896086</xdr:colOff>
      <xdr:row>27</xdr:row>
      <xdr:rowOff>35826</xdr:rowOff>
    </xdr:from>
    <xdr:to>
      <xdr:col>7</xdr:col>
      <xdr:colOff>1286486</xdr:colOff>
      <xdr:row>40</xdr:row>
      <xdr:rowOff>115217</xdr:rowOff>
    </xdr:to>
    <xdr:pic>
      <xdr:nvPicPr>
        <xdr:cNvPr id="35" name="Imagem 34">
          <a:extLst>
            <a:ext uri="{FF2B5EF4-FFF2-40B4-BE49-F238E27FC236}">
              <a16:creationId xmlns:a16="http://schemas.microsoft.com/office/drawing/2014/main" id="{AD2C3E01-23C4-63E4-59A9-73611000B7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3043" y="5171043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1643565</xdr:colOff>
      <xdr:row>27</xdr:row>
      <xdr:rowOff>75392</xdr:rowOff>
    </xdr:from>
    <xdr:to>
      <xdr:col>13</xdr:col>
      <xdr:colOff>343183</xdr:colOff>
      <xdr:row>40</xdr:row>
      <xdr:rowOff>154783</xdr:rowOff>
    </xdr:to>
    <xdr:pic>
      <xdr:nvPicPr>
        <xdr:cNvPr id="37" name="Imagem 36">
          <a:extLst>
            <a:ext uri="{FF2B5EF4-FFF2-40B4-BE49-F238E27FC236}">
              <a16:creationId xmlns:a16="http://schemas.microsoft.com/office/drawing/2014/main" id="{8B5C8529-98B4-41E1-EF50-96A4E6E96B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0522" y="5210609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4523</xdr:colOff>
      <xdr:row>13</xdr:row>
      <xdr:rowOff>4522</xdr:rowOff>
    </xdr:from>
    <xdr:to>
      <xdr:col>26</xdr:col>
      <xdr:colOff>73531</xdr:colOff>
      <xdr:row>26</xdr:row>
      <xdr:rowOff>83914</xdr:rowOff>
    </xdr:to>
    <xdr:pic>
      <xdr:nvPicPr>
        <xdr:cNvPr id="39" name="Imagem 38">
          <a:extLst>
            <a:ext uri="{FF2B5EF4-FFF2-40B4-BE49-F238E27FC236}">
              <a16:creationId xmlns:a16="http://schemas.microsoft.com/office/drawing/2014/main" id="{4F0F5965-D0DA-11DD-11C1-824FDD895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28001" y="251139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2959565</xdr:colOff>
      <xdr:row>12</xdr:row>
      <xdr:rowOff>66174</xdr:rowOff>
    </xdr:from>
    <xdr:to>
      <xdr:col>7</xdr:col>
      <xdr:colOff>1349965</xdr:colOff>
      <xdr:row>26</xdr:row>
      <xdr:rowOff>13044</xdr:rowOff>
    </xdr:to>
    <xdr:pic>
      <xdr:nvPicPr>
        <xdr:cNvPr id="41" name="Imagem 40">
          <a:extLst>
            <a:ext uri="{FF2B5EF4-FFF2-40B4-BE49-F238E27FC236}">
              <a16:creationId xmlns:a16="http://schemas.microsoft.com/office/drawing/2014/main" id="{51FF8B64-0A77-7EFD-A7A2-BEE6F8BA5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6522" y="2440522"/>
          <a:ext cx="3470400" cy="252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1696000</xdr:colOff>
      <xdr:row>12</xdr:row>
      <xdr:rowOff>105739</xdr:rowOff>
    </xdr:from>
    <xdr:to>
      <xdr:col>13</xdr:col>
      <xdr:colOff>395618</xdr:colOff>
      <xdr:row>26</xdr:row>
      <xdr:rowOff>52609</xdr:rowOff>
    </xdr:to>
    <xdr:pic>
      <xdr:nvPicPr>
        <xdr:cNvPr id="43" name="Imagem 42">
          <a:extLst>
            <a:ext uri="{FF2B5EF4-FFF2-40B4-BE49-F238E27FC236}">
              <a16:creationId xmlns:a16="http://schemas.microsoft.com/office/drawing/2014/main" id="{B0409B08-6DE9-6AB2-D2D1-5EAEB9D24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42957" y="2480087"/>
          <a:ext cx="3470400" cy="2520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1007744</xdr:colOff>
      <xdr:row>7</xdr:row>
      <xdr:rowOff>132264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771853-7359-40C4-BF3E-66BCEB0DE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2211" cy="1046015"/>
        </a:xfrm>
        <a:prstGeom prst="rect">
          <a:avLst/>
        </a:prstGeom>
      </xdr:spPr>
    </xdr:pic>
    <xdr:clientData/>
  </xdr:twoCellAnchor>
  <xdr:twoCellAnchor editAs="oneCell">
    <xdr:from>
      <xdr:col>1</xdr:col>
      <xdr:colOff>72570</xdr:colOff>
      <xdr:row>12</xdr:row>
      <xdr:rowOff>36284</xdr:rowOff>
    </xdr:from>
    <xdr:to>
      <xdr:col>3</xdr:col>
      <xdr:colOff>1791427</xdr:colOff>
      <xdr:row>24</xdr:row>
      <xdr:rowOff>59902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645B684-4D8F-03D7-CA24-F67AF9A18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332" y="240695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113712</xdr:colOff>
      <xdr:row>27</xdr:row>
      <xdr:rowOff>29047</xdr:rowOff>
    </xdr:from>
    <xdr:to>
      <xdr:col>3</xdr:col>
      <xdr:colOff>1832569</xdr:colOff>
      <xdr:row>39</xdr:row>
      <xdr:rowOff>15714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4A449ED-64FD-BFC1-7CC9-3283B0309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474" y="5072761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445143</xdr:colOff>
      <xdr:row>12</xdr:row>
      <xdr:rowOff>58095</xdr:rowOff>
    </xdr:from>
    <xdr:to>
      <xdr:col>9</xdr:col>
      <xdr:colOff>360570</xdr:colOff>
      <xdr:row>24</xdr:row>
      <xdr:rowOff>93143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E8B1FC9B-BD9B-3884-462E-2ED7886CC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286" y="242876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2010285</xdr:colOff>
      <xdr:row>27</xdr:row>
      <xdr:rowOff>26666</xdr:rowOff>
    </xdr:from>
    <xdr:to>
      <xdr:col>6</xdr:col>
      <xdr:colOff>403617</xdr:colOff>
      <xdr:row>39</xdr:row>
      <xdr:rowOff>17143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98A9AE85-095F-4511-8480-FCB9F6100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6190" y="507038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600001</xdr:colOff>
      <xdr:row>12</xdr:row>
      <xdr:rowOff>31523</xdr:rowOff>
    </xdr:from>
    <xdr:to>
      <xdr:col>14</xdr:col>
      <xdr:colOff>456192</xdr:colOff>
      <xdr:row>24</xdr:row>
      <xdr:rowOff>58951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DC56B29B-DB34-9D8A-FB2B-8F78F0B88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2382" y="240219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701618</xdr:colOff>
      <xdr:row>12</xdr:row>
      <xdr:rowOff>96858</xdr:rowOff>
    </xdr:from>
    <xdr:to>
      <xdr:col>16</xdr:col>
      <xdr:colOff>1203331</xdr:colOff>
      <xdr:row>24</xdr:row>
      <xdr:rowOff>131906</xdr:rowOff>
    </xdr:to>
    <xdr:pic>
      <xdr:nvPicPr>
        <xdr:cNvPr id="14" name="Imagem 13">
          <a:extLst>
            <a:ext uri="{FF2B5EF4-FFF2-40B4-BE49-F238E27FC236}">
              <a16:creationId xmlns:a16="http://schemas.microsoft.com/office/drawing/2014/main" id="{B1C07D53-CE1E-2E48-24C5-EE9799B25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7808" y="2467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4953</xdr:colOff>
      <xdr:row>27</xdr:row>
      <xdr:rowOff>29141</xdr:rowOff>
    </xdr:from>
    <xdr:to>
      <xdr:col>9</xdr:col>
      <xdr:colOff>549907</xdr:colOff>
      <xdr:row>39</xdr:row>
      <xdr:rowOff>15808</xdr:rowOff>
    </xdr:to>
    <xdr:pic>
      <xdr:nvPicPr>
        <xdr:cNvPr id="16" name="Imagem 15">
          <a:extLst>
            <a:ext uri="{FF2B5EF4-FFF2-40B4-BE49-F238E27FC236}">
              <a16:creationId xmlns:a16="http://schemas.microsoft.com/office/drawing/2014/main" id="{0206400F-8EB7-410F-9C0F-F7A26AC25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0858" y="507285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739129</xdr:colOff>
      <xdr:row>26</xdr:row>
      <xdr:rowOff>173442</xdr:rowOff>
    </xdr:from>
    <xdr:to>
      <xdr:col>16</xdr:col>
      <xdr:colOff>1279267</xdr:colOff>
      <xdr:row>38</xdr:row>
      <xdr:rowOff>167729</xdr:rowOff>
    </xdr:to>
    <xdr:pic>
      <xdr:nvPicPr>
        <xdr:cNvPr id="18" name="Imagem 17">
          <a:extLst>
            <a:ext uri="{FF2B5EF4-FFF2-40B4-BE49-F238E27FC236}">
              <a16:creationId xmlns:a16="http://schemas.microsoft.com/office/drawing/2014/main" id="{05F7A70F-B7F7-3CBD-6416-1DEDF5073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660" y="4959755"/>
          <a:ext cx="2905196" cy="2129792"/>
        </a:xfrm>
        <a:prstGeom prst="rect">
          <a:avLst/>
        </a:prstGeom>
      </xdr:spPr>
    </xdr:pic>
    <xdr:clientData/>
  </xdr:twoCellAnchor>
  <xdr:twoCellAnchor editAs="oneCell">
    <xdr:from>
      <xdr:col>17</xdr:col>
      <xdr:colOff>53196</xdr:colOff>
      <xdr:row>26</xdr:row>
      <xdr:rowOff>176625</xdr:rowOff>
    </xdr:from>
    <xdr:to>
      <xdr:col>25</xdr:col>
      <xdr:colOff>739671</xdr:colOff>
      <xdr:row>38</xdr:row>
      <xdr:rowOff>157577</xdr:rowOff>
    </xdr:to>
    <xdr:pic>
      <xdr:nvPicPr>
        <xdr:cNvPr id="22" name="Imagem 21">
          <a:extLst>
            <a:ext uri="{FF2B5EF4-FFF2-40B4-BE49-F238E27FC236}">
              <a16:creationId xmlns:a16="http://schemas.microsoft.com/office/drawing/2014/main" id="{B194D2A6-73C1-8E90-AEDF-D32708580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30813" y="4976332"/>
          <a:ext cx="2896573" cy="2124077"/>
        </a:xfrm>
        <a:prstGeom prst="rect">
          <a:avLst/>
        </a:prstGeom>
      </xdr:spPr>
    </xdr:pic>
    <xdr:clientData/>
  </xdr:twoCellAnchor>
  <xdr:twoCellAnchor editAs="oneCell">
    <xdr:from>
      <xdr:col>3</xdr:col>
      <xdr:colOff>1911047</xdr:colOff>
      <xdr:row>12</xdr:row>
      <xdr:rowOff>60475</xdr:rowOff>
    </xdr:from>
    <xdr:to>
      <xdr:col>6</xdr:col>
      <xdr:colOff>325334</xdr:colOff>
      <xdr:row>24</xdr:row>
      <xdr:rowOff>95523</xdr:rowOff>
    </xdr:to>
    <xdr:pic>
      <xdr:nvPicPr>
        <xdr:cNvPr id="24" name="Imagem 23">
          <a:extLst>
            <a:ext uri="{FF2B5EF4-FFF2-40B4-BE49-F238E27FC236}">
              <a16:creationId xmlns:a16="http://schemas.microsoft.com/office/drawing/2014/main" id="{D2108A93-1E7E-E503-93D2-B0030C914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952" y="2431142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17</xdr:col>
      <xdr:colOff>15340</xdr:colOff>
      <xdr:row>12</xdr:row>
      <xdr:rowOff>83344</xdr:rowOff>
    </xdr:from>
    <xdr:to>
      <xdr:col>25</xdr:col>
      <xdr:colOff>669929</xdr:colOff>
      <xdr:row>24</xdr:row>
      <xdr:rowOff>133806</xdr:rowOff>
    </xdr:to>
    <xdr:pic>
      <xdr:nvPicPr>
        <xdr:cNvPr id="26" name="Imagem 25">
          <a:extLst>
            <a:ext uri="{FF2B5EF4-FFF2-40B4-BE49-F238E27FC236}">
              <a16:creationId xmlns:a16="http://schemas.microsoft.com/office/drawing/2014/main" id="{6A3C547B-6A1B-601E-C416-5E03939AD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2121" y="2416969"/>
          <a:ext cx="2853436" cy="2132627"/>
        </a:xfrm>
        <a:prstGeom prst="rect">
          <a:avLst/>
        </a:prstGeom>
      </xdr:spPr>
    </xdr:pic>
    <xdr:clientData/>
  </xdr:twoCellAnchor>
  <xdr:twoCellAnchor editAs="oneCell">
    <xdr:from>
      <xdr:col>10</xdr:col>
      <xdr:colOff>125810</xdr:colOff>
      <xdr:row>27</xdr:row>
      <xdr:rowOff>41143</xdr:rowOff>
    </xdr:from>
    <xdr:to>
      <xdr:col>14</xdr:col>
      <xdr:colOff>590573</xdr:colOff>
      <xdr:row>39</xdr:row>
      <xdr:rowOff>20190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593D6950-BFE7-C618-26FB-F66CC0B498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2953" y="5084857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1622453</xdr:colOff>
      <xdr:row>39</xdr:row>
      <xdr:rowOff>94370</xdr:rowOff>
    </xdr:from>
    <xdr:to>
      <xdr:col>13</xdr:col>
      <xdr:colOff>233227</xdr:colOff>
      <xdr:row>53</xdr:row>
      <xdr:rowOff>103408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E5FABD-084D-31D0-11A9-784AF8ABB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4060" y="7170084"/>
          <a:ext cx="3400488" cy="248553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103788</xdr:colOff>
      <xdr:row>2</xdr:row>
      <xdr:rowOff>46369</xdr:rowOff>
    </xdr:from>
    <xdr:to>
      <xdr:col>25</xdr:col>
      <xdr:colOff>1011554</xdr:colOff>
      <xdr:row>7</xdr:row>
      <xdr:rowOff>136074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B1F1C0-34A3-43DA-B84B-D22B19C11C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99258" y="505474"/>
          <a:ext cx="2186021" cy="1049825"/>
        </a:xfrm>
        <a:prstGeom prst="rect">
          <a:avLst/>
        </a:prstGeom>
      </xdr:spPr>
    </xdr:pic>
    <xdr:clientData/>
  </xdr:twoCellAnchor>
  <xdr:twoCellAnchor editAs="oneCell">
    <xdr:from>
      <xdr:col>16</xdr:col>
      <xdr:colOff>1468971</xdr:colOff>
      <xdr:row>13</xdr:row>
      <xdr:rowOff>97931</xdr:rowOff>
    </xdr:from>
    <xdr:to>
      <xdr:col>25</xdr:col>
      <xdr:colOff>1001960</xdr:colOff>
      <xdr:row>27</xdr:row>
      <xdr:rowOff>49524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8A4F0AB7-D81C-8C02-7202-3FD1A2565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7497" y="2624563"/>
          <a:ext cx="3276147" cy="2571803"/>
        </a:xfrm>
        <a:prstGeom prst="rect">
          <a:avLst/>
        </a:prstGeom>
      </xdr:spPr>
    </xdr:pic>
    <xdr:clientData/>
  </xdr:twoCellAnchor>
  <xdr:twoCellAnchor editAs="oneCell">
    <xdr:from>
      <xdr:col>16</xdr:col>
      <xdr:colOff>1467878</xdr:colOff>
      <xdr:row>28</xdr:row>
      <xdr:rowOff>96837</xdr:rowOff>
    </xdr:from>
    <xdr:to>
      <xdr:col>25</xdr:col>
      <xdr:colOff>997137</xdr:colOff>
      <xdr:row>42</xdr:row>
      <xdr:rowOff>52413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09460AED-8A68-1839-4C23-81369A8B1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46404" y="5430837"/>
          <a:ext cx="3272417" cy="2575787"/>
        </a:xfrm>
        <a:prstGeom prst="rect">
          <a:avLst/>
        </a:prstGeom>
      </xdr:spPr>
    </xdr:pic>
    <xdr:clientData/>
  </xdr:twoCellAnchor>
  <xdr:twoCellAnchor editAs="oneCell">
    <xdr:from>
      <xdr:col>3</xdr:col>
      <xdr:colOff>3163020</xdr:colOff>
      <xdr:row>28</xdr:row>
      <xdr:rowOff>49673</xdr:rowOff>
    </xdr:from>
    <xdr:to>
      <xdr:col>7</xdr:col>
      <xdr:colOff>1316264</xdr:colOff>
      <xdr:row>42</xdr:row>
      <xdr:rowOff>5251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7EC31FD3-C232-142B-EEB4-E47C2595C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20" y="5383673"/>
          <a:ext cx="3259981" cy="2575789"/>
        </a:xfrm>
        <a:prstGeom prst="rect">
          <a:avLst/>
        </a:prstGeom>
      </xdr:spPr>
    </xdr:pic>
    <xdr:clientData/>
  </xdr:twoCellAnchor>
  <xdr:twoCellAnchor editAs="oneCell">
    <xdr:from>
      <xdr:col>14</xdr:col>
      <xdr:colOff>205948</xdr:colOff>
      <xdr:row>13</xdr:row>
      <xdr:rowOff>65933</xdr:rowOff>
    </xdr:from>
    <xdr:to>
      <xdr:col>16</xdr:col>
      <xdr:colOff>1087283</xdr:colOff>
      <xdr:row>27</xdr:row>
      <xdr:rowOff>21509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49EF0A5-07F8-5CB7-79C6-A717EFF0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264" y="2592565"/>
          <a:ext cx="3247545" cy="2575786"/>
        </a:xfrm>
        <a:prstGeom prst="rect">
          <a:avLst/>
        </a:prstGeom>
      </xdr:spPr>
    </xdr:pic>
    <xdr:clientData/>
  </xdr:twoCellAnchor>
  <xdr:twoCellAnchor editAs="oneCell">
    <xdr:from>
      <xdr:col>2</xdr:col>
      <xdr:colOff>51272</xdr:colOff>
      <xdr:row>13</xdr:row>
      <xdr:rowOff>27784</xdr:rowOff>
    </xdr:from>
    <xdr:to>
      <xdr:col>3</xdr:col>
      <xdr:colOff>2575990</xdr:colOff>
      <xdr:row>26</xdr:row>
      <xdr:rowOff>152488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FEA011D1-DCC9-E44C-B216-9D82BA5431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4009" y="2554416"/>
          <a:ext cx="3259981" cy="2557756"/>
        </a:xfrm>
        <a:prstGeom prst="rect">
          <a:avLst/>
        </a:prstGeom>
      </xdr:spPr>
    </xdr:pic>
    <xdr:clientData/>
  </xdr:twoCellAnchor>
  <xdr:twoCellAnchor editAs="oneCell">
    <xdr:from>
      <xdr:col>2</xdr:col>
      <xdr:colOff>25702</xdr:colOff>
      <xdr:row>28</xdr:row>
      <xdr:rowOff>65807</xdr:rowOff>
    </xdr:from>
    <xdr:to>
      <xdr:col>3</xdr:col>
      <xdr:colOff>2556554</xdr:colOff>
      <xdr:row>42</xdr:row>
      <xdr:rowOff>27346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A5473EEA-2A5E-3AF1-3C8C-D8AD35FC1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439" y="5399807"/>
          <a:ext cx="3266115" cy="2581750"/>
        </a:xfrm>
        <a:prstGeom prst="rect">
          <a:avLst/>
        </a:prstGeom>
      </xdr:spPr>
    </xdr:pic>
    <xdr:clientData/>
  </xdr:twoCellAnchor>
  <xdr:twoCellAnchor editAs="oneCell">
    <xdr:from>
      <xdr:col>8</xdr:col>
      <xdr:colOff>125337</xdr:colOff>
      <xdr:row>28</xdr:row>
      <xdr:rowOff>132177</xdr:rowOff>
    </xdr:from>
    <xdr:to>
      <xdr:col>13</xdr:col>
      <xdr:colOff>340514</xdr:colOff>
      <xdr:row>42</xdr:row>
      <xdr:rowOff>87753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2D9B9388-D2B2-ACCF-9EE5-19B1C9B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7969" y="5466177"/>
          <a:ext cx="3289913" cy="2575787"/>
        </a:xfrm>
        <a:prstGeom prst="rect">
          <a:avLst/>
        </a:prstGeom>
      </xdr:spPr>
    </xdr:pic>
    <xdr:clientData/>
  </xdr:twoCellAnchor>
  <xdr:twoCellAnchor editAs="oneCell">
    <xdr:from>
      <xdr:col>8</xdr:col>
      <xdr:colOff>153778</xdr:colOff>
      <xdr:row>13</xdr:row>
      <xdr:rowOff>36826</xdr:rowOff>
    </xdr:from>
    <xdr:to>
      <xdr:col>13</xdr:col>
      <xdr:colOff>315792</xdr:colOff>
      <xdr:row>26</xdr:row>
      <xdr:rowOff>169612</xdr:rowOff>
    </xdr:to>
    <xdr:pic>
      <xdr:nvPicPr>
        <xdr:cNvPr id="25" name="Imagem 24">
          <a:extLst>
            <a:ext uri="{FF2B5EF4-FFF2-40B4-BE49-F238E27FC236}">
              <a16:creationId xmlns:a16="http://schemas.microsoft.com/office/drawing/2014/main" id="{D3A1E11A-7D0E-F076-1847-45DE3F1D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6410" y="2563458"/>
          <a:ext cx="3236750" cy="2565838"/>
        </a:xfrm>
        <a:prstGeom prst="rect">
          <a:avLst/>
        </a:prstGeom>
      </xdr:spPr>
    </xdr:pic>
    <xdr:clientData/>
  </xdr:twoCellAnchor>
  <xdr:twoCellAnchor editAs="oneCell">
    <xdr:from>
      <xdr:col>3</xdr:col>
      <xdr:colOff>3116742</xdr:colOff>
      <xdr:row>13</xdr:row>
      <xdr:rowOff>52462</xdr:rowOff>
    </xdr:from>
    <xdr:to>
      <xdr:col>7</xdr:col>
      <xdr:colOff>1246755</xdr:colOff>
      <xdr:row>26</xdr:row>
      <xdr:rowOff>185249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062DAA26-A944-9D70-E1ED-081B0D551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4742" y="2579094"/>
          <a:ext cx="3236750" cy="2565839"/>
        </a:xfrm>
        <a:prstGeom prst="rect">
          <a:avLst/>
        </a:prstGeom>
      </xdr:spPr>
    </xdr:pic>
    <xdr:clientData/>
  </xdr:twoCellAnchor>
  <xdr:twoCellAnchor editAs="oneCell">
    <xdr:from>
      <xdr:col>14</xdr:col>
      <xdr:colOff>154698</xdr:colOff>
      <xdr:row>28</xdr:row>
      <xdr:rowOff>169763</xdr:rowOff>
    </xdr:from>
    <xdr:to>
      <xdr:col>16</xdr:col>
      <xdr:colOff>1078401</xdr:colOff>
      <xdr:row>42</xdr:row>
      <xdr:rowOff>125340</xdr:rowOff>
    </xdr:to>
    <xdr:pic>
      <xdr:nvPicPr>
        <xdr:cNvPr id="29" name="Imagem 28">
          <a:extLst>
            <a:ext uri="{FF2B5EF4-FFF2-40B4-BE49-F238E27FC236}">
              <a16:creationId xmlns:a16="http://schemas.microsoft.com/office/drawing/2014/main" id="{A18CBBB7-B622-67CF-BBC9-0A5880AE9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014" y="5503763"/>
          <a:ext cx="3289913" cy="2575788"/>
        </a:xfrm>
        <a:prstGeom prst="rect">
          <a:avLst/>
        </a:prstGeom>
      </xdr:spPr>
    </xdr:pic>
    <xdr:clientData/>
  </xdr:twoCellAnchor>
  <xdr:twoCellAnchor editAs="oneCell">
    <xdr:from>
      <xdr:col>2</xdr:col>
      <xdr:colOff>87075</xdr:colOff>
      <xdr:row>45</xdr:row>
      <xdr:rowOff>25290</xdr:rowOff>
    </xdr:from>
    <xdr:to>
      <xdr:col>3</xdr:col>
      <xdr:colOff>2624910</xdr:colOff>
      <xdr:row>58</xdr:row>
      <xdr:rowOff>173988</xdr:rowOff>
    </xdr:to>
    <xdr:pic>
      <xdr:nvPicPr>
        <xdr:cNvPr id="31" name="Imagem 30">
          <a:extLst>
            <a:ext uri="{FF2B5EF4-FFF2-40B4-BE49-F238E27FC236}">
              <a16:creationId xmlns:a16="http://schemas.microsoft.com/office/drawing/2014/main" id="{C4F90D39-61A8-D73B-DF56-02BE578DF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812" y="8540974"/>
          <a:ext cx="3273098" cy="2581751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685800</xdr:colOff>
      <xdr:row>1</xdr:row>
      <xdr:rowOff>0</xdr:rowOff>
    </xdr:to>
    <xdr:pic>
      <xdr:nvPicPr>
        <xdr:cNvPr id="1038851392" name="Picture">
          <a:extLst>
            <a:ext uri="{FF2B5EF4-FFF2-40B4-BE49-F238E27FC236}">
              <a16:creationId xmlns:a16="http://schemas.microsoft.com/office/drawing/2014/main" id="{00000000-0008-0000-0000-0000409DEB3D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6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7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8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20"/>
  <sheetViews>
    <sheetView topLeftCell="A4" zoomScale="90" zoomScaleNormal="100" workbookViewId="0">
      <selection activeCell="A181" sqref="A31:XFD18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7" max="7" width="14.7109375" customWidth="1"/>
    <col min="8" max="8" width="14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3" t="s">
        <v>566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v>45281</v>
      </c>
      <c r="C8" s="498"/>
      <c r="D8" s="23" t="s">
        <v>595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4" t="s">
        <v>545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01'!K14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2</v>
      </c>
      <c r="H15" s="92">
        <v>2.5</v>
      </c>
      <c r="I15" s="105"/>
      <c r="J15" s="99">
        <f>'BOLETIM DE MEDIÇÃO 05'!O15-'MEMORIAL DE CALCULO 01'!K15</f>
        <v>0</v>
      </c>
      <c r="K15" s="81">
        <f>F15*G15*H15</f>
        <v>5</v>
      </c>
      <c r="L15" s="82">
        <f t="shared" ref="L15:L86" si="0">J15+K15</f>
        <v>5</v>
      </c>
      <c r="M15" s="82">
        <f>'BOLETIM DE MEDIÇÃO 05'!G15</f>
        <v>5</v>
      </c>
      <c r="N15" s="86">
        <f t="shared" ref="N15:N86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2</v>
      </c>
      <c r="H16" s="92">
        <v>2.5</v>
      </c>
      <c r="I16" s="105"/>
      <c r="J16" s="99">
        <f>'BOLETIM DE MEDIÇÃO 05'!O16-'MEMORIAL DE CALCULO 01'!K16</f>
        <v>0</v>
      </c>
      <c r="K16" s="81">
        <f>F16*G16*H16</f>
        <v>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01'!K17</f>
        <v>0</v>
      </c>
      <c r="K17" s="81">
        <f>K20</f>
        <v>277.39999999999998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t="22.5" hidden="1" x14ac:dyDescent="0.25">
      <c r="B18" s="49" t="s">
        <v>27</v>
      </c>
      <c r="C18" s="58">
        <v>98524</v>
      </c>
      <c r="D18" s="52" t="s">
        <v>28</v>
      </c>
      <c r="E18" s="64" t="s">
        <v>17</v>
      </c>
      <c r="F18" s="94"/>
      <c r="G18" s="104"/>
      <c r="H18" s="92"/>
      <c r="I18" s="105"/>
      <c r="J18" s="99">
        <f>'BOLETIM DE MEDIÇÃO 05'!O18-'MEMORIAL DE CALCULO 01'!K18</f>
        <v>0</v>
      </c>
      <c r="K18" s="81"/>
      <c r="L18" s="82">
        <f t="shared" si="0"/>
        <v>0</v>
      </c>
      <c r="M18" s="82">
        <f>'BOLETIM DE MEDIÇÃO 05'!G18</f>
        <v>1430.2</v>
      </c>
      <c r="N18" s="86">
        <f t="shared" si="1"/>
        <v>1430.2</v>
      </c>
    </row>
    <row r="19" spans="2:14" ht="22.5" hidden="1" x14ac:dyDescent="0.25">
      <c r="B19" s="49" t="s">
        <v>29</v>
      </c>
      <c r="C19" s="57">
        <v>100575</v>
      </c>
      <c r="D19" s="52" t="s">
        <v>31</v>
      </c>
      <c r="E19" s="64" t="s">
        <v>17</v>
      </c>
      <c r="F19" s="94"/>
      <c r="G19" s="104"/>
      <c r="H19" s="92"/>
      <c r="I19" s="105"/>
      <c r="J19" s="99">
        <f>'BOLETIM DE MEDIÇÃO 05'!O19-'MEMORIAL DE CALCULO 01'!K19</f>
        <v>0</v>
      </c>
      <c r="K19" s="81"/>
      <c r="L19" s="82">
        <f t="shared" si="0"/>
        <v>0</v>
      </c>
      <c r="M19" s="82">
        <f>'BOLETIM DE MEDIÇÃO 05'!G19</f>
        <v>1430.2</v>
      </c>
      <c r="N19" s="86">
        <f t="shared" si="1"/>
        <v>1430.2</v>
      </c>
    </row>
    <row r="20" spans="2:14" x14ac:dyDescent="0.25">
      <c r="B20" s="49"/>
      <c r="C20" s="57"/>
      <c r="D20" s="143" t="s">
        <v>568</v>
      </c>
      <c r="E20" s="64"/>
      <c r="F20" s="94">
        <v>1</v>
      </c>
      <c r="G20" s="104">
        <v>146</v>
      </c>
      <c r="H20" s="92">
        <v>1.9</v>
      </c>
      <c r="I20" s="105"/>
      <c r="J20" s="99"/>
      <c r="K20" s="82">
        <f>F20*G20*H20</f>
        <v>277.39999999999998</v>
      </c>
      <c r="L20" s="82"/>
      <c r="M20" s="82"/>
      <c r="N20" s="86"/>
    </row>
    <row r="21" spans="2:14" ht="14.45" customHeight="1" x14ac:dyDescent="0.25">
      <c r="B21" s="56">
        <v>1.2</v>
      </c>
      <c r="C21" s="60" t="s">
        <v>33</v>
      </c>
      <c r="D21" s="52"/>
      <c r="E21" s="64"/>
      <c r="F21" s="94"/>
      <c r="G21" s="104"/>
      <c r="H21" s="92"/>
      <c r="I21" s="105"/>
      <c r="J21" s="99"/>
      <c r="K21" s="81"/>
      <c r="L21" s="82"/>
      <c r="M21" s="82"/>
      <c r="N21" s="86"/>
    </row>
    <row r="22" spans="2:14" ht="33.75" x14ac:dyDescent="0.25">
      <c r="B22" s="49" t="s">
        <v>34</v>
      </c>
      <c r="C22" s="57">
        <v>99059</v>
      </c>
      <c r="D22" s="52" t="s">
        <v>36</v>
      </c>
      <c r="E22" s="64" t="s">
        <v>37</v>
      </c>
      <c r="F22" s="94">
        <v>1</v>
      </c>
      <c r="G22" s="104">
        <v>137.5</v>
      </c>
      <c r="H22" s="92"/>
      <c r="I22" s="105"/>
      <c r="J22" s="99">
        <f>'BOLETIM DE MEDIÇÃO 05'!O21-'MEMORIAL DE CALCULO 01'!K22</f>
        <v>0</v>
      </c>
      <c r="K22" s="81">
        <f>F22*G22</f>
        <v>137.5</v>
      </c>
      <c r="L22" s="82">
        <f t="shared" si="0"/>
        <v>137.5</v>
      </c>
      <c r="M22" s="82">
        <f>'BOLETIM DE MEDIÇÃO 05'!G21</f>
        <v>137.5</v>
      </c>
      <c r="N22" s="86">
        <f t="shared" si="1"/>
        <v>0</v>
      </c>
    </row>
    <row r="23" spans="2:14" ht="22.5" x14ac:dyDescent="0.25">
      <c r="B23" s="55" t="s">
        <v>38</v>
      </c>
      <c r="C23" s="57">
        <v>93358</v>
      </c>
      <c r="D23" s="52" t="s">
        <v>40</v>
      </c>
      <c r="E23" s="64" t="s">
        <v>41</v>
      </c>
      <c r="F23" s="94"/>
      <c r="G23" s="104"/>
      <c r="H23" s="92"/>
      <c r="I23" s="105"/>
      <c r="J23" s="99">
        <f>'BOLETIM DE MEDIÇÃO 05'!O22-'MEMORIAL DE CALCULO 01'!K23</f>
        <v>15.245369999999994</v>
      </c>
      <c r="K23" s="81">
        <f>SUM(K24:K30)</f>
        <v>69.939250000000001</v>
      </c>
      <c r="L23" s="82">
        <f t="shared" si="0"/>
        <v>85.184619999999995</v>
      </c>
      <c r="M23" s="82">
        <f>'BOLETIM DE MEDIÇÃO 05'!G22</f>
        <v>89.01</v>
      </c>
      <c r="N23" s="86">
        <f t="shared" si="1"/>
        <v>3.8253800000000098</v>
      </c>
    </row>
    <row r="24" spans="2:14" ht="33.75" x14ac:dyDescent="0.25">
      <c r="B24" s="55"/>
      <c r="C24" s="57"/>
      <c r="D24" s="144" t="s">
        <v>569</v>
      </c>
      <c r="E24" s="64"/>
      <c r="F24" s="94">
        <v>32</v>
      </c>
      <c r="G24" s="104">
        <v>0.6</v>
      </c>
      <c r="H24" s="92">
        <v>0.7</v>
      </c>
      <c r="I24" s="105">
        <v>1.85</v>
      </c>
      <c r="J24" s="99"/>
      <c r="K24" s="82">
        <f>F24*(G24*H24*I24)</f>
        <v>24.864000000000001</v>
      </c>
      <c r="L24" s="82"/>
      <c r="M24" s="82"/>
      <c r="N24" s="86"/>
    </row>
    <row r="25" spans="2:14" ht="45" x14ac:dyDescent="0.25">
      <c r="B25" s="55"/>
      <c r="C25" s="57"/>
      <c r="D25" s="144" t="s">
        <v>570</v>
      </c>
      <c r="E25" s="64"/>
      <c r="F25" s="94">
        <v>40</v>
      </c>
      <c r="G25" s="104">
        <v>0.6</v>
      </c>
      <c r="H25" s="92">
        <v>0.7</v>
      </c>
      <c r="I25" s="105">
        <v>1.85</v>
      </c>
      <c r="J25" s="99"/>
      <c r="K25" s="82">
        <f t="shared" ref="K25:K30" si="2">F25*(G25*H25*I25)</f>
        <v>31.080000000000002</v>
      </c>
      <c r="L25" s="82"/>
      <c r="M25" s="82"/>
      <c r="N25" s="86"/>
    </row>
    <row r="26" spans="2:14" x14ac:dyDescent="0.25">
      <c r="B26" s="55"/>
      <c r="C26" s="57"/>
      <c r="D26" s="144" t="s">
        <v>571</v>
      </c>
      <c r="E26" s="64"/>
      <c r="F26" s="94">
        <v>1</v>
      </c>
      <c r="G26" s="104">
        <v>0.6</v>
      </c>
      <c r="H26" s="92">
        <v>0.8</v>
      </c>
      <c r="I26" s="105">
        <v>1.85</v>
      </c>
      <c r="J26" s="99"/>
      <c r="K26" s="82">
        <f t="shared" si="2"/>
        <v>0.88800000000000001</v>
      </c>
      <c r="L26" s="82"/>
      <c r="M26" s="82"/>
      <c r="N26" s="86"/>
    </row>
    <row r="27" spans="2:14" x14ac:dyDescent="0.25">
      <c r="B27" s="55"/>
      <c r="C27" s="57"/>
      <c r="D27" s="144" t="s">
        <v>572</v>
      </c>
      <c r="E27" s="64"/>
      <c r="F27" s="94">
        <v>2</v>
      </c>
      <c r="G27" s="104">
        <v>0.9</v>
      </c>
      <c r="H27" s="92">
        <v>0.9</v>
      </c>
      <c r="I27" s="105">
        <v>1.85</v>
      </c>
      <c r="J27" s="99"/>
      <c r="K27" s="82">
        <f t="shared" si="2"/>
        <v>2.9970000000000003</v>
      </c>
      <c r="L27" s="82"/>
      <c r="M27" s="82"/>
      <c r="N27" s="86"/>
    </row>
    <row r="28" spans="2:14" x14ac:dyDescent="0.25">
      <c r="B28" s="55"/>
      <c r="C28" s="57"/>
      <c r="D28" s="144" t="s">
        <v>573</v>
      </c>
      <c r="E28" s="64"/>
      <c r="F28" s="94">
        <v>7</v>
      </c>
      <c r="G28" s="104">
        <v>0.65</v>
      </c>
      <c r="H28" s="92">
        <v>0.65</v>
      </c>
      <c r="I28" s="105">
        <v>1.85</v>
      </c>
      <c r="J28" s="99"/>
      <c r="K28" s="82">
        <f t="shared" si="2"/>
        <v>5.471375000000001</v>
      </c>
      <c r="L28" s="82"/>
      <c r="M28" s="82"/>
      <c r="N28" s="86"/>
    </row>
    <row r="29" spans="2:14" x14ac:dyDescent="0.25">
      <c r="B29" s="55"/>
      <c r="C29" s="57"/>
      <c r="D29" s="144" t="s">
        <v>574</v>
      </c>
      <c r="E29" s="64"/>
      <c r="F29" s="94">
        <v>3</v>
      </c>
      <c r="G29" s="104">
        <v>0.65</v>
      </c>
      <c r="H29" s="92">
        <v>0.75</v>
      </c>
      <c r="I29" s="105">
        <v>1.85</v>
      </c>
      <c r="J29" s="99"/>
      <c r="K29" s="82">
        <f t="shared" si="2"/>
        <v>2.7056250000000004</v>
      </c>
      <c r="L29" s="82"/>
      <c r="M29" s="82"/>
      <c r="N29" s="86"/>
    </row>
    <row r="30" spans="2:14" x14ac:dyDescent="0.25">
      <c r="B30" s="55"/>
      <c r="C30" s="57"/>
      <c r="D30" s="144" t="s">
        <v>575</v>
      </c>
      <c r="E30" s="64"/>
      <c r="F30" s="94">
        <v>2</v>
      </c>
      <c r="G30" s="104">
        <v>0.55000000000000004</v>
      </c>
      <c r="H30" s="92">
        <v>0.95</v>
      </c>
      <c r="I30" s="105">
        <v>1.85</v>
      </c>
      <c r="J30" s="99"/>
      <c r="K30" s="82">
        <f t="shared" si="2"/>
        <v>1.9332499999999999</v>
      </c>
      <c r="L30" s="82"/>
      <c r="M30" s="82"/>
      <c r="N30" s="86"/>
    </row>
    <row r="31" spans="2:14" x14ac:dyDescent="0.25">
      <c r="B31" s="49" t="s">
        <v>42</v>
      </c>
      <c r="C31" s="57">
        <v>96995</v>
      </c>
      <c r="D31" s="52" t="s">
        <v>44</v>
      </c>
      <c r="E31" s="64" t="s">
        <v>41</v>
      </c>
      <c r="F31" s="94"/>
      <c r="G31" s="104"/>
      <c r="H31" s="92"/>
      <c r="I31" s="105"/>
      <c r="J31" s="99">
        <f>'BOLETIM DE MEDIÇÃO 05'!O23-'MEMORIAL DE CALCULO 01'!K31</f>
        <v>43.05</v>
      </c>
      <c r="K31" s="81"/>
      <c r="L31" s="82">
        <f t="shared" si="0"/>
        <v>43.05</v>
      </c>
      <c r="M31" s="82">
        <f>'BOLETIM DE MEDIÇÃO 05'!G23</f>
        <v>44.26</v>
      </c>
      <c r="N31" s="86">
        <f t="shared" si="1"/>
        <v>1.2100000000000009</v>
      </c>
    </row>
    <row r="32" spans="2:14" ht="22.5" hidden="1" x14ac:dyDescent="0.25">
      <c r="B32" s="49" t="s">
        <v>45</v>
      </c>
      <c r="C32" s="57">
        <v>94319</v>
      </c>
      <c r="D32" s="52" t="s">
        <v>47</v>
      </c>
      <c r="E32" s="64" t="s">
        <v>41</v>
      </c>
      <c r="F32" s="94"/>
      <c r="G32" s="104"/>
      <c r="H32" s="92"/>
      <c r="I32" s="105"/>
      <c r="J32" s="99">
        <f>'BOLETIM DE MEDIÇÃO 05'!O24-'MEMORIAL DE CALCULO 01'!K32</f>
        <v>0</v>
      </c>
      <c r="K32" s="81"/>
      <c r="L32" s="82">
        <f t="shared" si="0"/>
        <v>0</v>
      </c>
      <c r="M32" s="82">
        <f>'BOLETIM DE MEDIÇÃO 05'!G24</f>
        <v>93.63</v>
      </c>
      <c r="N32" s="86">
        <f t="shared" si="1"/>
        <v>93.63</v>
      </c>
    </row>
    <row r="33" spans="2:14" hidden="1" x14ac:dyDescent="0.25">
      <c r="B33" s="56" t="s">
        <v>48</v>
      </c>
      <c r="C33" s="60" t="s">
        <v>49</v>
      </c>
      <c r="D33" s="52"/>
      <c r="E33" s="64"/>
      <c r="F33" s="94"/>
      <c r="G33" s="104"/>
      <c r="H33" s="92"/>
      <c r="I33" s="105"/>
      <c r="J33" s="99"/>
      <c r="K33" s="81"/>
      <c r="L33" s="82"/>
      <c r="M33" s="82"/>
      <c r="N33" s="86"/>
    </row>
    <row r="34" spans="2:14" ht="45" hidden="1" x14ac:dyDescent="0.25">
      <c r="B34" s="49" t="s">
        <v>50</v>
      </c>
      <c r="C34" s="58" t="s">
        <v>51</v>
      </c>
      <c r="D34" s="52" t="s">
        <v>52</v>
      </c>
      <c r="E34" s="64" t="s">
        <v>41</v>
      </c>
      <c r="F34" s="94"/>
      <c r="G34" s="104"/>
      <c r="H34" s="92"/>
      <c r="I34" s="105"/>
      <c r="J34" s="99">
        <f>'BOLETIM DE MEDIÇÃO 05'!O26-'MEMORIAL DE CALCULO 01'!K34</f>
        <v>13.985410000000002</v>
      </c>
      <c r="K34" s="81"/>
      <c r="L34" s="82">
        <f t="shared" si="0"/>
        <v>13.985410000000002</v>
      </c>
      <c r="M34" s="82">
        <f>'BOLETIM DE MEDIÇÃO 05'!G26</f>
        <v>13.99</v>
      </c>
      <c r="N34" s="86">
        <f t="shared" si="1"/>
        <v>4.5899999999985397E-3</v>
      </c>
    </row>
    <row r="35" spans="2:14" ht="22.5" hidden="1" x14ac:dyDescent="0.25">
      <c r="B35" s="49" t="s">
        <v>53</v>
      </c>
      <c r="C35" s="57">
        <v>101616</v>
      </c>
      <c r="D35" s="52" t="s">
        <v>55</v>
      </c>
      <c r="E35" s="64" t="s">
        <v>17</v>
      </c>
      <c r="F35" s="94"/>
      <c r="G35" s="104"/>
      <c r="H35" s="92"/>
      <c r="I35" s="105"/>
      <c r="J35" s="99">
        <f>'BOLETIM DE MEDIÇÃO 05'!O27-'MEMORIAL DE CALCULO 01'!K35</f>
        <v>37.81</v>
      </c>
      <c r="K35" s="81"/>
      <c r="L35" s="82">
        <f t="shared" si="0"/>
        <v>37.81</v>
      </c>
      <c r="M35" s="82">
        <f>'BOLETIM DE MEDIÇÃO 05'!G27</f>
        <v>37.81</v>
      </c>
      <c r="N35" s="86">
        <f t="shared" si="1"/>
        <v>0</v>
      </c>
    </row>
    <row r="36" spans="2:14" ht="33.75" hidden="1" x14ac:dyDescent="0.25">
      <c r="B36" s="49" t="s">
        <v>56</v>
      </c>
      <c r="C36" s="57">
        <v>96619</v>
      </c>
      <c r="D36" s="61" t="s">
        <v>58</v>
      </c>
      <c r="E36" s="64" t="s">
        <v>17</v>
      </c>
      <c r="F36" s="94"/>
      <c r="G36" s="104"/>
      <c r="H36" s="92"/>
      <c r="I36" s="105"/>
      <c r="J36" s="99">
        <f>'BOLETIM DE MEDIÇÃO 05'!O28-'MEMORIAL DE CALCULO 01'!K36</f>
        <v>37.81</v>
      </c>
      <c r="K36" s="81"/>
      <c r="L36" s="82">
        <f t="shared" si="0"/>
        <v>37.81</v>
      </c>
      <c r="M36" s="82">
        <f>'BOLETIM DE MEDIÇÃO 05'!G28</f>
        <v>77.41</v>
      </c>
      <c r="N36" s="86">
        <f t="shared" si="1"/>
        <v>39.599999999999994</v>
      </c>
    </row>
    <row r="37" spans="2:14" ht="22.5" hidden="1" x14ac:dyDescent="0.25">
      <c r="B37" s="49" t="s">
        <v>59</v>
      </c>
      <c r="C37" s="57">
        <v>96545</v>
      </c>
      <c r="D37" s="52" t="s">
        <v>61</v>
      </c>
      <c r="E37" s="64" t="s">
        <v>62</v>
      </c>
      <c r="F37" s="94"/>
      <c r="G37" s="104"/>
      <c r="H37" s="92"/>
      <c r="I37" s="105"/>
      <c r="J37" s="99">
        <f>'BOLETIM DE MEDIÇÃO 05'!O29-'MEMORIAL DE CALCULO 01'!K37</f>
        <v>537.29984999999999</v>
      </c>
      <c r="K37" s="81"/>
      <c r="L37" s="82">
        <f t="shared" si="0"/>
        <v>537.29984999999999</v>
      </c>
      <c r="M37" s="82">
        <f>'BOLETIM DE MEDIÇÃO 05'!G29</f>
        <v>537.29999999999995</v>
      </c>
      <c r="N37" s="86">
        <f t="shared" si="1"/>
        <v>1.4999999996234692E-4</v>
      </c>
    </row>
    <row r="38" spans="2:14" ht="33.75" hidden="1" x14ac:dyDescent="0.25">
      <c r="B38" s="49" t="s">
        <v>63</v>
      </c>
      <c r="C38" s="57">
        <v>94966</v>
      </c>
      <c r="D38" s="52" t="s">
        <v>65</v>
      </c>
      <c r="E38" s="64" t="s">
        <v>41</v>
      </c>
      <c r="F38" s="94"/>
      <c r="G38" s="104"/>
      <c r="H38" s="92"/>
      <c r="I38" s="105"/>
      <c r="J38" s="99">
        <f>'BOLETIM DE MEDIÇÃO 05'!O30-'MEMORIAL DE CALCULO 01'!K38</f>
        <v>21.159974999999996</v>
      </c>
      <c r="K38" s="81"/>
      <c r="L38" s="82">
        <f t="shared" si="0"/>
        <v>21.159974999999996</v>
      </c>
      <c r="M38" s="82">
        <f>'BOLETIM DE MEDIÇÃO 05'!G30</f>
        <v>21.16</v>
      </c>
      <c r="N38" s="86">
        <f t="shared" si="1"/>
        <v>2.5000000004382628E-5</v>
      </c>
    </row>
    <row r="39" spans="2:14" ht="33.75" hidden="1" x14ac:dyDescent="0.25">
      <c r="B39" s="49" t="s">
        <v>66</v>
      </c>
      <c r="C39" s="57">
        <v>94964</v>
      </c>
      <c r="D39" s="52" t="s">
        <v>68</v>
      </c>
      <c r="E39" s="64" t="s">
        <v>41</v>
      </c>
      <c r="F39" s="94"/>
      <c r="G39" s="104"/>
      <c r="H39" s="92"/>
      <c r="I39" s="105"/>
      <c r="J39" s="99">
        <f>'BOLETIM DE MEDIÇÃO 05'!O31-'MEMORIAL DE CALCULO 01'!K39</f>
        <v>9.6</v>
      </c>
      <c r="K39" s="81"/>
      <c r="L39" s="82">
        <f t="shared" si="0"/>
        <v>9.6</v>
      </c>
      <c r="M39" s="82">
        <f>'BOLETIM DE MEDIÇÃO 05'!G31</f>
        <v>9.6</v>
      </c>
      <c r="N39" s="86">
        <f t="shared" si="1"/>
        <v>0</v>
      </c>
    </row>
    <row r="40" spans="2:14" ht="22.5" hidden="1" x14ac:dyDescent="0.25">
      <c r="B40" s="49" t="s">
        <v>69</v>
      </c>
      <c r="C40" s="57">
        <v>103670</v>
      </c>
      <c r="D40" s="52" t="s">
        <v>71</v>
      </c>
      <c r="E40" s="64" t="s">
        <v>41</v>
      </c>
      <c r="F40" s="94"/>
      <c r="G40" s="104"/>
      <c r="H40" s="92"/>
      <c r="I40" s="105"/>
      <c r="J40" s="99">
        <f>'BOLETIM DE MEDIÇÃO 05'!O32-'MEMORIAL DE CALCULO 01'!K40</f>
        <v>30.760024999999999</v>
      </c>
      <c r="K40" s="81"/>
      <c r="L40" s="82">
        <f t="shared" si="0"/>
        <v>30.760024999999999</v>
      </c>
      <c r="M40" s="82">
        <f>'BOLETIM DE MEDIÇÃO 05'!G32</f>
        <v>30.76</v>
      </c>
      <c r="N40" s="86">
        <f t="shared" si="1"/>
        <v>-2.49999999972772E-5</v>
      </c>
    </row>
    <row r="41" spans="2:14" ht="22.5" hidden="1" x14ac:dyDescent="0.25">
      <c r="B41" s="49" t="s">
        <v>72</v>
      </c>
      <c r="C41" s="57">
        <v>96543</v>
      </c>
      <c r="D41" s="52" t="s">
        <v>74</v>
      </c>
      <c r="E41" s="64" t="s">
        <v>62</v>
      </c>
      <c r="F41" s="94"/>
      <c r="G41" s="104"/>
      <c r="H41" s="92"/>
      <c r="I41" s="105"/>
      <c r="J41" s="99">
        <f>'BOLETIM DE MEDIÇÃO 05'!O33-'MEMORIAL DE CALCULO 01'!K41</f>
        <v>404.39804319999996</v>
      </c>
      <c r="K41" s="81"/>
      <c r="L41" s="82">
        <f t="shared" si="0"/>
        <v>404.39804319999996</v>
      </c>
      <c r="M41" s="82">
        <f>'BOLETIM DE MEDIÇÃO 05'!G33</f>
        <v>404.4</v>
      </c>
      <c r="N41" s="86">
        <f t="shared" si="1"/>
        <v>1.9568000000163011E-3</v>
      </c>
    </row>
    <row r="42" spans="2:14" ht="22.5" hidden="1" x14ac:dyDescent="0.25">
      <c r="B42" s="49" t="s">
        <v>75</v>
      </c>
      <c r="C42" s="57">
        <v>96544</v>
      </c>
      <c r="D42" s="52" t="s">
        <v>77</v>
      </c>
      <c r="E42" s="64" t="s">
        <v>62</v>
      </c>
      <c r="F42" s="94"/>
      <c r="G42" s="104"/>
      <c r="H42" s="92"/>
      <c r="I42" s="105"/>
      <c r="J42" s="99">
        <f>'BOLETIM DE MEDIÇÃO 05'!O34-'MEMORIAL DE CALCULO 01'!K42</f>
        <v>295</v>
      </c>
      <c r="K42" s="81"/>
      <c r="L42" s="82">
        <f t="shared" si="0"/>
        <v>295</v>
      </c>
      <c r="M42" s="82">
        <f>'BOLETIM DE MEDIÇÃO 05'!G34</f>
        <v>295</v>
      </c>
      <c r="N42" s="86">
        <f t="shared" si="1"/>
        <v>0</v>
      </c>
    </row>
    <row r="43" spans="2:14" ht="22.5" hidden="1" x14ac:dyDescent="0.25">
      <c r="B43" s="49" t="s">
        <v>78</v>
      </c>
      <c r="C43" s="57">
        <v>96546</v>
      </c>
      <c r="D43" s="52" t="s">
        <v>80</v>
      </c>
      <c r="E43" s="64" t="s">
        <v>62</v>
      </c>
      <c r="F43" s="94"/>
      <c r="G43" s="104"/>
      <c r="H43" s="92"/>
      <c r="I43" s="105"/>
      <c r="J43" s="99">
        <f>'BOLETIM DE MEDIÇÃO 05'!O35-'MEMORIAL DE CALCULO 01'!K43</f>
        <v>534.1</v>
      </c>
      <c r="K43" s="81"/>
      <c r="L43" s="82">
        <f t="shared" si="0"/>
        <v>534.1</v>
      </c>
      <c r="M43" s="82">
        <f>'BOLETIM DE MEDIÇÃO 05'!G35</f>
        <v>534.1</v>
      </c>
      <c r="N43" s="86">
        <f t="shared" si="1"/>
        <v>0</v>
      </c>
    </row>
    <row r="44" spans="2:14" ht="22.5" hidden="1" x14ac:dyDescent="0.25">
      <c r="B44" s="49" t="s">
        <v>81</v>
      </c>
      <c r="C44" s="57">
        <v>96547</v>
      </c>
      <c r="D44" s="52" t="s">
        <v>83</v>
      </c>
      <c r="E44" s="64" t="s">
        <v>62</v>
      </c>
      <c r="F44" s="94"/>
      <c r="G44" s="104"/>
      <c r="H44" s="92"/>
      <c r="I44" s="105"/>
      <c r="J44" s="99">
        <f>'BOLETIM DE MEDIÇÃO 05'!O36-'MEMORIAL DE CALCULO 01'!K44</f>
        <v>152.89646000000002</v>
      </c>
      <c r="K44" s="81"/>
      <c r="L44" s="82">
        <f t="shared" si="0"/>
        <v>152.89646000000002</v>
      </c>
      <c r="M44" s="82">
        <f>'BOLETIM DE MEDIÇÃO 05'!G36</f>
        <v>152.9</v>
      </c>
      <c r="N44" s="86">
        <f t="shared" si="1"/>
        <v>3.5399999999867759E-3</v>
      </c>
    </row>
    <row r="45" spans="2:14" ht="33.75" hidden="1" x14ac:dyDescent="0.25">
      <c r="B45" s="49" t="s">
        <v>84</v>
      </c>
      <c r="C45" s="57">
        <v>96536</v>
      </c>
      <c r="D45" s="52" t="s">
        <v>86</v>
      </c>
      <c r="E45" s="64" t="s">
        <v>17</v>
      </c>
      <c r="F45" s="94"/>
      <c r="G45" s="104"/>
      <c r="H45" s="92"/>
      <c r="I45" s="105"/>
      <c r="J45" s="99">
        <f>'BOLETIM DE MEDIÇÃO 05'!O37-'MEMORIAL DE CALCULO 01'!K45</f>
        <v>429.827</v>
      </c>
      <c r="K45" s="81"/>
      <c r="L45" s="82">
        <f t="shared" si="0"/>
        <v>429.827</v>
      </c>
      <c r="M45" s="82">
        <f>'BOLETIM DE MEDIÇÃO 05'!G37</f>
        <v>429.83</v>
      </c>
      <c r="N45" s="86">
        <f t="shared" si="1"/>
        <v>2.9999999999859028E-3</v>
      </c>
    </row>
    <row r="46" spans="2:14" ht="22.5" hidden="1" x14ac:dyDescent="0.25">
      <c r="B46" s="49" t="s">
        <v>87</v>
      </c>
      <c r="C46" s="58">
        <v>98557</v>
      </c>
      <c r="D46" s="52" t="s">
        <v>89</v>
      </c>
      <c r="E46" s="64" t="s">
        <v>17</v>
      </c>
      <c r="F46" s="94"/>
      <c r="G46" s="104"/>
      <c r="H46" s="92"/>
      <c r="I46" s="105"/>
      <c r="J46" s="99">
        <f>'BOLETIM DE MEDIÇÃO 05'!O38-'MEMORIAL DE CALCULO 01'!K46</f>
        <v>253.95000000000002</v>
      </c>
      <c r="K46" s="81"/>
      <c r="L46" s="82">
        <f t="shared" si="0"/>
        <v>253.95000000000002</v>
      </c>
      <c r="M46" s="82">
        <f>'BOLETIM DE MEDIÇÃO 05'!G38</f>
        <v>253.95</v>
      </c>
      <c r="N46" s="86">
        <f t="shared" si="1"/>
        <v>0</v>
      </c>
    </row>
    <row r="47" spans="2:14" hidden="1" x14ac:dyDescent="0.25">
      <c r="B47" s="56" t="s">
        <v>90</v>
      </c>
      <c r="C47" s="60" t="s">
        <v>91</v>
      </c>
      <c r="D47" s="52"/>
      <c r="E47" s="64"/>
      <c r="F47" s="94"/>
      <c r="G47" s="104"/>
      <c r="H47" s="92"/>
      <c r="I47" s="105"/>
      <c r="J47" s="99"/>
      <c r="K47" s="81"/>
      <c r="L47" s="82"/>
      <c r="M47" s="82"/>
      <c r="N47" s="86"/>
    </row>
    <row r="48" spans="2:14" ht="45" hidden="1" x14ac:dyDescent="0.25">
      <c r="B48" s="49" t="s">
        <v>92</v>
      </c>
      <c r="C48" s="57">
        <v>92443</v>
      </c>
      <c r="D48" s="52" t="s">
        <v>94</v>
      </c>
      <c r="E48" s="64" t="s">
        <v>17</v>
      </c>
      <c r="F48" s="94"/>
      <c r="G48" s="104"/>
      <c r="H48" s="92"/>
      <c r="I48" s="105"/>
      <c r="J48" s="99">
        <f>'BOLETIM DE MEDIÇÃO 05'!O40-'MEMORIAL DE CALCULO 01'!K48</f>
        <v>399.86</v>
      </c>
      <c r="K48" s="81"/>
      <c r="L48" s="82">
        <f t="shared" si="0"/>
        <v>399.86</v>
      </c>
      <c r="M48" s="82">
        <f>'BOLETIM DE MEDIÇÃO 05'!G40</f>
        <v>408.7</v>
      </c>
      <c r="N48" s="86">
        <f t="shared" si="1"/>
        <v>8.839999999999975</v>
      </c>
    </row>
    <row r="49" spans="2:14" ht="33.75" hidden="1" x14ac:dyDescent="0.25">
      <c r="B49" s="49" t="s">
        <v>95</v>
      </c>
      <c r="C49" s="63">
        <v>92480</v>
      </c>
      <c r="D49" s="61" t="s">
        <v>97</v>
      </c>
      <c r="E49" s="64" t="s">
        <v>17</v>
      </c>
      <c r="F49" s="94"/>
      <c r="G49" s="104"/>
      <c r="H49" s="43"/>
      <c r="I49" s="105"/>
      <c r="J49" s="99">
        <f>'BOLETIM DE MEDIÇÃO 05'!O41-'MEMORIAL DE CALCULO 01'!K49</f>
        <v>0</v>
      </c>
      <c r="K49" s="81"/>
      <c r="L49" s="82">
        <f t="shared" si="0"/>
        <v>0</v>
      </c>
      <c r="M49" s="82">
        <f>'BOLETIM DE MEDIÇÃO 05'!G41</f>
        <v>435.33</v>
      </c>
      <c r="N49" s="86">
        <f t="shared" si="1"/>
        <v>435.33</v>
      </c>
    </row>
    <row r="50" spans="2:14" ht="22.5" hidden="1" x14ac:dyDescent="0.25">
      <c r="B50" s="49" t="s">
        <v>98</v>
      </c>
      <c r="C50" s="57">
        <v>92267</v>
      </c>
      <c r="D50" s="52" t="s">
        <v>100</v>
      </c>
      <c r="E50" s="64" t="s">
        <v>17</v>
      </c>
      <c r="F50" s="94"/>
      <c r="G50" s="104"/>
      <c r="H50" s="64"/>
      <c r="I50" s="105"/>
      <c r="J50" s="99">
        <f>'BOLETIM DE MEDIÇÃO 05'!O42-'MEMORIAL DE CALCULO 01'!K50</f>
        <v>0</v>
      </c>
      <c r="K50" s="81"/>
      <c r="L50" s="82">
        <f t="shared" si="0"/>
        <v>0</v>
      </c>
      <c r="M50" s="82">
        <f>'BOLETIM DE MEDIÇÃO 05'!G42</f>
        <v>111.15</v>
      </c>
      <c r="N50" s="86">
        <f t="shared" si="1"/>
        <v>111.15</v>
      </c>
    </row>
    <row r="51" spans="2:14" ht="33.75" hidden="1" x14ac:dyDescent="0.25">
      <c r="B51" s="49" t="s">
        <v>101</v>
      </c>
      <c r="C51" s="57">
        <v>92759</v>
      </c>
      <c r="D51" s="52" t="s">
        <v>103</v>
      </c>
      <c r="E51" s="64" t="s">
        <v>62</v>
      </c>
      <c r="F51" s="94"/>
      <c r="G51" s="104"/>
      <c r="H51" s="64"/>
      <c r="I51" s="105"/>
      <c r="J51" s="99">
        <f>'BOLETIM DE MEDIÇÃO 05'!O43-'MEMORIAL DE CALCULO 01'!K51</f>
        <v>682.7</v>
      </c>
      <c r="K51" s="81"/>
      <c r="L51" s="82">
        <f t="shared" si="0"/>
        <v>682.7</v>
      </c>
      <c r="M51" s="82">
        <f>'BOLETIM DE MEDIÇÃO 05'!G43</f>
        <v>1027.8</v>
      </c>
      <c r="N51" s="86">
        <f t="shared" si="1"/>
        <v>345.09999999999991</v>
      </c>
    </row>
    <row r="52" spans="2:14" ht="33.75" hidden="1" x14ac:dyDescent="0.25">
      <c r="B52" s="49" t="s">
        <v>104</v>
      </c>
      <c r="C52" s="57">
        <v>92760</v>
      </c>
      <c r="D52" s="52" t="s">
        <v>106</v>
      </c>
      <c r="E52" s="64" t="s">
        <v>62</v>
      </c>
      <c r="F52" s="94"/>
      <c r="G52" s="104"/>
      <c r="H52" s="64"/>
      <c r="I52" s="105"/>
      <c r="J52" s="99">
        <f>'BOLETIM DE MEDIÇÃO 05'!O44-'MEMORIAL DE CALCULO 01'!K52</f>
        <v>23.46</v>
      </c>
      <c r="K52" s="81"/>
      <c r="L52" s="82">
        <f t="shared" si="0"/>
        <v>23.46</v>
      </c>
      <c r="M52" s="82">
        <f>'BOLETIM DE MEDIÇÃO 05'!G44</f>
        <v>39.1</v>
      </c>
      <c r="N52" s="86">
        <f t="shared" si="1"/>
        <v>15.64</v>
      </c>
    </row>
    <row r="53" spans="2:14" ht="33.75" hidden="1" x14ac:dyDescent="0.25">
      <c r="B53" s="49" t="s">
        <v>107</v>
      </c>
      <c r="C53" s="57">
        <v>92761</v>
      </c>
      <c r="D53" s="52" t="s">
        <v>109</v>
      </c>
      <c r="E53" s="64" t="s">
        <v>62</v>
      </c>
      <c r="F53" s="94"/>
      <c r="G53" s="104"/>
      <c r="H53" s="64"/>
      <c r="I53" s="105"/>
      <c r="J53" s="99">
        <f>'BOLETIM DE MEDIÇÃO 05'!O45-'MEMORIAL DE CALCULO 01'!K53</f>
        <v>415.67999999999995</v>
      </c>
      <c r="K53" s="81"/>
      <c r="L53" s="82">
        <f t="shared" si="0"/>
        <v>415.67999999999995</v>
      </c>
      <c r="M53" s="82">
        <f>'BOLETIM DE MEDIÇÃO 05'!G45</f>
        <v>1000</v>
      </c>
      <c r="N53" s="86">
        <f t="shared" si="1"/>
        <v>584.32000000000005</v>
      </c>
    </row>
    <row r="54" spans="2:14" ht="33.75" hidden="1" x14ac:dyDescent="0.25">
      <c r="B54" s="49" t="s">
        <v>110</v>
      </c>
      <c r="C54" s="57">
        <v>92762</v>
      </c>
      <c r="D54" s="52" t="s">
        <v>112</v>
      </c>
      <c r="E54" s="64" t="s">
        <v>62</v>
      </c>
      <c r="F54" s="94"/>
      <c r="G54" s="104"/>
      <c r="H54" s="64"/>
      <c r="I54" s="105"/>
      <c r="J54" s="99">
        <f>'BOLETIM DE MEDIÇÃO 05'!O46-'MEMORIAL DE CALCULO 01'!K54</f>
        <v>1237.4000000000001</v>
      </c>
      <c r="K54" s="81"/>
      <c r="L54" s="82">
        <f t="shared" si="0"/>
        <v>1237.4000000000001</v>
      </c>
      <c r="M54" s="82">
        <f>'BOLETIM DE MEDIÇÃO 05'!G46</f>
        <v>1306.0999999999999</v>
      </c>
      <c r="N54" s="86">
        <f t="shared" si="1"/>
        <v>68.699999999999818</v>
      </c>
    </row>
    <row r="55" spans="2:14" ht="33.75" hidden="1" x14ac:dyDescent="0.25">
      <c r="B55" s="49" t="s">
        <v>113</v>
      </c>
      <c r="C55" s="57">
        <v>92763</v>
      </c>
      <c r="D55" s="52" t="s">
        <v>115</v>
      </c>
      <c r="E55" s="64" t="s">
        <v>62</v>
      </c>
      <c r="F55" s="94"/>
      <c r="G55" s="104"/>
      <c r="H55" s="64"/>
      <c r="I55" s="105"/>
      <c r="J55" s="99">
        <f>'BOLETIM DE MEDIÇÃO 05'!O47-'MEMORIAL DE CALCULO 01'!K55</f>
        <v>161.6</v>
      </c>
      <c r="K55" s="81"/>
      <c r="L55" s="82">
        <f t="shared" si="0"/>
        <v>161.6</v>
      </c>
      <c r="M55" s="82">
        <f>'BOLETIM DE MEDIÇÃO 05'!G47</f>
        <v>168.2</v>
      </c>
      <c r="N55" s="86">
        <f t="shared" si="1"/>
        <v>6.5999999999999943</v>
      </c>
    </row>
    <row r="56" spans="2:14" ht="33.75" hidden="1" x14ac:dyDescent="0.25">
      <c r="B56" s="49" t="s">
        <v>116</v>
      </c>
      <c r="C56" s="57">
        <v>92768</v>
      </c>
      <c r="D56" s="52" t="s">
        <v>118</v>
      </c>
      <c r="E56" s="64" t="s">
        <v>62</v>
      </c>
      <c r="F56" s="94"/>
      <c r="G56" s="104"/>
      <c r="H56" s="64"/>
      <c r="I56" s="105"/>
      <c r="J56" s="99">
        <f>'BOLETIM DE MEDIÇÃO 05'!O48-'MEMORIAL DE CALCULO 01'!K56</f>
        <v>0</v>
      </c>
      <c r="K56" s="81"/>
      <c r="L56" s="82">
        <f t="shared" si="0"/>
        <v>0</v>
      </c>
      <c r="M56" s="82">
        <f>'BOLETIM DE MEDIÇÃO 05'!G48</f>
        <v>158.69999999999999</v>
      </c>
      <c r="N56" s="86">
        <f t="shared" si="1"/>
        <v>158.69999999999999</v>
      </c>
    </row>
    <row r="57" spans="2:14" ht="33.75" hidden="1" x14ac:dyDescent="0.25">
      <c r="B57" s="49" t="s">
        <v>119</v>
      </c>
      <c r="C57" s="57">
        <v>92769</v>
      </c>
      <c r="D57" s="52" t="s">
        <v>121</v>
      </c>
      <c r="E57" s="64" t="s">
        <v>62</v>
      </c>
      <c r="F57" s="94"/>
      <c r="G57" s="104"/>
      <c r="H57" s="64"/>
      <c r="I57" s="105"/>
      <c r="J57" s="99">
        <f>'BOLETIM DE MEDIÇÃO 05'!O49-'MEMORIAL DE CALCULO 01'!K57</f>
        <v>0</v>
      </c>
      <c r="K57" s="81"/>
      <c r="L57" s="82">
        <f t="shared" si="0"/>
        <v>0</v>
      </c>
      <c r="M57" s="82">
        <f>'BOLETIM DE MEDIÇÃO 05'!G49</f>
        <v>170.5</v>
      </c>
      <c r="N57" s="86">
        <f t="shared" si="1"/>
        <v>170.5</v>
      </c>
    </row>
    <row r="58" spans="2:14" ht="33.75" hidden="1" x14ac:dyDescent="0.25">
      <c r="B58" s="49" t="s">
        <v>122</v>
      </c>
      <c r="C58" s="57">
        <v>92770</v>
      </c>
      <c r="D58" s="52" t="s">
        <v>124</v>
      </c>
      <c r="E58" s="64" t="s">
        <v>62</v>
      </c>
      <c r="F58" s="94"/>
      <c r="G58" s="104"/>
      <c r="H58" s="64"/>
      <c r="I58" s="105"/>
      <c r="J58" s="99">
        <f>'BOLETIM DE MEDIÇÃO 05'!O50-'MEMORIAL DE CALCULO 01'!K58</f>
        <v>0</v>
      </c>
      <c r="K58" s="81"/>
      <c r="L58" s="82">
        <f t="shared" si="0"/>
        <v>0</v>
      </c>
      <c r="M58" s="82">
        <f>'BOLETIM DE MEDIÇÃO 05'!G50</f>
        <v>279.10000000000002</v>
      </c>
      <c r="N58" s="86">
        <f t="shared" si="1"/>
        <v>279.10000000000002</v>
      </c>
    </row>
    <row r="59" spans="2:14" ht="33.75" hidden="1" x14ac:dyDescent="0.25">
      <c r="B59" s="49" t="s">
        <v>125</v>
      </c>
      <c r="C59" s="57">
        <v>94966</v>
      </c>
      <c r="D59" s="52" t="s">
        <v>65</v>
      </c>
      <c r="E59" s="64" t="s">
        <v>41</v>
      </c>
      <c r="F59" s="94"/>
      <c r="G59" s="104"/>
      <c r="H59" s="64"/>
      <c r="I59" s="105"/>
      <c r="J59" s="99">
        <f>'BOLETIM DE MEDIÇÃO 05'!O51-'MEMORIAL DE CALCULO 01'!K59</f>
        <v>19.43</v>
      </c>
      <c r="K59" s="81"/>
      <c r="L59" s="82">
        <f t="shared" si="0"/>
        <v>19.43</v>
      </c>
      <c r="M59" s="82">
        <f>'BOLETIM DE MEDIÇÃO 05'!G51</f>
        <v>61.56</v>
      </c>
      <c r="N59" s="86">
        <f t="shared" si="1"/>
        <v>42.13</v>
      </c>
    </row>
    <row r="60" spans="2:14" ht="22.5" hidden="1" x14ac:dyDescent="0.25">
      <c r="B60" s="49" t="s">
        <v>126</v>
      </c>
      <c r="C60" s="63">
        <v>103670</v>
      </c>
      <c r="D60" s="61" t="s">
        <v>71</v>
      </c>
      <c r="E60" s="64" t="s">
        <v>41</v>
      </c>
      <c r="F60" s="94"/>
      <c r="G60" s="104"/>
      <c r="H60" s="43"/>
      <c r="I60" s="105"/>
      <c r="J60" s="99">
        <f>'BOLETIM DE MEDIÇÃO 05'!O52-'MEMORIAL DE CALCULO 01'!K60</f>
        <v>19.43</v>
      </c>
      <c r="K60" s="81"/>
      <c r="L60" s="82">
        <f t="shared" si="0"/>
        <v>19.43</v>
      </c>
      <c r="M60" s="82">
        <f>'BOLETIM DE MEDIÇÃO 05'!G52</f>
        <v>61.56</v>
      </c>
      <c r="N60" s="86">
        <f t="shared" si="1"/>
        <v>42.13</v>
      </c>
    </row>
    <row r="61" spans="2:14" ht="33.75" hidden="1" x14ac:dyDescent="0.25">
      <c r="B61" s="49" t="s">
        <v>127</v>
      </c>
      <c r="C61" s="63">
        <v>92771</v>
      </c>
      <c r="D61" s="61" t="s">
        <v>129</v>
      </c>
      <c r="E61" s="64" t="s">
        <v>62</v>
      </c>
      <c r="F61" s="94"/>
      <c r="G61" s="104"/>
      <c r="H61" s="43"/>
      <c r="I61" s="105"/>
      <c r="J61" s="99">
        <f>'BOLETIM DE MEDIÇÃO 05'!O53-'MEMORIAL DE CALCULO 01'!K61</f>
        <v>0</v>
      </c>
      <c r="K61" s="81"/>
      <c r="L61" s="82">
        <f t="shared" si="0"/>
        <v>0</v>
      </c>
      <c r="M61" s="82">
        <f>'BOLETIM DE MEDIÇÃO 05'!G53</f>
        <v>312.3</v>
      </c>
      <c r="N61" s="86">
        <f t="shared" si="1"/>
        <v>312.3</v>
      </c>
    </row>
    <row r="62" spans="2:14" ht="33.75" hidden="1" x14ac:dyDescent="0.25">
      <c r="B62" s="49" t="s">
        <v>130</v>
      </c>
      <c r="C62" s="57">
        <v>92772</v>
      </c>
      <c r="D62" s="52" t="s">
        <v>132</v>
      </c>
      <c r="E62" s="64" t="s">
        <v>62</v>
      </c>
      <c r="F62" s="94"/>
      <c r="G62" s="104"/>
      <c r="H62" s="64"/>
      <c r="I62" s="105"/>
      <c r="J62" s="99">
        <f>'BOLETIM DE MEDIÇÃO 05'!O54-'MEMORIAL DE CALCULO 01'!K62</f>
        <v>0</v>
      </c>
      <c r="K62" s="81"/>
      <c r="L62" s="82">
        <f t="shared" si="0"/>
        <v>0</v>
      </c>
      <c r="M62" s="82">
        <f>'BOLETIM DE MEDIÇÃO 05'!G54</f>
        <v>154.80000000000001</v>
      </c>
      <c r="N62" s="86">
        <f t="shared" si="1"/>
        <v>154.80000000000001</v>
      </c>
    </row>
    <row r="63" spans="2:14" hidden="1" x14ac:dyDescent="0.25">
      <c r="B63" s="56">
        <v>1.5</v>
      </c>
      <c r="C63" s="60" t="s">
        <v>134</v>
      </c>
      <c r="D63" s="52"/>
      <c r="E63" s="64"/>
      <c r="F63" s="94"/>
      <c r="G63" s="104"/>
      <c r="H63" s="64"/>
      <c r="I63" s="105"/>
      <c r="J63" s="99"/>
      <c r="K63" s="81"/>
      <c r="L63" s="82"/>
      <c r="M63" s="82"/>
      <c r="N63" s="86"/>
    </row>
    <row r="64" spans="2:14" ht="45" hidden="1" x14ac:dyDescent="0.25">
      <c r="B64" s="49" t="s">
        <v>135</v>
      </c>
      <c r="C64" s="57">
        <v>103356</v>
      </c>
      <c r="D64" s="52" t="s">
        <v>137</v>
      </c>
      <c r="E64" s="64" t="s">
        <v>17</v>
      </c>
      <c r="F64" s="94"/>
      <c r="G64" s="104"/>
      <c r="H64" s="64"/>
      <c r="I64" s="105"/>
      <c r="J64" s="99">
        <f>'BOLETIM DE MEDIÇÃO 05'!O56-'MEMORIAL DE CALCULO 01'!K64</f>
        <v>846.84500000000003</v>
      </c>
      <c r="K64" s="81"/>
      <c r="L64" s="82">
        <f t="shared" si="0"/>
        <v>846.84500000000003</v>
      </c>
      <c r="M64" s="82">
        <f>'BOLETIM DE MEDIÇÃO 05'!G56</f>
        <v>1131.99</v>
      </c>
      <c r="N64" s="86">
        <f t="shared" si="1"/>
        <v>285.14499999999998</v>
      </c>
    </row>
    <row r="65" spans="2:14" ht="22.5" hidden="1" x14ac:dyDescent="0.25">
      <c r="B65" s="49" t="s">
        <v>138</v>
      </c>
      <c r="C65" s="63">
        <v>93189</v>
      </c>
      <c r="D65" s="61" t="s">
        <v>140</v>
      </c>
      <c r="E65" s="64" t="s">
        <v>37</v>
      </c>
      <c r="F65" s="94"/>
      <c r="G65" s="104"/>
      <c r="H65" s="43"/>
      <c r="I65" s="105"/>
      <c r="J65" s="99">
        <f>'BOLETIM DE MEDIÇÃO 05'!O57-'MEMORIAL DE CALCULO 01'!K65</f>
        <v>64.100000000000009</v>
      </c>
      <c r="K65" s="81"/>
      <c r="L65" s="82">
        <f t="shared" si="0"/>
        <v>64.100000000000009</v>
      </c>
      <c r="M65" s="82">
        <f>'BOLETIM DE MEDIÇÃO 05'!G57</f>
        <v>64.099999999999994</v>
      </c>
      <c r="N65" s="86">
        <f t="shared" si="1"/>
        <v>0</v>
      </c>
    </row>
    <row r="66" spans="2:14" ht="33.75" hidden="1" x14ac:dyDescent="0.25">
      <c r="B66" s="49" t="s">
        <v>141</v>
      </c>
      <c r="C66" s="57">
        <v>93191</v>
      </c>
      <c r="D66" s="52" t="s">
        <v>143</v>
      </c>
      <c r="E66" s="64" t="s">
        <v>37</v>
      </c>
      <c r="F66" s="94"/>
      <c r="G66" s="104"/>
      <c r="H66" s="64"/>
      <c r="I66" s="105"/>
      <c r="J66" s="99">
        <f>'BOLETIM DE MEDIÇÃO 05'!O58-'MEMORIAL DE CALCULO 01'!K66</f>
        <v>72.2</v>
      </c>
      <c r="K66" s="81"/>
      <c r="L66" s="82">
        <f t="shared" si="0"/>
        <v>72.2</v>
      </c>
      <c r="M66" s="82">
        <f>'BOLETIM DE MEDIÇÃO 05'!G58</f>
        <v>72.2</v>
      </c>
      <c r="N66" s="86">
        <f t="shared" si="1"/>
        <v>0</v>
      </c>
    </row>
    <row r="67" spans="2:14" ht="22.5" hidden="1" x14ac:dyDescent="0.25">
      <c r="B67" s="49" t="s">
        <v>144</v>
      </c>
      <c r="C67" s="57">
        <v>93197</v>
      </c>
      <c r="D67" s="52" t="s">
        <v>146</v>
      </c>
      <c r="E67" s="64" t="s">
        <v>37</v>
      </c>
      <c r="F67" s="94"/>
      <c r="G67" s="104"/>
      <c r="H67" s="64"/>
      <c r="I67" s="105"/>
      <c r="J67" s="99">
        <f>'BOLETIM DE MEDIÇÃO 05'!O59-'MEMORIAL DE CALCULO 01'!K67</f>
        <v>72.2</v>
      </c>
      <c r="K67" s="81"/>
      <c r="L67" s="82">
        <f t="shared" si="0"/>
        <v>72.2</v>
      </c>
      <c r="M67" s="82">
        <f>'BOLETIM DE MEDIÇÃO 05'!G59</f>
        <v>72.2</v>
      </c>
      <c r="N67" s="86">
        <f t="shared" si="1"/>
        <v>0</v>
      </c>
    </row>
    <row r="68" spans="2:14" ht="14.45" hidden="1" customHeight="1" x14ac:dyDescent="0.25">
      <c r="B68" s="56">
        <v>1.6</v>
      </c>
      <c r="C68" s="60" t="s">
        <v>148</v>
      </c>
      <c r="D68" s="52"/>
      <c r="E68" s="64"/>
      <c r="F68" s="94"/>
      <c r="G68" s="104"/>
      <c r="H68" s="64"/>
      <c r="I68" s="105"/>
      <c r="J68" s="99"/>
      <c r="K68" s="81"/>
      <c r="L68" s="82"/>
      <c r="M68" s="82"/>
      <c r="N68" s="86"/>
    </row>
    <row r="69" spans="2:14" ht="45" hidden="1" x14ac:dyDescent="0.25">
      <c r="B69" s="49" t="s">
        <v>149</v>
      </c>
      <c r="C69" s="57">
        <v>87893</v>
      </c>
      <c r="D69" s="52" t="s">
        <v>151</v>
      </c>
      <c r="E69" s="64" t="s">
        <v>17</v>
      </c>
      <c r="F69" s="94"/>
      <c r="G69" s="104"/>
      <c r="H69" s="64"/>
      <c r="I69" s="105"/>
      <c r="J69" s="99">
        <f>'BOLETIM DE MEDIÇÃO 05'!O61-'MEMORIAL DE CALCULO 01'!K69</f>
        <v>1348.98</v>
      </c>
      <c r="K69" s="81"/>
      <c r="L69" s="82">
        <f t="shared" si="0"/>
        <v>1348.98</v>
      </c>
      <c r="M69" s="82">
        <f>'BOLETIM DE MEDIÇÃO 05'!G61</f>
        <v>1348.98</v>
      </c>
      <c r="N69" s="86">
        <f t="shared" si="1"/>
        <v>0</v>
      </c>
    </row>
    <row r="70" spans="2:14" ht="45" hidden="1" x14ac:dyDescent="0.25">
      <c r="B70" s="49" t="s">
        <v>152</v>
      </c>
      <c r="C70" s="57">
        <v>87548</v>
      </c>
      <c r="D70" s="52" t="s">
        <v>154</v>
      </c>
      <c r="E70" s="64" t="s">
        <v>17</v>
      </c>
      <c r="F70" s="94"/>
      <c r="G70" s="104"/>
      <c r="H70" s="64"/>
      <c r="I70" s="105"/>
      <c r="J70" s="99">
        <f>'BOLETIM DE MEDIÇÃO 05'!O62-'MEMORIAL DE CALCULO 01'!K70</f>
        <v>0</v>
      </c>
      <c r="K70" s="81"/>
      <c r="L70" s="82">
        <f t="shared" si="0"/>
        <v>0</v>
      </c>
      <c r="M70" s="82">
        <f>'BOLETIM DE MEDIÇÃO 05'!G62</f>
        <v>997.11</v>
      </c>
      <c r="N70" s="86">
        <f t="shared" si="1"/>
        <v>997.11</v>
      </c>
    </row>
    <row r="71" spans="2:14" ht="56.25" hidden="1" x14ac:dyDescent="0.25">
      <c r="B71" s="49" t="s">
        <v>155</v>
      </c>
      <c r="C71" s="57">
        <v>87536</v>
      </c>
      <c r="D71" s="52" t="s">
        <v>157</v>
      </c>
      <c r="E71" s="64" t="s">
        <v>17</v>
      </c>
      <c r="F71" s="94"/>
      <c r="G71" s="104"/>
      <c r="H71" s="64"/>
      <c r="I71" s="105"/>
      <c r="J71" s="99">
        <f>'BOLETIM DE MEDIÇÃO 05'!O63-'MEMORIAL DE CALCULO 01'!K71</f>
        <v>0</v>
      </c>
      <c r="K71" s="81"/>
      <c r="L71" s="82">
        <f t="shared" si="0"/>
        <v>0</v>
      </c>
      <c r="M71" s="82">
        <f>'BOLETIM DE MEDIÇÃO 05'!G63</f>
        <v>351.87</v>
      </c>
      <c r="N71" s="86">
        <f t="shared" si="1"/>
        <v>351.87</v>
      </c>
    </row>
    <row r="72" spans="2:14" ht="33.75" hidden="1" x14ac:dyDescent="0.25">
      <c r="B72" s="49" t="s">
        <v>158</v>
      </c>
      <c r="C72" s="57">
        <v>87275</v>
      </c>
      <c r="D72" s="52" t="s">
        <v>160</v>
      </c>
      <c r="E72" s="64" t="s">
        <v>17</v>
      </c>
      <c r="F72" s="94"/>
      <c r="G72" s="104"/>
      <c r="H72" s="64"/>
      <c r="I72" s="105"/>
      <c r="J72" s="99">
        <f>'BOLETIM DE MEDIÇÃO 05'!O64-'MEMORIAL DE CALCULO 01'!K72</f>
        <v>0</v>
      </c>
      <c r="K72" s="81"/>
      <c r="L72" s="82">
        <f t="shared" si="0"/>
        <v>0</v>
      </c>
      <c r="M72" s="82">
        <f>'BOLETIM DE MEDIÇÃO 05'!G64</f>
        <v>351.87</v>
      </c>
      <c r="N72" s="86">
        <f t="shared" si="1"/>
        <v>351.87</v>
      </c>
    </row>
    <row r="73" spans="2:14" hidden="1" x14ac:dyDescent="0.25">
      <c r="B73" s="56">
        <v>1.7</v>
      </c>
      <c r="C73" s="60" t="s">
        <v>162</v>
      </c>
      <c r="D73" s="52"/>
      <c r="E73" s="64"/>
      <c r="F73" s="94"/>
      <c r="G73" s="104"/>
      <c r="H73" s="64"/>
      <c r="I73" s="105"/>
      <c r="J73" s="99"/>
      <c r="K73" s="81"/>
      <c r="L73" s="82"/>
      <c r="M73" s="82"/>
      <c r="N73" s="86"/>
    </row>
    <row r="74" spans="2:14" ht="56.25" hidden="1" x14ac:dyDescent="0.25">
      <c r="B74" s="49" t="s">
        <v>163</v>
      </c>
      <c r="C74" s="63">
        <v>91315</v>
      </c>
      <c r="D74" s="61" t="s">
        <v>165</v>
      </c>
      <c r="E74" s="64" t="s">
        <v>166</v>
      </c>
      <c r="F74" s="94"/>
      <c r="G74" s="104"/>
      <c r="H74" s="43"/>
      <c r="I74" s="105"/>
      <c r="J74" s="99">
        <f>'BOLETIM DE MEDIÇÃO 05'!O66-'MEMORIAL DE CALCULO 01'!K74</f>
        <v>0</v>
      </c>
      <c r="K74" s="81"/>
      <c r="L74" s="82">
        <f t="shared" si="0"/>
        <v>0</v>
      </c>
      <c r="M74" s="82">
        <f>'BOLETIM DE MEDIÇÃO 05'!G66</f>
        <v>18</v>
      </c>
      <c r="N74" s="86">
        <f t="shared" si="1"/>
        <v>18</v>
      </c>
    </row>
    <row r="75" spans="2:14" ht="45" hidden="1" x14ac:dyDescent="0.25">
      <c r="B75" s="49" t="s">
        <v>167</v>
      </c>
      <c r="C75" s="57">
        <v>94570</v>
      </c>
      <c r="D75" s="52" t="s">
        <v>169</v>
      </c>
      <c r="E75" s="64" t="s">
        <v>17</v>
      </c>
      <c r="F75" s="94"/>
      <c r="G75" s="104"/>
      <c r="H75" s="64"/>
      <c r="I75" s="105"/>
      <c r="J75" s="99">
        <f>'BOLETIM DE MEDIÇÃO 05'!O67-'MEMORIAL DE CALCULO 01'!K75</f>
        <v>0</v>
      </c>
      <c r="K75" s="81"/>
      <c r="L75" s="82">
        <f t="shared" si="0"/>
        <v>0</v>
      </c>
      <c r="M75" s="82">
        <f>'BOLETIM DE MEDIÇÃO 05'!G67</f>
        <v>49.7</v>
      </c>
      <c r="N75" s="86">
        <f t="shared" si="1"/>
        <v>49.7</v>
      </c>
    </row>
    <row r="76" spans="2:14" ht="56.25" hidden="1" x14ac:dyDescent="0.25">
      <c r="B76" s="49" t="s">
        <v>170</v>
      </c>
      <c r="C76" s="57">
        <v>100689</v>
      </c>
      <c r="D76" s="52" t="s">
        <v>172</v>
      </c>
      <c r="E76" s="64" t="s">
        <v>166</v>
      </c>
      <c r="F76" s="94"/>
      <c r="G76" s="104"/>
      <c r="H76" s="64"/>
      <c r="I76" s="105"/>
      <c r="J76" s="99">
        <f>'BOLETIM DE MEDIÇÃO 05'!O68-'MEMORIAL DE CALCULO 01'!K76</f>
        <v>0</v>
      </c>
      <c r="K76" s="81"/>
      <c r="L76" s="82">
        <f t="shared" si="0"/>
        <v>0</v>
      </c>
      <c r="M76" s="82">
        <f>'BOLETIM DE MEDIÇÃO 05'!G68</f>
        <v>5</v>
      </c>
      <c r="N76" s="86">
        <f t="shared" si="1"/>
        <v>5</v>
      </c>
    </row>
    <row r="77" spans="2:14" ht="33.75" hidden="1" x14ac:dyDescent="0.25">
      <c r="B77" s="49" t="s">
        <v>173</v>
      </c>
      <c r="C77" s="58" t="s">
        <v>174</v>
      </c>
      <c r="D77" s="52" t="s">
        <v>175</v>
      </c>
      <c r="E77" s="64" t="s">
        <v>5</v>
      </c>
      <c r="F77" s="94"/>
      <c r="G77" s="104"/>
      <c r="H77" s="64"/>
      <c r="I77" s="105"/>
      <c r="J77" s="99">
        <f>'BOLETIM DE MEDIÇÃO 05'!O69-'MEMORIAL DE CALCULO 01'!K77</f>
        <v>0</v>
      </c>
      <c r="K77" s="81"/>
      <c r="L77" s="82">
        <f t="shared" si="0"/>
        <v>0</v>
      </c>
      <c r="M77" s="82">
        <f>'BOLETIM DE MEDIÇÃO 05'!G69</f>
        <v>1</v>
      </c>
      <c r="N77" s="86">
        <f t="shared" si="1"/>
        <v>1</v>
      </c>
    </row>
    <row r="78" spans="2:14" ht="33.75" hidden="1" x14ac:dyDescent="0.25">
      <c r="B78" s="49" t="s">
        <v>176</v>
      </c>
      <c r="C78" s="58" t="s">
        <v>177</v>
      </c>
      <c r="D78" s="52" t="s">
        <v>178</v>
      </c>
      <c r="E78" s="64" t="s">
        <v>5</v>
      </c>
      <c r="F78" s="94"/>
      <c r="G78" s="104"/>
      <c r="H78" s="64"/>
      <c r="I78" s="105"/>
      <c r="J78" s="99">
        <f>'BOLETIM DE MEDIÇÃO 05'!O70-'MEMORIAL DE CALCULO 01'!K78</f>
        <v>0</v>
      </c>
      <c r="K78" s="81"/>
      <c r="L78" s="82">
        <f t="shared" si="0"/>
        <v>0</v>
      </c>
      <c r="M78" s="82">
        <f>'BOLETIM DE MEDIÇÃO 05'!G70</f>
        <v>3</v>
      </c>
      <c r="N78" s="86">
        <f t="shared" si="1"/>
        <v>3</v>
      </c>
    </row>
    <row r="79" spans="2:14" ht="33.75" hidden="1" x14ac:dyDescent="0.25">
      <c r="B79" s="49" t="s">
        <v>179</v>
      </c>
      <c r="C79" s="57">
        <v>91341</v>
      </c>
      <c r="D79" s="52" t="s">
        <v>181</v>
      </c>
      <c r="E79" s="64" t="s">
        <v>17</v>
      </c>
      <c r="F79" s="94"/>
      <c r="G79" s="104"/>
      <c r="H79" s="64"/>
      <c r="I79" s="105"/>
      <c r="J79" s="99">
        <f>'BOLETIM DE MEDIÇÃO 05'!O71-'MEMORIAL DE CALCULO 01'!K79</f>
        <v>0</v>
      </c>
      <c r="K79" s="81"/>
      <c r="L79" s="82">
        <f t="shared" si="0"/>
        <v>0</v>
      </c>
      <c r="M79" s="82">
        <f>'BOLETIM DE MEDIÇÃO 05'!G71</f>
        <v>12.96</v>
      </c>
      <c r="N79" s="86">
        <f t="shared" si="1"/>
        <v>12.96</v>
      </c>
    </row>
    <row r="80" spans="2:14" ht="33.75" hidden="1" x14ac:dyDescent="0.25">
      <c r="B80" s="49" t="s">
        <v>182</v>
      </c>
      <c r="C80" s="57">
        <v>100702</v>
      </c>
      <c r="D80" s="52" t="s">
        <v>184</v>
      </c>
      <c r="E80" s="64" t="s">
        <v>17</v>
      </c>
      <c r="F80" s="94"/>
      <c r="G80" s="104"/>
      <c r="H80" s="64"/>
      <c r="I80" s="105"/>
      <c r="J80" s="99">
        <f>'BOLETIM DE MEDIÇÃO 05'!O72-'MEMORIAL DE CALCULO 01'!K80</f>
        <v>0</v>
      </c>
      <c r="K80" s="81"/>
      <c r="L80" s="82">
        <f t="shared" si="0"/>
        <v>0</v>
      </c>
      <c r="M80" s="82">
        <f>'BOLETIM DE MEDIÇÃO 05'!G72</f>
        <v>19.96</v>
      </c>
      <c r="N80" s="86">
        <f t="shared" si="1"/>
        <v>19.96</v>
      </c>
    </row>
    <row r="81" spans="2:14" ht="45" hidden="1" x14ac:dyDescent="0.25">
      <c r="B81" s="49" t="s">
        <v>185</v>
      </c>
      <c r="C81" s="57">
        <v>90831</v>
      </c>
      <c r="D81" s="52" t="s">
        <v>187</v>
      </c>
      <c r="E81" s="64" t="s">
        <v>166</v>
      </c>
      <c r="F81" s="94"/>
      <c r="G81" s="104"/>
      <c r="H81" s="64"/>
      <c r="I81" s="105"/>
      <c r="J81" s="99">
        <f>'BOLETIM DE MEDIÇÃO 05'!O73-'MEMORIAL DE CALCULO 01'!K81</f>
        <v>0</v>
      </c>
      <c r="K81" s="81"/>
      <c r="L81" s="82">
        <f t="shared" si="0"/>
        <v>0</v>
      </c>
      <c r="M81" s="82">
        <f>'BOLETIM DE MEDIÇÃO 05'!G73</f>
        <v>8</v>
      </c>
      <c r="N81" s="86">
        <f t="shared" si="1"/>
        <v>8</v>
      </c>
    </row>
    <row r="82" spans="2:14" hidden="1" x14ac:dyDescent="0.25">
      <c r="B82" s="56">
        <v>1.8</v>
      </c>
      <c r="C82" s="60" t="s">
        <v>189</v>
      </c>
      <c r="D82" s="52"/>
      <c r="E82" s="43"/>
      <c r="F82" s="94"/>
      <c r="G82" s="104"/>
      <c r="H82" s="64"/>
      <c r="I82" s="105"/>
      <c r="J82" s="99"/>
      <c r="K82" s="81"/>
      <c r="L82" s="82"/>
      <c r="M82" s="82"/>
      <c r="N82" s="86"/>
    </row>
    <row r="83" spans="2:14" ht="22.5" hidden="1" x14ac:dyDescent="0.25">
      <c r="B83" s="49" t="s">
        <v>190</v>
      </c>
      <c r="C83" s="57">
        <v>88485</v>
      </c>
      <c r="D83" s="52" t="s">
        <v>192</v>
      </c>
      <c r="E83" s="43" t="s">
        <v>17</v>
      </c>
      <c r="F83" s="94"/>
      <c r="G83" s="104"/>
      <c r="H83" s="64"/>
      <c r="I83" s="105"/>
      <c r="J83" s="99">
        <f>'BOLETIM DE MEDIÇÃO 05'!O75-'MEMORIAL DE CALCULO 01'!K83</f>
        <v>0</v>
      </c>
      <c r="K83" s="81"/>
      <c r="L83" s="82">
        <f t="shared" si="0"/>
        <v>0</v>
      </c>
      <c r="M83" s="82">
        <f>'BOLETIM DE MEDIÇÃO 05'!G75</f>
        <v>997.11</v>
      </c>
      <c r="N83" s="86">
        <f t="shared" si="1"/>
        <v>997.11</v>
      </c>
    </row>
    <row r="84" spans="2:14" ht="22.5" hidden="1" x14ac:dyDescent="0.25">
      <c r="B84" s="49" t="s">
        <v>193</v>
      </c>
      <c r="C84" s="57">
        <v>88495</v>
      </c>
      <c r="D84" s="52" t="s">
        <v>195</v>
      </c>
      <c r="E84" s="43" t="s">
        <v>17</v>
      </c>
      <c r="F84" s="94"/>
      <c r="G84" s="104"/>
      <c r="H84" s="64"/>
      <c r="I84" s="105"/>
      <c r="J84" s="99">
        <f>'BOLETIM DE MEDIÇÃO 05'!O76-'MEMORIAL DE CALCULO 01'!K84</f>
        <v>0</v>
      </c>
      <c r="K84" s="81"/>
      <c r="L84" s="82">
        <f t="shared" si="0"/>
        <v>0</v>
      </c>
      <c r="M84" s="82">
        <f>'BOLETIM DE MEDIÇÃO 05'!G76</f>
        <v>997.11</v>
      </c>
      <c r="N84" s="86">
        <f t="shared" si="1"/>
        <v>997.11</v>
      </c>
    </row>
    <row r="85" spans="2:14" ht="22.5" hidden="1" x14ac:dyDescent="0.25">
      <c r="B85" s="49" t="s">
        <v>196</v>
      </c>
      <c r="C85" s="57">
        <v>88489</v>
      </c>
      <c r="D85" s="52" t="s">
        <v>198</v>
      </c>
      <c r="E85" s="43" t="s">
        <v>17</v>
      </c>
      <c r="F85" s="94"/>
      <c r="G85" s="104"/>
      <c r="H85" s="64"/>
      <c r="I85" s="105"/>
      <c r="J85" s="99">
        <f>'BOLETIM DE MEDIÇÃO 05'!O77-'MEMORIAL DE CALCULO 01'!K85</f>
        <v>0</v>
      </c>
      <c r="K85" s="81"/>
      <c r="L85" s="82">
        <f t="shared" si="0"/>
        <v>0</v>
      </c>
      <c r="M85" s="82">
        <f>'BOLETIM DE MEDIÇÃO 05'!G77</f>
        <v>997.11</v>
      </c>
      <c r="N85" s="86">
        <f t="shared" si="1"/>
        <v>997.11</v>
      </c>
    </row>
    <row r="86" spans="2:14" ht="22.5" hidden="1" x14ac:dyDescent="0.25">
      <c r="B86" s="49" t="s">
        <v>199</v>
      </c>
      <c r="C86" s="57">
        <v>88484</v>
      </c>
      <c r="D86" s="52" t="s">
        <v>201</v>
      </c>
      <c r="E86" s="43" t="s">
        <v>17</v>
      </c>
      <c r="F86" s="94"/>
      <c r="G86" s="104"/>
      <c r="H86" s="64"/>
      <c r="I86" s="105"/>
      <c r="J86" s="99">
        <f>'BOLETIM DE MEDIÇÃO 05'!O78-'MEMORIAL DE CALCULO 01'!K86</f>
        <v>0</v>
      </c>
      <c r="K86" s="81"/>
      <c r="L86" s="82">
        <f t="shared" si="0"/>
        <v>0</v>
      </c>
      <c r="M86" s="82">
        <f>'BOLETIM DE MEDIÇÃO 05'!G78</f>
        <v>634.5</v>
      </c>
      <c r="N86" s="86">
        <f t="shared" si="1"/>
        <v>634.5</v>
      </c>
    </row>
    <row r="87" spans="2:14" ht="22.5" hidden="1" x14ac:dyDescent="0.25">
      <c r="B87" s="49" t="s">
        <v>202</v>
      </c>
      <c r="C87" s="57">
        <v>88494</v>
      </c>
      <c r="D87" s="52" t="s">
        <v>204</v>
      </c>
      <c r="E87" s="43" t="s">
        <v>17</v>
      </c>
      <c r="F87" s="94"/>
      <c r="G87" s="104"/>
      <c r="H87" s="64"/>
      <c r="I87" s="105"/>
      <c r="J87" s="99">
        <f>'BOLETIM DE MEDIÇÃO 05'!O79-'MEMORIAL DE CALCULO 01'!K87</f>
        <v>0</v>
      </c>
      <c r="K87" s="81"/>
      <c r="L87" s="82">
        <f t="shared" ref="L87:L150" si="3">J87+K87</f>
        <v>0</v>
      </c>
      <c r="M87" s="82">
        <f>'BOLETIM DE MEDIÇÃO 05'!G79</f>
        <v>634.5</v>
      </c>
      <c r="N87" s="86">
        <f t="shared" ref="N87:N150" si="4">M87-L87</f>
        <v>634.5</v>
      </c>
    </row>
    <row r="88" spans="2:14" ht="22.5" hidden="1" x14ac:dyDescent="0.25">
      <c r="B88" s="49" t="s">
        <v>205</v>
      </c>
      <c r="C88" s="57">
        <v>88488</v>
      </c>
      <c r="D88" s="52" t="s">
        <v>207</v>
      </c>
      <c r="E88" s="43" t="s">
        <v>17</v>
      </c>
      <c r="F88" s="94"/>
      <c r="G88" s="104"/>
      <c r="H88" s="64"/>
      <c r="I88" s="105"/>
      <c r="J88" s="99">
        <f>'BOLETIM DE MEDIÇÃO 05'!O80-'MEMORIAL DE CALCULO 01'!K88</f>
        <v>0</v>
      </c>
      <c r="K88" s="81"/>
      <c r="L88" s="82">
        <f t="shared" si="3"/>
        <v>0</v>
      </c>
      <c r="M88" s="82">
        <f>'BOLETIM DE MEDIÇÃO 05'!G80</f>
        <v>634.5</v>
      </c>
      <c r="N88" s="86">
        <f t="shared" si="4"/>
        <v>634.5</v>
      </c>
    </row>
    <row r="89" spans="2:14" ht="14.45" hidden="1" customHeight="1" x14ac:dyDescent="0.25">
      <c r="B89" s="51" t="s">
        <v>208</v>
      </c>
      <c r="C89" s="65" t="s">
        <v>209</v>
      </c>
      <c r="D89" s="53"/>
      <c r="E89" s="44"/>
      <c r="F89" s="95"/>
      <c r="G89" s="106"/>
      <c r="H89" s="70"/>
      <c r="I89" s="105"/>
      <c r="J89" s="99"/>
      <c r="K89" s="81"/>
      <c r="L89" s="82"/>
      <c r="M89" s="82"/>
      <c r="N89" s="86"/>
    </row>
    <row r="90" spans="2:14" ht="45" hidden="1" x14ac:dyDescent="0.25">
      <c r="B90" s="49" t="s">
        <v>210</v>
      </c>
      <c r="C90" s="57">
        <v>87894</v>
      </c>
      <c r="D90" s="52" t="s">
        <v>212</v>
      </c>
      <c r="E90" s="43" t="s">
        <v>17</v>
      </c>
      <c r="F90" s="94"/>
      <c r="G90" s="104"/>
      <c r="H90" s="64"/>
      <c r="I90" s="105"/>
      <c r="J90" s="99">
        <f>'BOLETIM DE MEDIÇÃO 05'!O82-'MEMORIAL DE CALCULO 01'!K90</f>
        <v>0</v>
      </c>
      <c r="K90" s="81"/>
      <c r="L90" s="82">
        <f t="shared" si="3"/>
        <v>0</v>
      </c>
      <c r="M90" s="82">
        <f>'BOLETIM DE MEDIÇÃO 05'!G82</f>
        <v>466.37</v>
      </c>
      <c r="N90" s="86">
        <f t="shared" si="4"/>
        <v>466.37</v>
      </c>
    </row>
    <row r="91" spans="2:14" ht="56.25" hidden="1" x14ac:dyDescent="0.25">
      <c r="B91" s="49" t="s">
        <v>213</v>
      </c>
      <c r="C91" s="57">
        <v>104233</v>
      </c>
      <c r="D91" s="52" t="s">
        <v>215</v>
      </c>
      <c r="E91" s="43" t="s">
        <v>17</v>
      </c>
      <c r="F91" s="94"/>
      <c r="G91" s="104"/>
      <c r="H91" s="64"/>
      <c r="I91" s="105"/>
      <c r="J91" s="99">
        <f>'BOLETIM DE MEDIÇÃO 05'!O83-'MEMORIAL DE CALCULO 01'!K91</f>
        <v>0</v>
      </c>
      <c r="K91" s="81"/>
      <c r="L91" s="82">
        <f t="shared" si="3"/>
        <v>0</v>
      </c>
      <c r="M91" s="82">
        <f>'BOLETIM DE MEDIÇÃO 05'!G83</f>
        <v>466.37</v>
      </c>
      <c r="N91" s="86">
        <f t="shared" si="4"/>
        <v>466.37</v>
      </c>
    </row>
    <row r="92" spans="2:14" ht="33.75" hidden="1" x14ac:dyDescent="0.25">
      <c r="B92" s="49" t="s">
        <v>216</v>
      </c>
      <c r="C92" s="62" t="s">
        <v>217</v>
      </c>
      <c r="D92" s="61" t="s">
        <v>218</v>
      </c>
      <c r="E92" s="43" t="s">
        <v>17</v>
      </c>
      <c r="F92" s="96"/>
      <c r="G92" s="104"/>
      <c r="H92" s="43"/>
      <c r="I92" s="105"/>
      <c r="J92" s="99">
        <f>'BOLETIM DE MEDIÇÃO 05'!O84-'MEMORIAL DE CALCULO 01'!K92</f>
        <v>0</v>
      </c>
      <c r="K92" s="81"/>
      <c r="L92" s="82">
        <f t="shared" si="3"/>
        <v>0</v>
      </c>
      <c r="M92" s="82">
        <f>'BOLETIM DE MEDIÇÃO 05'!G84</f>
        <v>32.5</v>
      </c>
      <c r="N92" s="86">
        <f t="shared" si="4"/>
        <v>32.5</v>
      </c>
    </row>
    <row r="93" spans="2:14" ht="33.75" hidden="1" x14ac:dyDescent="0.25">
      <c r="B93" s="50" t="s">
        <v>219</v>
      </c>
      <c r="C93" s="59" t="s">
        <v>220</v>
      </c>
      <c r="D93" s="53" t="s">
        <v>221</v>
      </c>
      <c r="E93" s="44" t="s">
        <v>222</v>
      </c>
      <c r="F93" s="95"/>
      <c r="G93" s="106"/>
      <c r="H93" s="70"/>
      <c r="I93" s="105"/>
      <c r="J93" s="99">
        <f>'BOLETIM DE MEDIÇÃO 05'!O85-'MEMORIAL DE CALCULO 01'!K93</f>
        <v>0</v>
      </c>
      <c r="K93" s="81"/>
      <c r="L93" s="82">
        <f t="shared" si="3"/>
        <v>0</v>
      </c>
      <c r="M93" s="82">
        <f>'BOLETIM DE MEDIÇÃO 05'!G85</f>
        <v>29.5</v>
      </c>
      <c r="N93" s="86">
        <f t="shared" si="4"/>
        <v>29.5</v>
      </c>
    </row>
    <row r="94" spans="2:14" ht="22.5" hidden="1" x14ac:dyDescent="0.25">
      <c r="B94" s="50" t="s">
        <v>223</v>
      </c>
      <c r="C94" s="66">
        <v>88485</v>
      </c>
      <c r="D94" s="53" t="s">
        <v>192</v>
      </c>
      <c r="E94" s="44" t="s">
        <v>17</v>
      </c>
      <c r="F94" s="95"/>
      <c r="G94" s="106"/>
      <c r="H94" s="70"/>
      <c r="I94" s="105"/>
      <c r="J94" s="99">
        <f>'BOLETIM DE MEDIÇÃO 05'!O86-'MEMORIAL DE CALCULO 01'!K94</f>
        <v>0</v>
      </c>
      <c r="K94" s="81"/>
      <c r="L94" s="82">
        <f t="shared" si="3"/>
        <v>0</v>
      </c>
      <c r="M94" s="82">
        <f>'BOLETIM DE MEDIÇÃO 05'!G86</f>
        <v>404.37</v>
      </c>
      <c r="N94" s="86">
        <f t="shared" si="4"/>
        <v>404.37</v>
      </c>
    </row>
    <row r="95" spans="2:14" ht="22.5" hidden="1" x14ac:dyDescent="0.25">
      <c r="B95" s="50" t="s">
        <v>224</v>
      </c>
      <c r="C95" s="66">
        <v>96130</v>
      </c>
      <c r="D95" s="53" t="s">
        <v>226</v>
      </c>
      <c r="E95" s="44" t="s">
        <v>17</v>
      </c>
      <c r="F95" s="95"/>
      <c r="G95" s="106"/>
      <c r="H95" s="70"/>
      <c r="I95" s="105"/>
      <c r="J95" s="99">
        <f>'BOLETIM DE MEDIÇÃO 05'!O87-'MEMORIAL DE CALCULO 01'!K95</f>
        <v>0</v>
      </c>
      <c r="K95" s="81"/>
      <c r="L95" s="82">
        <f t="shared" si="3"/>
        <v>0</v>
      </c>
      <c r="M95" s="82">
        <f>'BOLETIM DE MEDIÇÃO 05'!G87</f>
        <v>404.37</v>
      </c>
      <c r="N95" s="86">
        <f t="shared" si="4"/>
        <v>404.37</v>
      </c>
    </row>
    <row r="96" spans="2:14" ht="22.5" hidden="1" x14ac:dyDescent="0.25">
      <c r="B96" s="50" t="s">
        <v>227</v>
      </c>
      <c r="C96" s="66">
        <v>88489</v>
      </c>
      <c r="D96" s="53" t="s">
        <v>198</v>
      </c>
      <c r="E96" s="44" t="s">
        <v>17</v>
      </c>
      <c r="F96" s="95"/>
      <c r="G96" s="106"/>
      <c r="H96" s="70"/>
      <c r="I96" s="105"/>
      <c r="J96" s="99">
        <f>'BOLETIM DE MEDIÇÃO 05'!O88-'MEMORIAL DE CALCULO 01'!K96</f>
        <v>0</v>
      </c>
      <c r="K96" s="81"/>
      <c r="L96" s="82">
        <f t="shared" si="3"/>
        <v>0</v>
      </c>
      <c r="M96" s="82">
        <f>'BOLETIM DE MEDIÇÃO 05'!G88</f>
        <v>404.37</v>
      </c>
      <c r="N96" s="86">
        <f t="shared" si="4"/>
        <v>404.37</v>
      </c>
    </row>
    <row r="97" spans="2:14" ht="14.45" hidden="1" customHeight="1" x14ac:dyDescent="0.25">
      <c r="B97" s="65">
        <v>1.1000000000000001</v>
      </c>
      <c r="C97" s="65" t="s">
        <v>229</v>
      </c>
      <c r="D97" s="53"/>
      <c r="E97" s="44"/>
      <c r="F97" s="95"/>
      <c r="G97" s="106"/>
      <c r="H97" s="70"/>
      <c r="I97" s="105"/>
      <c r="J97" s="99"/>
      <c r="K97" s="81"/>
      <c r="L97" s="82"/>
      <c r="M97" s="82"/>
      <c r="N97" s="86"/>
    </row>
    <row r="98" spans="2:14" ht="33.75" hidden="1" x14ac:dyDescent="0.25">
      <c r="B98" s="50" t="s">
        <v>230</v>
      </c>
      <c r="C98" s="66">
        <v>92868</v>
      </c>
      <c r="D98" s="53" t="s">
        <v>232</v>
      </c>
      <c r="E98" s="69" t="s">
        <v>166</v>
      </c>
      <c r="F98" s="97"/>
      <c r="G98" s="106"/>
      <c r="H98" s="70"/>
      <c r="I98" s="105"/>
      <c r="J98" s="99">
        <f>'BOLETIM DE MEDIÇÃO 05'!O90-'MEMORIAL DE CALCULO 01'!K98</f>
        <v>0</v>
      </c>
      <c r="K98" s="81"/>
      <c r="L98" s="82">
        <f t="shared" si="3"/>
        <v>0</v>
      </c>
      <c r="M98" s="82">
        <f>'BOLETIM DE MEDIÇÃO 05'!G90</f>
        <v>117</v>
      </c>
      <c r="N98" s="86">
        <f t="shared" si="4"/>
        <v>117</v>
      </c>
    </row>
    <row r="99" spans="2:14" ht="22.5" hidden="1" x14ac:dyDescent="0.25">
      <c r="B99" s="50" t="s">
        <v>233</v>
      </c>
      <c r="C99" s="66">
        <v>91937</v>
      </c>
      <c r="D99" s="53" t="s">
        <v>235</v>
      </c>
      <c r="E99" s="69" t="s">
        <v>166</v>
      </c>
      <c r="F99" s="97"/>
      <c r="G99" s="106"/>
      <c r="H99" s="70"/>
      <c r="I99" s="105"/>
      <c r="J99" s="99">
        <f>'BOLETIM DE MEDIÇÃO 05'!O91-'MEMORIAL DE CALCULO 01'!K99</f>
        <v>0</v>
      </c>
      <c r="K99" s="81"/>
      <c r="L99" s="82">
        <f t="shared" si="3"/>
        <v>0</v>
      </c>
      <c r="M99" s="82">
        <f>'BOLETIM DE MEDIÇÃO 05'!G91</f>
        <v>76</v>
      </c>
      <c r="N99" s="86">
        <f t="shared" si="4"/>
        <v>76</v>
      </c>
    </row>
    <row r="100" spans="2:14" ht="33.75" hidden="1" x14ac:dyDescent="0.25">
      <c r="B100" s="50" t="s">
        <v>236</v>
      </c>
      <c r="C100" s="66">
        <v>91924</v>
      </c>
      <c r="D100" s="53" t="s">
        <v>238</v>
      </c>
      <c r="E100" s="69" t="s">
        <v>37</v>
      </c>
      <c r="F100" s="97"/>
      <c r="G100" s="106"/>
      <c r="H100" s="70"/>
      <c r="I100" s="105"/>
      <c r="J100" s="99">
        <f>'BOLETIM DE MEDIÇÃO 05'!O92-'MEMORIAL DE CALCULO 01'!K100</f>
        <v>0</v>
      </c>
      <c r="K100" s="81"/>
      <c r="L100" s="82">
        <f t="shared" si="3"/>
        <v>0</v>
      </c>
      <c r="M100" s="82">
        <f>'BOLETIM DE MEDIÇÃO 05'!G92</f>
        <v>1253.8</v>
      </c>
      <c r="N100" s="86">
        <f t="shared" si="4"/>
        <v>1253.8</v>
      </c>
    </row>
    <row r="101" spans="2:14" ht="33.75" hidden="1" x14ac:dyDescent="0.25">
      <c r="B101" s="50" t="s">
        <v>239</v>
      </c>
      <c r="C101" s="66">
        <v>91926</v>
      </c>
      <c r="D101" s="53" t="s">
        <v>241</v>
      </c>
      <c r="E101" s="69" t="s">
        <v>37</v>
      </c>
      <c r="F101" s="97"/>
      <c r="G101" s="106"/>
      <c r="H101" s="70"/>
      <c r="I101" s="105"/>
      <c r="J101" s="99">
        <f>'BOLETIM DE MEDIÇÃO 05'!O93-'MEMORIAL DE CALCULO 01'!K101</f>
        <v>0</v>
      </c>
      <c r="K101" s="81"/>
      <c r="L101" s="82">
        <f t="shared" si="3"/>
        <v>0</v>
      </c>
      <c r="M101" s="82">
        <f>'BOLETIM DE MEDIÇÃO 05'!G93</f>
        <v>1496.3</v>
      </c>
      <c r="N101" s="86">
        <f t="shared" si="4"/>
        <v>1496.3</v>
      </c>
    </row>
    <row r="102" spans="2:14" ht="33.75" hidden="1" x14ac:dyDescent="0.25">
      <c r="B102" s="50" t="s">
        <v>242</v>
      </c>
      <c r="C102" s="68">
        <v>91928</v>
      </c>
      <c r="D102" s="67" t="s">
        <v>244</v>
      </c>
      <c r="E102" s="69" t="s">
        <v>37</v>
      </c>
      <c r="F102" s="97"/>
      <c r="G102" s="106"/>
      <c r="H102" s="44"/>
      <c r="I102" s="105"/>
      <c r="J102" s="99">
        <f>'BOLETIM DE MEDIÇÃO 05'!O94-'MEMORIAL DE CALCULO 01'!K102</f>
        <v>0</v>
      </c>
      <c r="K102" s="81"/>
      <c r="L102" s="82">
        <f t="shared" si="3"/>
        <v>0</v>
      </c>
      <c r="M102" s="82">
        <f>'BOLETIM DE MEDIÇÃO 05'!G94</f>
        <v>284.60000000000002</v>
      </c>
      <c r="N102" s="86">
        <f t="shared" si="4"/>
        <v>284.60000000000002</v>
      </c>
    </row>
    <row r="103" spans="2:14" ht="33.75" hidden="1" x14ac:dyDescent="0.25">
      <c r="B103" s="50" t="s">
        <v>245</v>
      </c>
      <c r="C103" s="66">
        <v>91931</v>
      </c>
      <c r="D103" s="53" t="s">
        <v>247</v>
      </c>
      <c r="E103" s="69" t="s">
        <v>37</v>
      </c>
      <c r="F103" s="97"/>
      <c r="G103" s="106"/>
      <c r="H103" s="70"/>
      <c r="I103" s="105"/>
      <c r="J103" s="99">
        <f>'BOLETIM DE MEDIÇÃO 05'!O95-'MEMORIAL DE CALCULO 01'!K103</f>
        <v>0</v>
      </c>
      <c r="K103" s="81"/>
      <c r="L103" s="82">
        <f t="shared" si="3"/>
        <v>0</v>
      </c>
      <c r="M103" s="82">
        <f>'BOLETIM DE MEDIÇÃO 05'!G95</f>
        <v>224</v>
      </c>
      <c r="N103" s="86">
        <f t="shared" si="4"/>
        <v>224</v>
      </c>
    </row>
    <row r="104" spans="2:14" ht="22.5" hidden="1" x14ac:dyDescent="0.25">
      <c r="B104" s="50" t="s">
        <v>248</v>
      </c>
      <c r="C104" s="66">
        <v>39773</v>
      </c>
      <c r="D104" s="53" t="s">
        <v>250</v>
      </c>
      <c r="E104" s="69" t="s">
        <v>166</v>
      </c>
      <c r="F104" s="97"/>
      <c r="G104" s="106"/>
      <c r="H104" s="70"/>
      <c r="I104" s="105"/>
      <c r="J104" s="99">
        <f>'BOLETIM DE MEDIÇÃO 05'!O96-'MEMORIAL DE CALCULO 01'!K104</f>
        <v>0</v>
      </c>
      <c r="K104" s="81"/>
      <c r="L104" s="82">
        <f t="shared" si="3"/>
        <v>0</v>
      </c>
      <c r="M104" s="82">
        <f>'BOLETIM DE MEDIÇÃO 05'!G96</f>
        <v>2</v>
      </c>
      <c r="N104" s="86">
        <f t="shared" si="4"/>
        <v>2</v>
      </c>
    </row>
    <row r="105" spans="2:14" ht="22.5" hidden="1" x14ac:dyDescent="0.25">
      <c r="B105" s="50" t="s">
        <v>251</v>
      </c>
      <c r="C105" s="66">
        <v>101890</v>
      </c>
      <c r="D105" s="53" t="s">
        <v>253</v>
      </c>
      <c r="E105" s="69" t="s">
        <v>166</v>
      </c>
      <c r="F105" s="97"/>
      <c r="G105" s="106"/>
      <c r="H105" s="70"/>
      <c r="I105" s="105"/>
      <c r="J105" s="99">
        <f>'BOLETIM DE MEDIÇÃO 05'!O97-'MEMORIAL DE CALCULO 01'!K105</f>
        <v>0</v>
      </c>
      <c r="K105" s="81"/>
      <c r="L105" s="82">
        <f t="shared" si="3"/>
        <v>0</v>
      </c>
      <c r="M105" s="82">
        <f>'BOLETIM DE MEDIÇÃO 05'!G97</f>
        <v>19</v>
      </c>
      <c r="N105" s="86">
        <f t="shared" si="4"/>
        <v>19</v>
      </c>
    </row>
    <row r="106" spans="2:14" ht="22.5" hidden="1" x14ac:dyDescent="0.25">
      <c r="B106" s="50" t="s">
        <v>254</v>
      </c>
      <c r="C106" s="66">
        <v>93670</v>
      </c>
      <c r="D106" s="53" t="s">
        <v>256</v>
      </c>
      <c r="E106" s="69" t="s">
        <v>166</v>
      </c>
      <c r="F106" s="97"/>
      <c r="G106" s="106"/>
      <c r="H106" s="70"/>
      <c r="I106" s="105"/>
      <c r="J106" s="99">
        <f>'BOLETIM DE MEDIÇÃO 05'!O98-'MEMORIAL DE CALCULO 01'!K106</f>
        <v>0</v>
      </c>
      <c r="K106" s="81"/>
      <c r="L106" s="82">
        <f t="shared" si="3"/>
        <v>0</v>
      </c>
      <c r="M106" s="82">
        <f>'BOLETIM DE MEDIÇÃO 05'!G98</f>
        <v>1</v>
      </c>
      <c r="N106" s="86">
        <f t="shared" si="4"/>
        <v>1</v>
      </c>
    </row>
    <row r="107" spans="2:14" ht="22.5" hidden="1" x14ac:dyDescent="0.25">
      <c r="B107" s="50" t="s">
        <v>257</v>
      </c>
      <c r="C107" s="66">
        <v>93671</v>
      </c>
      <c r="D107" s="53" t="s">
        <v>259</v>
      </c>
      <c r="E107" s="69" t="s">
        <v>166</v>
      </c>
      <c r="F107" s="97"/>
      <c r="G107" s="106"/>
      <c r="H107" s="70"/>
      <c r="I107" s="105"/>
      <c r="J107" s="99">
        <f>'BOLETIM DE MEDIÇÃO 05'!O99-'MEMORIAL DE CALCULO 01'!K107</f>
        <v>0</v>
      </c>
      <c r="K107" s="81"/>
      <c r="L107" s="82">
        <f t="shared" si="3"/>
        <v>0</v>
      </c>
      <c r="M107" s="82">
        <f>'BOLETIM DE MEDIÇÃO 05'!G99</f>
        <v>1</v>
      </c>
      <c r="N107" s="86">
        <f t="shared" si="4"/>
        <v>1</v>
      </c>
    </row>
    <row r="108" spans="2:14" ht="22.5" hidden="1" x14ac:dyDescent="0.25">
      <c r="B108" s="50" t="s">
        <v>260</v>
      </c>
      <c r="C108" s="66">
        <v>39466</v>
      </c>
      <c r="D108" s="53" t="s">
        <v>262</v>
      </c>
      <c r="E108" s="69" t="s">
        <v>166</v>
      </c>
      <c r="F108" s="97"/>
      <c r="G108" s="106"/>
      <c r="H108" s="70"/>
      <c r="I108" s="105"/>
      <c r="J108" s="99">
        <f>'BOLETIM DE MEDIÇÃO 05'!O100-'MEMORIAL DE CALCULO 01'!K108</f>
        <v>0</v>
      </c>
      <c r="K108" s="81"/>
      <c r="L108" s="82">
        <f t="shared" si="3"/>
        <v>0</v>
      </c>
      <c r="M108" s="82">
        <f>'BOLETIM DE MEDIÇÃO 05'!G100</f>
        <v>6</v>
      </c>
      <c r="N108" s="86">
        <f t="shared" si="4"/>
        <v>6</v>
      </c>
    </row>
    <row r="109" spans="2:14" ht="22.5" hidden="1" x14ac:dyDescent="0.25">
      <c r="B109" s="50" t="s">
        <v>263</v>
      </c>
      <c r="C109" s="66">
        <v>39445</v>
      </c>
      <c r="D109" s="53" t="s">
        <v>265</v>
      </c>
      <c r="E109" s="69" t="s">
        <v>166</v>
      </c>
      <c r="F109" s="97"/>
      <c r="G109" s="106"/>
      <c r="H109" s="70"/>
      <c r="I109" s="105"/>
      <c r="J109" s="99">
        <f>'BOLETIM DE MEDIÇÃO 05'!O101-'MEMORIAL DE CALCULO 01'!K109</f>
        <v>0</v>
      </c>
      <c r="K109" s="81"/>
      <c r="L109" s="82">
        <f t="shared" si="3"/>
        <v>0</v>
      </c>
      <c r="M109" s="82">
        <f>'BOLETIM DE MEDIÇÃO 05'!G101</f>
        <v>1</v>
      </c>
      <c r="N109" s="86">
        <f t="shared" si="4"/>
        <v>1</v>
      </c>
    </row>
    <row r="110" spans="2:14" ht="22.5" hidden="1" x14ac:dyDescent="0.25">
      <c r="B110" s="50" t="s">
        <v>266</v>
      </c>
      <c r="C110" s="66">
        <v>39446</v>
      </c>
      <c r="D110" s="53" t="s">
        <v>268</v>
      </c>
      <c r="E110" s="69" t="s">
        <v>166</v>
      </c>
      <c r="F110" s="97"/>
      <c r="G110" s="106"/>
      <c r="H110" s="70"/>
      <c r="I110" s="105"/>
      <c r="J110" s="99">
        <f>'BOLETIM DE MEDIÇÃO 05'!O102-'MEMORIAL DE CALCULO 01'!K110</f>
        <v>0</v>
      </c>
      <c r="K110" s="81"/>
      <c r="L110" s="82">
        <f t="shared" si="3"/>
        <v>0</v>
      </c>
      <c r="M110" s="82">
        <f>'BOLETIM DE MEDIÇÃO 05'!G102</f>
        <v>1</v>
      </c>
      <c r="N110" s="86">
        <f t="shared" si="4"/>
        <v>1</v>
      </c>
    </row>
    <row r="111" spans="2:14" ht="33.75" hidden="1" x14ac:dyDescent="0.25">
      <c r="B111" s="50" t="s">
        <v>269</v>
      </c>
      <c r="C111" s="66">
        <v>91953</v>
      </c>
      <c r="D111" s="53" t="s">
        <v>271</v>
      </c>
      <c r="E111" s="69" t="s">
        <v>166</v>
      </c>
      <c r="F111" s="97"/>
      <c r="G111" s="106"/>
      <c r="H111" s="70"/>
      <c r="I111" s="105"/>
      <c r="J111" s="99">
        <f>'BOLETIM DE MEDIÇÃO 05'!O103-'MEMORIAL DE CALCULO 01'!K111</f>
        <v>0</v>
      </c>
      <c r="K111" s="81"/>
      <c r="L111" s="82">
        <f t="shared" si="3"/>
        <v>0</v>
      </c>
      <c r="M111" s="82">
        <f>'BOLETIM DE MEDIÇÃO 05'!G103</f>
        <v>23</v>
      </c>
      <c r="N111" s="86">
        <f t="shared" si="4"/>
        <v>23</v>
      </c>
    </row>
    <row r="112" spans="2:14" ht="33.75" hidden="1" x14ac:dyDescent="0.25">
      <c r="B112" s="50" t="s">
        <v>272</v>
      </c>
      <c r="C112" s="66">
        <v>91967</v>
      </c>
      <c r="D112" s="53" t="s">
        <v>274</v>
      </c>
      <c r="E112" s="69" t="s">
        <v>166</v>
      </c>
      <c r="F112" s="97"/>
      <c r="G112" s="106"/>
      <c r="H112" s="70"/>
      <c r="I112" s="105"/>
      <c r="J112" s="99">
        <f>'BOLETIM DE MEDIÇÃO 05'!O104-'MEMORIAL DE CALCULO 01'!K112</f>
        <v>0</v>
      </c>
      <c r="K112" s="81"/>
      <c r="L112" s="82">
        <f t="shared" si="3"/>
        <v>0</v>
      </c>
      <c r="M112" s="82">
        <f>'BOLETIM DE MEDIÇÃO 05'!G104</f>
        <v>1</v>
      </c>
      <c r="N112" s="86">
        <f t="shared" si="4"/>
        <v>1</v>
      </c>
    </row>
    <row r="113" spans="2:14" ht="33.75" hidden="1" x14ac:dyDescent="0.25">
      <c r="B113" s="50" t="s">
        <v>275</v>
      </c>
      <c r="C113" s="66">
        <v>92000</v>
      </c>
      <c r="D113" s="53" t="s">
        <v>277</v>
      </c>
      <c r="E113" s="69" t="s">
        <v>166</v>
      </c>
      <c r="F113" s="97"/>
      <c r="G113" s="106"/>
      <c r="H113" s="70"/>
      <c r="I113" s="105"/>
      <c r="J113" s="99">
        <f>'BOLETIM DE MEDIÇÃO 05'!O105-'MEMORIAL DE CALCULO 01'!K113</f>
        <v>0</v>
      </c>
      <c r="K113" s="81"/>
      <c r="L113" s="82">
        <f t="shared" si="3"/>
        <v>0</v>
      </c>
      <c r="M113" s="82">
        <f>'BOLETIM DE MEDIÇÃO 05'!G105</f>
        <v>54</v>
      </c>
      <c r="N113" s="86">
        <f t="shared" si="4"/>
        <v>54</v>
      </c>
    </row>
    <row r="114" spans="2:14" ht="33.75" hidden="1" x14ac:dyDescent="0.25">
      <c r="B114" s="50" t="s">
        <v>278</v>
      </c>
      <c r="C114" s="66">
        <v>92008</v>
      </c>
      <c r="D114" s="53" t="s">
        <v>280</v>
      </c>
      <c r="E114" s="69" t="s">
        <v>166</v>
      </c>
      <c r="F114" s="97"/>
      <c r="G114" s="106"/>
      <c r="H114" s="70"/>
      <c r="I114" s="105"/>
      <c r="J114" s="99">
        <f>'BOLETIM DE MEDIÇÃO 05'!O106-'MEMORIAL DE CALCULO 01'!K114</f>
        <v>0</v>
      </c>
      <c r="K114" s="81"/>
      <c r="L114" s="82">
        <f t="shared" si="3"/>
        <v>0</v>
      </c>
      <c r="M114" s="82">
        <f>'BOLETIM DE MEDIÇÃO 05'!G106</f>
        <v>8</v>
      </c>
      <c r="N114" s="86">
        <f t="shared" si="4"/>
        <v>8</v>
      </c>
    </row>
    <row r="115" spans="2:14" ht="33.75" hidden="1" x14ac:dyDescent="0.25">
      <c r="B115" s="50" t="s">
        <v>281</v>
      </c>
      <c r="C115" s="68">
        <v>91959</v>
      </c>
      <c r="D115" s="67" t="s">
        <v>283</v>
      </c>
      <c r="E115" s="69" t="s">
        <v>166</v>
      </c>
      <c r="F115" s="97"/>
      <c r="G115" s="106"/>
      <c r="H115" s="44"/>
      <c r="I115" s="105"/>
      <c r="J115" s="99">
        <f>'BOLETIM DE MEDIÇÃO 05'!O107-'MEMORIAL DE CALCULO 01'!K115</f>
        <v>0</v>
      </c>
      <c r="K115" s="81"/>
      <c r="L115" s="82">
        <f t="shared" si="3"/>
        <v>0</v>
      </c>
      <c r="M115" s="82">
        <f>'BOLETIM DE MEDIÇÃO 05'!G107</f>
        <v>2</v>
      </c>
      <c r="N115" s="86">
        <f t="shared" si="4"/>
        <v>2</v>
      </c>
    </row>
    <row r="116" spans="2:14" ht="33.75" hidden="1" x14ac:dyDescent="0.25">
      <c r="B116" s="50" t="s">
        <v>284</v>
      </c>
      <c r="C116" s="68">
        <v>91834</v>
      </c>
      <c r="D116" s="67" t="s">
        <v>286</v>
      </c>
      <c r="E116" s="69" t="s">
        <v>37</v>
      </c>
      <c r="F116" s="97"/>
      <c r="G116" s="106"/>
      <c r="H116" s="44"/>
      <c r="I116" s="105"/>
      <c r="J116" s="99">
        <f>'BOLETIM DE MEDIÇÃO 05'!O108-'MEMORIAL DE CALCULO 01'!K116</f>
        <v>0</v>
      </c>
      <c r="K116" s="81"/>
      <c r="L116" s="82">
        <f t="shared" si="3"/>
        <v>0</v>
      </c>
      <c r="M116" s="82">
        <f>'BOLETIM DE MEDIÇÃO 05'!G108</f>
        <v>830.48</v>
      </c>
      <c r="N116" s="86">
        <f t="shared" si="4"/>
        <v>830.48</v>
      </c>
    </row>
    <row r="117" spans="2:14" ht="33.75" hidden="1" x14ac:dyDescent="0.25">
      <c r="B117" s="50" t="s">
        <v>287</v>
      </c>
      <c r="C117" s="66">
        <v>91868</v>
      </c>
      <c r="D117" s="53" t="s">
        <v>289</v>
      </c>
      <c r="E117" s="69" t="s">
        <v>37</v>
      </c>
      <c r="F117" s="97"/>
      <c r="G117" s="106"/>
      <c r="H117" s="70"/>
      <c r="I117" s="105"/>
      <c r="J117" s="99">
        <f>'BOLETIM DE MEDIÇÃO 05'!O109-'MEMORIAL DE CALCULO 01'!K117</f>
        <v>0</v>
      </c>
      <c r="K117" s="81"/>
      <c r="L117" s="82">
        <f t="shared" si="3"/>
        <v>0</v>
      </c>
      <c r="M117" s="82">
        <f>'BOLETIM DE MEDIÇÃO 05'!G109</f>
        <v>55.97</v>
      </c>
      <c r="N117" s="86">
        <f t="shared" si="4"/>
        <v>55.97</v>
      </c>
    </row>
    <row r="118" spans="2:14" ht="33.75" hidden="1" x14ac:dyDescent="0.25">
      <c r="B118" s="50" t="s">
        <v>290</v>
      </c>
      <c r="C118" s="66">
        <v>91867</v>
      </c>
      <c r="D118" s="53" t="s">
        <v>292</v>
      </c>
      <c r="E118" s="69" t="s">
        <v>37</v>
      </c>
      <c r="F118" s="97"/>
      <c r="G118" s="106"/>
      <c r="H118" s="70"/>
      <c r="I118" s="105"/>
      <c r="J118" s="99">
        <f>'BOLETIM DE MEDIÇÃO 05'!O110-'MEMORIAL DE CALCULO 01'!K118</f>
        <v>0</v>
      </c>
      <c r="K118" s="81"/>
      <c r="L118" s="82">
        <f t="shared" si="3"/>
        <v>0</v>
      </c>
      <c r="M118" s="82">
        <f>'BOLETIM DE MEDIÇÃO 05'!G110</f>
        <v>36.19</v>
      </c>
      <c r="N118" s="86">
        <f t="shared" si="4"/>
        <v>36.19</v>
      </c>
    </row>
    <row r="119" spans="2:14" ht="22.5" hidden="1" x14ac:dyDescent="0.25">
      <c r="B119" s="50" t="s">
        <v>293</v>
      </c>
      <c r="C119" s="66">
        <v>101654</v>
      </c>
      <c r="D119" s="53" t="s">
        <v>295</v>
      </c>
      <c r="E119" s="69" t="s">
        <v>166</v>
      </c>
      <c r="F119" s="97"/>
      <c r="G119" s="106"/>
      <c r="H119" s="70"/>
      <c r="I119" s="105"/>
      <c r="J119" s="99">
        <f>'BOLETIM DE MEDIÇÃO 05'!O111-'MEMORIAL DE CALCULO 01'!K119</f>
        <v>0</v>
      </c>
      <c r="K119" s="81"/>
      <c r="L119" s="82">
        <f t="shared" si="3"/>
        <v>0</v>
      </c>
      <c r="M119" s="82">
        <f>'BOLETIM DE MEDIÇÃO 05'!G111</f>
        <v>15</v>
      </c>
      <c r="N119" s="86">
        <f t="shared" si="4"/>
        <v>15</v>
      </c>
    </row>
    <row r="120" spans="2:14" ht="22.5" hidden="1" x14ac:dyDescent="0.25">
      <c r="B120" s="50" t="s">
        <v>296</v>
      </c>
      <c r="C120" s="66">
        <v>103782</v>
      </c>
      <c r="D120" s="53" t="s">
        <v>298</v>
      </c>
      <c r="E120" s="69" t="s">
        <v>166</v>
      </c>
      <c r="F120" s="97"/>
      <c r="G120" s="106"/>
      <c r="H120" s="70"/>
      <c r="I120" s="105"/>
      <c r="J120" s="99">
        <f>'BOLETIM DE MEDIÇÃO 05'!O112-'MEMORIAL DE CALCULO 01'!K120</f>
        <v>0</v>
      </c>
      <c r="K120" s="81"/>
      <c r="L120" s="82">
        <f t="shared" si="3"/>
        <v>0</v>
      </c>
      <c r="M120" s="82">
        <f>'BOLETIM DE MEDIÇÃO 05'!G112</f>
        <v>76</v>
      </c>
      <c r="N120" s="86">
        <f t="shared" si="4"/>
        <v>76</v>
      </c>
    </row>
    <row r="121" spans="2:14" ht="33.75" hidden="1" x14ac:dyDescent="0.25">
      <c r="B121" s="50" t="s">
        <v>299</v>
      </c>
      <c r="C121" s="66">
        <v>101509</v>
      </c>
      <c r="D121" s="53" t="s">
        <v>301</v>
      </c>
      <c r="E121" s="69" t="s">
        <v>166</v>
      </c>
      <c r="F121" s="97"/>
      <c r="G121" s="106"/>
      <c r="H121" s="70"/>
      <c r="I121" s="105"/>
      <c r="J121" s="99">
        <f>'BOLETIM DE MEDIÇÃO 05'!O113-'MEMORIAL DE CALCULO 01'!K121</f>
        <v>0</v>
      </c>
      <c r="K121" s="81"/>
      <c r="L121" s="82">
        <f t="shared" si="3"/>
        <v>0</v>
      </c>
      <c r="M121" s="82">
        <f>'BOLETIM DE MEDIÇÃO 05'!G113</f>
        <v>1</v>
      </c>
      <c r="N121" s="86">
        <f t="shared" si="4"/>
        <v>1</v>
      </c>
    </row>
    <row r="122" spans="2:14" ht="33.75" hidden="1" x14ac:dyDescent="0.25">
      <c r="B122" s="50" t="s">
        <v>302</v>
      </c>
      <c r="C122" s="66">
        <v>5044</v>
      </c>
      <c r="D122" s="53" t="s">
        <v>304</v>
      </c>
      <c r="E122" s="69" t="s">
        <v>166</v>
      </c>
      <c r="F122" s="97"/>
      <c r="G122" s="106"/>
      <c r="H122" s="70"/>
      <c r="I122" s="105"/>
      <c r="J122" s="99">
        <f>'BOLETIM DE MEDIÇÃO 05'!O114-'MEMORIAL DE CALCULO 01'!K122</f>
        <v>0</v>
      </c>
      <c r="K122" s="81"/>
      <c r="L122" s="82">
        <f t="shared" si="3"/>
        <v>0</v>
      </c>
      <c r="M122" s="82">
        <f>'BOLETIM DE MEDIÇÃO 05'!G114</f>
        <v>1</v>
      </c>
      <c r="N122" s="86">
        <f t="shared" si="4"/>
        <v>1</v>
      </c>
    </row>
    <row r="123" spans="2:14" ht="45" hidden="1" x14ac:dyDescent="0.25">
      <c r="B123" s="50" t="s">
        <v>305</v>
      </c>
      <c r="C123" s="66">
        <v>101879</v>
      </c>
      <c r="D123" s="53" t="s">
        <v>307</v>
      </c>
      <c r="E123" s="69" t="s">
        <v>166</v>
      </c>
      <c r="F123" s="97"/>
      <c r="G123" s="106"/>
      <c r="H123" s="70"/>
      <c r="I123" s="105"/>
      <c r="J123" s="99">
        <f>'BOLETIM DE MEDIÇÃO 05'!O115-'MEMORIAL DE CALCULO 01'!K123</f>
        <v>0</v>
      </c>
      <c r="K123" s="81"/>
      <c r="L123" s="82">
        <f t="shared" si="3"/>
        <v>0</v>
      </c>
      <c r="M123" s="82">
        <f>'BOLETIM DE MEDIÇÃO 05'!G115</f>
        <v>1</v>
      </c>
      <c r="N123" s="86">
        <f t="shared" si="4"/>
        <v>1</v>
      </c>
    </row>
    <row r="124" spans="2:14" ht="33.75" hidden="1" x14ac:dyDescent="0.25">
      <c r="B124" s="50" t="s">
        <v>308</v>
      </c>
      <c r="C124" s="66">
        <v>5044</v>
      </c>
      <c r="D124" s="53" t="s">
        <v>304</v>
      </c>
      <c r="E124" s="69" t="s">
        <v>166</v>
      </c>
      <c r="F124" s="97"/>
      <c r="G124" s="106"/>
      <c r="H124" s="70"/>
      <c r="I124" s="105"/>
      <c r="J124" s="99">
        <f>'BOLETIM DE MEDIÇÃO 05'!O116-'MEMORIAL DE CALCULO 01'!K124</f>
        <v>0</v>
      </c>
      <c r="K124" s="81"/>
      <c r="L124" s="82">
        <f t="shared" si="3"/>
        <v>0</v>
      </c>
      <c r="M124" s="82">
        <f>'BOLETIM DE MEDIÇÃO 05'!G116</f>
        <v>1</v>
      </c>
      <c r="N124" s="86">
        <f t="shared" si="4"/>
        <v>1</v>
      </c>
    </row>
    <row r="125" spans="2:14" ht="33.75" hidden="1" x14ac:dyDescent="0.25">
      <c r="B125" s="50" t="s">
        <v>309</v>
      </c>
      <c r="C125" s="66">
        <v>92023</v>
      </c>
      <c r="D125" s="53" t="s">
        <v>311</v>
      </c>
      <c r="E125" s="69" t="s">
        <v>166</v>
      </c>
      <c r="F125" s="97"/>
      <c r="G125" s="106"/>
      <c r="H125" s="70"/>
      <c r="I125" s="105"/>
      <c r="J125" s="99">
        <f>'BOLETIM DE MEDIÇÃO 05'!O117-'MEMORIAL DE CALCULO 01'!K125</f>
        <v>0</v>
      </c>
      <c r="K125" s="81"/>
      <c r="L125" s="82">
        <f t="shared" si="3"/>
        <v>0</v>
      </c>
      <c r="M125" s="82">
        <f>'BOLETIM DE MEDIÇÃO 05'!G117</f>
        <v>5</v>
      </c>
      <c r="N125" s="86">
        <f t="shared" si="4"/>
        <v>5</v>
      </c>
    </row>
    <row r="126" spans="2:14" hidden="1" x14ac:dyDescent="0.25">
      <c r="B126" s="51" t="s">
        <v>312</v>
      </c>
      <c r="C126" s="71" t="s">
        <v>313</v>
      </c>
      <c r="D126" s="53"/>
      <c r="E126" s="69"/>
      <c r="F126" s="97"/>
      <c r="G126" s="106"/>
      <c r="H126" s="70"/>
      <c r="I126" s="105"/>
      <c r="J126" s="99"/>
      <c r="K126" s="81"/>
      <c r="L126" s="82"/>
      <c r="M126" s="82"/>
      <c r="N126" s="86"/>
    </row>
    <row r="127" spans="2:14" ht="22.5" hidden="1" x14ac:dyDescent="0.25">
      <c r="B127" s="50" t="s">
        <v>314</v>
      </c>
      <c r="C127" s="66">
        <v>96620</v>
      </c>
      <c r="D127" s="53" t="s">
        <v>316</v>
      </c>
      <c r="E127" s="44" t="s">
        <v>41</v>
      </c>
      <c r="F127" s="97"/>
      <c r="G127" s="106"/>
      <c r="H127" s="70"/>
      <c r="I127" s="105"/>
      <c r="J127" s="99">
        <f>'BOLETIM DE MEDIÇÃO 05'!O119-'MEMORIAL DE CALCULO 01'!K127</f>
        <v>0</v>
      </c>
      <c r="K127" s="81"/>
      <c r="L127" s="82">
        <f t="shared" si="3"/>
        <v>0</v>
      </c>
      <c r="M127" s="82">
        <f>'BOLETIM DE MEDIÇÃO 05'!G119</f>
        <v>31.73</v>
      </c>
      <c r="N127" s="86">
        <f t="shared" si="4"/>
        <v>31.73</v>
      </c>
    </row>
    <row r="128" spans="2:14" ht="67.5" hidden="1" x14ac:dyDescent="0.25">
      <c r="B128" s="50" t="s">
        <v>317</v>
      </c>
      <c r="C128" s="66">
        <v>94439</v>
      </c>
      <c r="D128" s="53" t="s">
        <v>319</v>
      </c>
      <c r="E128" s="44" t="s">
        <v>17</v>
      </c>
      <c r="F128" s="97"/>
      <c r="G128" s="106"/>
      <c r="H128" s="70"/>
      <c r="I128" s="105"/>
      <c r="J128" s="99">
        <f>'BOLETIM DE MEDIÇÃO 05'!O120-'MEMORIAL DE CALCULO 01'!K128</f>
        <v>0</v>
      </c>
      <c r="K128" s="81"/>
      <c r="L128" s="82">
        <f t="shared" si="3"/>
        <v>0</v>
      </c>
      <c r="M128" s="82">
        <f>'BOLETIM DE MEDIÇÃO 05'!G120</f>
        <v>634.5</v>
      </c>
      <c r="N128" s="86">
        <f t="shared" si="4"/>
        <v>634.5</v>
      </c>
    </row>
    <row r="129" spans="2:14" ht="33.75" hidden="1" x14ac:dyDescent="0.25">
      <c r="B129" s="50" t="s">
        <v>320</v>
      </c>
      <c r="C129" s="66">
        <v>87257</v>
      </c>
      <c r="D129" s="53" t="s">
        <v>322</v>
      </c>
      <c r="E129" s="44" t="s">
        <v>17</v>
      </c>
      <c r="F129" s="97"/>
      <c r="G129" s="106"/>
      <c r="H129" s="70"/>
      <c r="I129" s="105"/>
      <c r="J129" s="99">
        <f>'BOLETIM DE MEDIÇÃO 05'!O121-'MEMORIAL DE CALCULO 01'!K129</f>
        <v>0</v>
      </c>
      <c r="K129" s="81"/>
      <c r="L129" s="82">
        <f t="shared" si="3"/>
        <v>0</v>
      </c>
      <c r="M129" s="82">
        <f>'BOLETIM DE MEDIÇÃO 05'!G121</f>
        <v>634.5</v>
      </c>
      <c r="N129" s="86">
        <f t="shared" si="4"/>
        <v>634.5</v>
      </c>
    </row>
    <row r="130" spans="2:14" ht="33.75" hidden="1" x14ac:dyDescent="0.25">
      <c r="B130" s="50" t="s">
        <v>323</v>
      </c>
      <c r="C130" s="66">
        <v>92403</v>
      </c>
      <c r="D130" s="53" t="s">
        <v>325</v>
      </c>
      <c r="E130" s="44" t="s">
        <v>17</v>
      </c>
      <c r="F130" s="97"/>
      <c r="G130" s="106"/>
      <c r="H130" s="70"/>
      <c r="I130" s="105"/>
      <c r="J130" s="99">
        <f>'BOLETIM DE MEDIÇÃO 05'!O122-'MEMORIAL DE CALCULO 01'!K130</f>
        <v>0</v>
      </c>
      <c r="K130" s="81"/>
      <c r="L130" s="82">
        <f t="shared" si="3"/>
        <v>0</v>
      </c>
      <c r="M130" s="82">
        <f>'BOLETIM DE MEDIÇÃO 05'!G122</f>
        <v>629.38</v>
      </c>
      <c r="N130" s="86">
        <f t="shared" si="4"/>
        <v>629.38</v>
      </c>
    </row>
    <row r="131" spans="2:14" ht="56.25" hidden="1" x14ac:dyDescent="0.25">
      <c r="B131" s="50" t="s">
        <v>326</v>
      </c>
      <c r="C131" s="66">
        <v>94273</v>
      </c>
      <c r="D131" s="53" t="s">
        <v>328</v>
      </c>
      <c r="E131" s="44" t="s">
        <v>37</v>
      </c>
      <c r="F131" s="97"/>
      <c r="G131" s="106"/>
      <c r="H131" s="70"/>
      <c r="I131" s="105"/>
      <c r="J131" s="99">
        <f>'BOLETIM DE MEDIÇÃO 05'!O123-'MEMORIAL DE CALCULO 01'!K131</f>
        <v>0</v>
      </c>
      <c r="K131" s="81"/>
      <c r="L131" s="82">
        <f t="shared" si="3"/>
        <v>0</v>
      </c>
      <c r="M131" s="82">
        <f>'BOLETIM DE MEDIÇÃO 05'!G123</f>
        <v>126.37</v>
      </c>
      <c r="N131" s="86">
        <f t="shared" si="4"/>
        <v>126.37</v>
      </c>
    </row>
    <row r="132" spans="2:14" ht="22.5" hidden="1" x14ac:dyDescent="0.25">
      <c r="B132" s="50" t="s">
        <v>329</v>
      </c>
      <c r="C132" s="66">
        <v>368</v>
      </c>
      <c r="D132" s="53" t="s">
        <v>331</v>
      </c>
      <c r="E132" s="44" t="s">
        <v>41</v>
      </c>
      <c r="F132" s="97"/>
      <c r="G132" s="106"/>
      <c r="H132" s="70"/>
      <c r="I132" s="105"/>
      <c r="J132" s="99">
        <f>'BOLETIM DE MEDIÇÃO 05'!O124-'MEMORIAL DE CALCULO 01'!K132</f>
        <v>0</v>
      </c>
      <c r="K132" s="81"/>
      <c r="L132" s="82">
        <f t="shared" si="3"/>
        <v>0</v>
      </c>
      <c r="M132" s="82">
        <f>'BOLETIM DE MEDIÇÃO 05'!G124</f>
        <v>7.46</v>
      </c>
      <c r="N132" s="86">
        <f t="shared" si="4"/>
        <v>7.46</v>
      </c>
    </row>
    <row r="133" spans="2:14" hidden="1" x14ac:dyDescent="0.25">
      <c r="B133" s="50" t="s">
        <v>332</v>
      </c>
      <c r="C133" s="66">
        <v>98504</v>
      </c>
      <c r="D133" s="53" t="s">
        <v>334</v>
      </c>
      <c r="E133" s="44" t="s">
        <v>17</v>
      </c>
      <c r="F133" s="97"/>
      <c r="G133" s="106"/>
      <c r="H133" s="70"/>
      <c r="I133" s="105"/>
      <c r="J133" s="99">
        <f>'BOLETIM DE MEDIÇÃO 05'!O125-'MEMORIAL DE CALCULO 01'!K133</f>
        <v>0</v>
      </c>
      <c r="K133" s="81"/>
      <c r="L133" s="82">
        <f t="shared" si="3"/>
        <v>0</v>
      </c>
      <c r="M133" s="82">
        <f>'BOLETIM DE MEDIÇÃO 05'!G125</f>
        <v>25.6</v>
      </c>
      <c r="N133" s="86">
        <f t="shared" si="4"/>
        <v>25.6</v>
      </c>
    </row>
    <row r="134" spans="2:14" ht="22.5" hidden="1" x14ac:dyDescent="0.25">
      <c r="B134" s="50" t="s">
        <v>335</v>
      </c>
      <c r="C134" s="66">
        <v>103913</v>
      </c>
      <c r="D134" s="53" t="s">
        <v>337</v>
      </c>
      <c r="E134" s="44" t="s">
        <v>17</v>
      </c>
      <c r="F134" s="97"/>
      <c r="G134" s="106"/>
      <c r="H134" s="70"/>
      <c r="I134" s="105"/>
      <c r="J134" s="99">
        <f>'BOLETIM DE MEDIÇÃO 05'!O126-'MEMORIAL DE CALCULO 01'!K134</f>
        <v>0</v>
      </c>
      <c r="K134" s="81"/>
      <c r="L134" s="82">
        <f t="shared" si="3"/>
        <v>0</v>
      </c>
      <c r="M134" s="82">
        <f>'BOLETIM DE MEDIÇÃO 05'!G126</f>
        <v>39.6</v>
      </c>
      <c r="N134" s="86">
        <f t="shared" si="4"/>
        <v>39.6</v>
      </c>
    </row>
    <row r="135" spans="2:14" hidden="1" x14ac:dyDescent="0.25">
      <c r="B135" s="51" t="s">
        <v>338</v>
      </c>
      <c r="C135" s="71" t="s">
        <v>339</v>
      </c>
      <c r="D135" s="53"/>
      <c r="E135" s="44"/>
      <c r="F135" s="97"/>
      <c r="G135" s="106"/>
      <c r="H135" s="70"/>
      <c r="I135" s="105"/>
      <c r="J135" s="99"/>
      <c r="K135" s="81"/>
      <c r="L135" s="82"/>
      <c r="M135" s="82"/>
      <c r="N135" s="86"/>
    </row>
    <row r="136" spans="2:14" ht="45" hidden="1" x14ac:dyDescent="0.25">
      <c r="B136" s="50" t="s">
        <v>340</v>
      </c>
      <c r="C136" s="66">
        <v>94207</v>
      </c>
      <c r="D136" s="53" t="s">
        <v>342</v>
      </c>
      <c r="E136" s="44" t="s">
        <v>17</v>
      </c>
      <c r="F136" s="97"/>
      <c r="G136" s="106"/>
      <c r="H136" s="70"/>
      <c r="I136" s="105"/>
      <c r="J136" s="99">
        <f>'BOLETIM DE MEDIÇÃO 05'!O128-'MEMORIAL DE CALCULO 01'!K136</f>
        <v>0</v>
      </c>
      <c r="K136" s="81"/>
      <c r="L136" s="82">
        <f t="shared" si="3"/>
        <v>0</v>
      </c>
      <c r="M136" s="82">
        <f>'BOLETIM DE MEDIÇÃO 05'!G128</f>
        <v>610.20000000000005</v>
      </c>
      <c r="N136" s="86">
        <f t="shared" si="4"/>
        <v>610.20000000000005</v>
      </c>
    </row>
    <row r="137" spans="2:14" ht="33.75" hidden="1" x14ac:dyDescent="0.25">
      <c r="B137" s="50" t="s">
        <v>343</v>
      </c>
      <c r="C137" s="66">
        <v>98546</v>
      </c>
      <c r="D137" s="53" t="s">
        <v>345</v>
      </c>
      <c r="E137" s="44" t="s">
        <v>17</v>
      </c>
      <c r="F137" s="97"/>
      <c r="G137" s="106"/>
      <c r="H137" s="70"/>
      <c r="I137" s="105"/>
      <c r="J137" s="99">
        <f>'BOLETIM DE MEDIÇÃO 05'!O129-'MEMORIAL DE CALCULO 01'!K137</f>
        <v>0</v>
      </c>
      <c r="K137" s="81"/>
      <c r="L137" s="82">
        <f t="shared" si="3"/>
        <v>0</v>
      </c>
      <c r="M137" s="82">
        <f>'BOLETIM DE MEDIÇÃO 05'!G129</f>
        <v>181.61</v>
      </c>
      <c r="N137" s="86">
        <f t="shared" si="4"/>
        <v>181.61</v>
      </c>
    </row>
    <row r="138" spans="2:14" ht="33.75" hidden="1" x14ac:dyDescent="0.25">
      <c r="B138" s="50" t="s">
        <v>346</v>
      </c>
      <c r="C138" s="66">
        <v>98565</v>
      </c>
      <c r="D138" s="53" t="s">
        <v>348</v>
      </c>
      <c r="E138" s="44" t="s">
        <v>17</v>
      </c>
      <c r="F138" s="97"/>
      <c r="G138" s="106"/>
      <c r="H138" s="70"/>
      <c r="I138" s="105"/>
      <c r="J138" s="99">
        <f>'BOLETIM DE MEDIÇÃO 05'!O130-'MEMORIAL DE CALCULO 01'!K138</f>
        <v>0</v>
      </c>
      <c r="K138" s="81"/>
      <c r="L138" s="82">
        <f t="shared" si="3"/>
        <v>0</v>
      </c>
      <c r="M138" s="82">
        <f>'BOLETIM DE MEDIÇÃO 05'!G130</f>
        <v>181.61</v>
      </c>
      <c r="N138" s="86">
        <f t="shared" si="4"/>
        <v>181.61</v>
      </c>
    </row>
    <row r="139" spans="2:14" ht="45" hidden="1" x14ac:dyDescent="0.25">
      <c r="B139" s="50" t="s">
        <v>349</v>
      </c>
      <c r="C139" s="66">
        <v>100374</v>
      </c>
      <c r="D139" s="53" t="s">
        <v>351</v>
      </c>
      <c r="E139" s="44" t="s">
        <v>166</v>
      </c>
      <c r="F139" s="97"/>
      <c r="G139" s="106"/>
      <c r="H139" s="70"/>
      <c r="I139" s="105"/>
      <c r="J139" s="99">
        <f>'BOLETIM DE MEDIÇÃO 05'!O131-'MEMORIAL DE CALCULO 01'!K139</f>
        <v>0</v>
      </c>
      <c r="K139" s="81"/>
      <c r="L139" s="82">
        <f t="shared" si="3"/>
        <v>0</v>
      </c>
      <c r="M139" s="82">
        <f>'BOLETIM DE MEDIÇÃO 05'!G131</f>
        <v>10</v>
      </c>
      <c r="N139" s="86">
        <f t="shared" si="4"/>
        <v>10</v>
      </c>
    </row>
    <row r="140" spans="2:14" ht="45" hidden="1" x14ac:dyDescent="0.25">
      <c r="B140" s="50" t="s">
        <v>352</v>
      </c>
      <c r="C140" s="66">
        <v>100375</v>
      </c>
      <c r="D140" s="53" t="s">
        <v>354</v>
      </c>
      <c r="E140" s="44" t="s">
        <v>166</v>
      </c>
      <c r="F140" s="97"/>
      <c r="G140" s="106"/>
      <c r="H140" s="70"/>
      <c r="I140" s="105"/>
      <c r="J140" s="99">
        <f>'BOLETIM DE MEDIÇÃO 05'!O132-'MEMORIAL DE CALCULO 01'!K140</f>
        <v>0</v>
      </c>
      <c r="K140" s="81"/>
      <c r="L140" s="82">
        <f t="shared" si="3"/>
        <v>0</v>
      </c>
      <c r="M140" s="82">
        <f>'BOLETIM DE MEDIÇÃO 05'!G132</f>
        <v>10</v>
      </c>
      <c r="N140" s="86">
        <f t="shared" si="4"/>
        <v>10</v>
      </c>
    </row>
    <row r="141" spans="2:14" ht="33.75" hidden="1" x14ac:dyDescent="0.25">
      <c r="B141" s="50" t="s">
        <v>355</v>
      </c>
      <c r="C141" s="66">
        <v>92544</v>
      </c>
      <c r="D141" s="53" t="s">
        <v>357</v>
      </c>
      <c r="E141" s="44" t="s">
        <v>17</v>
      </c>
      <c r="F141" s="97"/>
      <c r="G141" s="106"/>
      <c r="H141" s="70"/>
      <c r="I141" s="105"/>
      <c r="J141" s="99">
        <f>'BOLETIM DE MEDIÇÃO 05'!O133-'MEMORIAL DE CALCULO 01'!K141</f>
        <v>0</v>
      </c>
      <c r="K141" s="81"/>
      <c r="L141" s="82">
        <f t="shared" si="3"/>
        <v>0</v>
      </c>
      <c r="M141" s="82">
        <f>'BOLETIM DE MEDIÇÃO 05'!G133</f>
        <v>610.20000000000005</v>
      </c>
      <c r="N141" s="86">
        <f t="shared" si="4"/>
        <v>610.20000000000005</v>
      </c>
    </row>
    <row r="142" spans="2:14" ht="33.75" hidden="1" x14ac:dyDescent="0.25">
      <c r="B142" s="50" t="s">
        <v>358</v>
      </c>
      <c r="C142" s="66">
        <v>100435</v>
      </c>
      <c r="D142" s="53" t="s">
        <v>360</v>
      </c>
      <c r="E142" s="44" t="s">
        <v>37</v>
      </c>
      <c r="F142" s="97"/>
      <c r="G142" s="106"/>
      <c r="H142" s="70"/>
      <c r="I142" s="105"/>
      <c r="J142" s="99">
        <f>'BOLETIM DE MEDIÇÃO 05'!O134-'MEMORIAL DE CALCULO 01'!K142</f>
        <v>0</v>
      </c>
      <c r="K142" s="81"/>
      <c r="L142" s="82">
        <f t="shared" si="3"/>
        <v>0</v>
      </c>
      <c r="M142" s="82">
        <f>'BOLETIM DE MEDIÇÃO 05'!G134</f>
        <v>113.1</v>
      </c>
      <c r="N142" s="86">
        <f t="shared" si="4"/>
        <v>113.1</v>
      </c>
    </row>
    <row r="143" spans="2:14" ht="33.75" hidden="1" x14ac:dyDescent="0.25">
      <c r="B143" s="50" t="s">
        <v>361</v>
      </c>
      <c r="C143" s="66">
        <v>94229</v>
      </c>
      <c r="D143" s="53" t="s">
        <v>363</v>
      </c>
      <c r="E143" s="44" t="s">
        <v>37</v>
      </c>
      <c r="F143" s="97"/>
      <c r="G143" s="106"/>
      <c r="H143" s="70"/>
      <c r="I143" s="105"/>
      <c r="J143" s="99">
        <f>'BOLETIM DE MEDIÇÃO 05'!O135-'MEMORIAL DE CALCULO 01'!K143</f>
        <v>0</v>
      </c>
      <c r="K143" s="81"/>
      <c r="L143" s="82">
        <f t="shared" si="3"/>
        <v>0</v>
      </c>
      <c r="M143" s="82">
        <f>'BOLETIM DE MEDIÇÃO 05'!G135</f>
        <v>52.64</v>
      </c>
      <c r="N143" s="86">
        <f t="shared" si="4"/>
        <v>52.64</v>
      </c>
    </row>
    <row r="144" spans="2:14" ht="22.5" hidden="1" x14ac:dyDescent="0.25">
      <c r="B144" s="50" t="s">
        <v>364</v>
      </c>
      <c r="C144" s="66">
        <v>96113</v>
      </c>
      <c r="D144" s="53" t="s">
        <v>366</v>
      </c>
      <c r="E144" s="44" t="s">
        <v>17</v>
      </c>
      <c r="F144" s="97"/>
      <c r="G144" s="106"/>
      <c r="H144" s="70"/>
      <c r="I144" s="105"/>
      <c r="J144" s="99">
        <f>'BOLETIM DE MEDIÇÃO 05'!O136-'MEMORIAL DE CALCULO 01'!K144</f>
        <v>0</v>
      </c>
      <c r="K144" s="81"/>
      <c r="L144" s="82">
        <f t="shared" si="3"/>
        <v>0</v>
      </c>
      <c r="M144" s="82">
        <f>'BOLETIM DE MEDIÇÃO 05'!G136</f>
        <v>634.5</v>
      </c>
      <c r="N144" s="86">
        <f t="shared" si="4"/>
        <v>634.5</v>
      </c>
    </row>
    <row r="145" spans="2:14" ht="14.45" hidden="1" customHeight="1" x14ac:dyDescent="0.25">
      <c r="B145" s="51">
        <v>1.1299999999999999</v>
      </c>
      <c r="C145" s="65" t="s">
        <v>368</v>
      </c>
      <c r="D145" s="53"/>
      <c r="E145" s="44"/>
      <c r="F145" s="97"/>
      <c r="G145" s="106"/>
      <c r="H145" s="70"/>
      <c r="I145" s="105"/>
      <c r="J145" s="99"/>
      <c r="K145" s="81"/>
      <c r="L145" s="82"/>
      <c r="M145" s="82"/>
      <c r="N145" s="86"/>
    </row>
    <row r="146" spans="2:14" ht="56.25" hidden="1" x14ac:dyDescent="0.25">
      <c r="B146" s="50" t="s">
        <v>369</v>
      </c>
      <c r="C146" s="66">
        <v>91785</v>
      </c>
      <c r="D146" s="53" t="s">
        <v>371</v>
      </c>
      <c r="E146" s="44" t="s">
        <v>37</v>
      </c>
      <c r="F146" s="97"/>
      <c r="G146" s="106"/>
      <c r="H146" s="69"/>
      <c r="I146" s="105"/>
      <c r="J146" s="99">
        <f>'BOLETIM DE MEDIÇÃO 05'!O138-'MEMORIAL DE CALCULO 01'!K146</f>
        <v>0</v>
      </c>
      <c r="K146" s="81"/>
      <c r="L146" s="82">
        <f t="shared" si="3"/>
        <v>0</v>
      </c>
      <c r="M146" s="82">
        <f>'BOLETIM DE MEDIÇÃO 05'!G138</f>
        <v>98.77</v>
      </c>
      <c r="N146" s="86">
        <f t="shared" si="4"/>
        <v>98.77</v>
      </c>
    </row>
    <row r="147" spans="2:14" ht="56.25" hidden="1" x14ac:dyDescent="0.25">
      <c r="B147" s="50" t="s">
        <v>372</v>
      </c>
      <c r="C147" s="66">
        <v>91784</v>
      </c>
      <c r="D147" s="53" t="s">
        <v>374</v>
      </c>
      <c r="E147" s="44" t="s">
        <v>37</v>
      </c>
      <c r="F147" s="97"/>
      <c r="G147" s="106"/>
      <c r="H147" s="69"/>
      <c r="I147" s="105"/>
      <c r="J147" s="99">
        <f>'BOLETIM DE MEDIÇÃO 05'!O139-'MEMORIAL DE CALCULO 01'!K147</f>
        <v>0</v>
      </c>
      <c r="K147" s="81"/>
      <c r="L147" s="82">
        <f t="shared" si="3"/>
        <v>0</v>
      </c>
      <c r="M147" s="82">
        <f>'BOLETIM DE MEDIÇÃO 05'!G139</f>
        <v>62.17</v>
      </c>
      <c r="N147" s="86">
        <f t="shared" si="4"/>
        <v>62.17</v>
      </c>
    </row>
    <row r="148" spans="2:14" ht="56.25" hidden="1" x14ac:dyDescent="0.25">
      <c r="B148" s="50" t="s">
        <v>375</v>
      </c>
      <c r="C148" s="66">
        <v>91786</v>
      </c>
      <c r="D148" s="53" t="s">
        <v>377</v>
      </c>
      <c r="E148" s="44" t="s">
        <v>37</v>
      </c>
      <c r="F148" s="97"/>
      <c r="G148" s="106"/>
      <c r="H148" s="69"/>
      <c r="I148" s="105"/>
      <c r="J148" s="99">
        <f>'BOLETIM DE MEDIÇÃO 05'!O140-'MEMORIAL DE CALCULO 01'!K148</f>
        <v>0</v>
      </c>
      <c r="K148" s="81"/>
      <c r="L148" s="82">
        <f t="shared" si="3"/>
        <v>0</v>
      </c>
      <c r="M148" s="82">
        <f>'BOLETIM DE MEDIÇÃO 05'!G140</f>
        <v>24.75</v>
      </c>
      <c r="N148" s="86">
        <f t="shared" si="4"/>
        <v>24.75</v>
      </c>
    </row>
    <row r="149" spans="2:14" ht="45" hidden="1" x14ac:dyDescent="0.25">
      <c r="B149" s="50" t="s">
        <v>378</v>
      </c>
      <c r="C149" s="66">
        <v>91787</v>
      </c>
      <c r="D149" s="53" t="s">
        <v>380</v>
      </c>
      <c r="E149" s="44" t="s">
        <v>37</v>
      </c>
      <c r="F149" s="97"/>
      <c r="G149" s="106"/>
      <c r="H149" s="69"/>
      <c r="I149" s="105"/>
      <c r="J149" s="99">
        <f>'BOLETIM DE MEDIÇÃO 05'!O141-'MEMORIAL DE CALCULO 01'!K149</f>
        <v>0</v>
      </c>
      <c r="K149" s="81"/>
      <c r="L149" s="82">
        <f t="shared" si="3"/>
        <v>0</v>
      </c>
      <c r="M149" s="82">
        <f>'BOLETIM DE MEDIÇÃO 05'!G141</f>
        <v>25.92</v>
      </c>
      <c r="N149" s="86">
        <f t="shared" si="4"/>
        <v>25.92</v>
      </c>
    </row>
    <row r="150" spans="2:14" ht="33.75" hidden="1" x14ac:dyDescent="0.25">
      <c r="B150" s="50" t="s">
        <v>381</v>
      </c>
      <c r="C150" s="66">
        <v>89987</v>
      </c>
      <c r="D150" s="53" t="s">
        <v>383</v>
      </c>
      <c r="E150" s="44" t="s">
        <v>166</v>
      </c>
      <c r="F150" s="97"/>
      <c r="G150" s="106"/>
      <c r="H150" s="69"/>
      <c r="I150" s="105"/>
      <c r="J150" s="99">
        <f>'BOLETIM DE MEDIÇÃO 05'!O142-'MEMORIAL DE CALCULO 01'!K150</f>
        <v>0</v>
      </c>
      <c r="K150" s="81"/>
      <c r="L150" s="82">
        <f t="shared" si="3"/>
        <v>0</v>
      </c>
      <c r="M150" s="82">
        <f>'BOLETIM DE MEDIÇÃO 05'!G142</f>
        <v>10</v>
      </c>
      <c r="N150" s="86">
        <f t="shared" si="4"/>
        <v>10</v>
      </c>
    </row>
    <row r="151" spans="2:14" ht="22.5" hidden="1" x14ac:dyDescent="0.25">
      <c r="B151" s="50" t="s">
        <v>384</v>
      </c>
      <c r="C151" s="66">
        <v>94490</v>
      </c>
      <c r="D151" s="53" t="s">
        <v>386</v>
      </c>
      <c r="E151" s="44" t="s">
        <v>166</v>
      </c>
      <c r="F151" s="97"/>
      <c r="G151" s="106"/>
      <c r="H151" s="69"/>
      <c r="I151" s="105"/>
      <c r="J151" s="99">
        <f>'BOLETIM DE MEDIÇÃO 05'!O143-'MEMORIAL DE CALCULO 01'!K151</f>
        <v>0</v>
      </c>
      <c r="K151" s="81"/>
      <c r="L151" s="82">
        <f t="shared" ref="L151:L217" si="5">J151+K151</f>
        <v>0</v>
      </c>
      <c r="M151" s="82">
        <f>'BOLETIM DE MEDIÇÃO 05'!G143</f>
        <v>2</v>
      </c>
      <c r="N151" s="86">
        <f t="shared" ref="N151:N217" si="6">M151-L151</f>
        <v>2</v>
      </c>
    </row>
    <row r="152" spans="2:14" ht="33.75" hidden="1" x14ac:dyDescent="0.25">
      <c r="B152" s="50" t="s">
        <v>387</v>
      </c>
      <c r="C152" s="66">
        <v>89985</v>
      </c>
      <c r="D152" s="53" t="s">
        <v>389</v>
      </c>
      <c r="E152" s="44" t="s">
        <v>166</v>
      </c>
      <c r="F152" s="97"/>
      <c r="G152" s="106"/>
      <c r="H152" s="69"/>
      <c r="I152" s="105"/>
      <c r="J152" s="99">
        <f>'BOLETIM DE MEDIÇÃO 05'!O144-'MEMORIAL DE CALCULO 01'!K152</f>
        <v>0</v>
      </c>
      <c r="K152" s="81"/>
      <c r="L152" s="82">
        <f t="shared" si="5"/>
        <v>0</v>
      </c>
      <c r="M152" s="82">
        <f>'BOLETIM DE MEDIÇÃO 05'!G144</f>
        <v>6</v>
      </c>
      <c r="N152" s="86">
        <f t="shared" si="6"/>
        <v>6</v>
      </c>
    </row>
    <row r="153" spans="2:14" ht="33.75" hidden="1" x14ac:dyDescent="0.25">
      <c r="B153" s="50" t="s">
        <v>390</v>
      </c>
      <c r="C153" s="66">
        <v>102613</v>
      </c>
      <c r="D153" s="53" t="s">
        <v>392</v>
      </c>
      <c r="E153" s="44" t="s">
        <v>166</v>
      </c>
      <c r="F153" s="97"/>
      <c r="G153" s="106"/>
      <c r="H153" s="69"/>
      <c r="I153" s="105"/>
      <c r="J153" s="99">
        <f>'BOLETIM DE MEDIÇÃO 05'!O145-'MEMORIAL DE CALCULO 01'!K153</f>
        <v>0</v>
      </c>
      <c r="K153" s="81"/>
      <c r="L153" s="82">
        <f t="shared" si="5"/>
        <v>0</v>
      </c>
      <c r="M153" s="82">
        <f>'BOLETIM DE MEDIÇÃO 05'!G145</f>
        <v>2</v>
      </c>
      <c r="N153" s="86">
        <f t="shared" si="6"/>
        <v>2</v>
      </c>
    </row>
    <row r="154" spans="2:14" ht="22.5" hidden="1" x14ac:dyDescent="0.25">
      <c r="B154" s="50" t="s">
        <v>393</v>
      </c>
      <c r="C154" s="66">
        <v>102609</v>
      </c>
      <c r="D154" s="53" t="s">
        <v>395</v>
      </c>
      <c r="E154" s="44" t="s">
        <v>166</v>
      </c>
      <c r="F154" s="97"/>
      <c r="G154" s="106"/>
      <c r="H154" s="69"/>
      <c r="I154" s="105"/>
      <c r="J154" s="99">
        <f>'BOLETIM DE MEDIÇÃO 05'!O146-'MEMORIAL DE CALCULO 01'!K154</f>
        <v>0</v>
      </c>
      <c r="K154" s="81"/>
      <c r="L154" s="82">
        <f t="shared" si="5"/>
        <v>0</v>
      </c>
      <c r="M154" s="82">
        <f>'BOLETIM DE MEDIÇÃO 05'!G146</f>
        <v>2</v>
      </c>
      <c r="N154" s="86">
        <f t="shared" si="6"/>
        <v>2</v>
      </c>
    </row>
    <row r="155" spans="2:14" ht="22.5" hidden="1" x14ac:dyDescent="0.25">
      <c r="B155" s="50" t="s">
        <v>396</v>
      </c>
      <c r="C155" s="66">
        <v>94796</v>
      </c>
      <c r="D155" s="53" t="s">
        <v>398</v>
      </c>
      <c r="E155" s="44" t="s">
        <v>166</v>
      </c>
      <c r="F155" s="97"/>
      <c r="G155" s="106"/>
      <c r="H155" s="69"/>
      <c r="I155" s="105"/>
      <c r="J155" s="99">
        <f>'BOLETIM DE MEDIÇÃO 05'!O147-'MEMORIAL DE CALCULO 01'!K155</f>
        <v>0</v>
      </c>
      <c r="K155" s="81"/>
      <c r="L155" s="82">
        <f t="shared" si="5"/>
        <v>0</v>
      </c>
      <c r="M155" s="82">
        <f>'BOLETIM DE MEDIÇÃO 05'!G147</f>
        <v>4</v>
      </c>
      <c r="N155" s="86">
        <f t="shared" si="6"/>
        <v>4</v>
      </c>
    </row>
    <row r="156" spans="2:14" ht="22.5" hidden="1" x14ac:dyDescent="0.25">
      <c r="B156" s="50" t="s">
        <v>399</v>
      </c>
      <c r="C156" s="66">
        <v>94491</v>
      </c>
      <c r="D156" s="53" t="s">
        <v>401</v>
      </c>
      <c r="E156" s="44" t="s">
        <v>166</v>
      </c>
      <c r="F156" s="97"/>
      <c r="G156" s="106"/>
      <c r="H156" s="69"/>
      <c r="I156" s="105"/>
      <c r="J156" s="99">
        <f>'BOLETIM DE MEDIÇÃO 05'!O148-'MEMORIAL DE CALCULO 01'!K156</f>
        <v>0</v>
      </c>
      <c r="K156" s="81"/>
      <c r="L156" s="82">
        <f t="shared" si="5"/>
        <v>0</v>
      </c>
      <c r="M156" s="82">
        <f>'BOLETIM DE MEDIÇÃO 05'!G148</f>
        <v>4</v>
      </c>
      <c r="N156" s="86">
        <f t="shared" si="6"/>
        <v>4</v>
      </c>
    </row>
    <row r="157" spans="2:14" ht="22.5" hidden="1" x14ac:dyDescent="0.25">
      <c r="B157" s="50" t="s">
        <v>402</v>
      </c>
      <c r="C157" s="66">
        <v>94492</v>
      </c>
      <c r="D157" s="53" t="s">
        <v>404</v>
      </c>
      <c r="E157" s="44" t="s">
        <v>166</v>
      </c>
      <c r="F157" s="97"/>
      <c r="G157" s="106"/>
      <c r="H157" s="69"/>
      <c r="I157" s="105"/>
      <c r="J157" s="99">
        <f>'BOLETIM DE MEDIÇÃO 05'!O149-'MEMORIAL DE CALCULO 01'!K157</f>
        <v>0</v>
      </c>
      <c r="K157" s="81"/>
      <c r="L157" s="82">
        <f t="shared" si="5"/>
        <v>0</v>
      </c>
      <c r="M157" s="82">
        <f>'BOLETIM DE MEDIÇÃO 05'!G149</f>
        <v>2</v>
      </c>
      <c r="N157" s="86">
        <f t="shared" si="6"/>
        <v>2</v>
      </c>
    </row>
    <row r="158" spans="2:14" ht="22.5" hidden="1" x14ac:dyDescent="0.25">
      <c r="B158" s="50" t="s">
        <v>405</v>
      </c>
      <c r="C158" s="66">
        <v>95675</v>
      </c>
      <c r="D158" s="53" t="s">
        <v>407</v>
      </c>
      <c r="E158" s="44" t="s">
        <v>166</v>
      </c>
      <c r="F158" s="97"/>
      <c r="G158" s="106"/>
      <c r="H158" s="69"/>
      <c r="I158" s="105"/>
      <c r="J158" s="99">
        <f>'BOLETIM DE MEDIÇÃO 05'!O150-'MEMORIAL DE CALCULO 01'!K158</f>
        <v>0</v>
      </c>
      <c r="K158" s="81"/>
      <c r="L158" s="82">
        <f t="shared" si="5"/>
        <v>0</v>
      </c>
      <c r="M158" s="82">
        <f>'BOLETIM DE MEDIÇÃO 05'!G150</f>
        <v>1</v>
      </c>
      <c r="N158" s="86">
        <f t="shared" si="6"/>
        <v>1</v>
      </c>
    </row>
    <row r="159" spans="2:14" ht="33.75" hidden="1" x14ac:dyDescent="0.25">
      <c r="B159" s="50" t="s">
        <v>408</v>
      </c>
      <c r="C159" s="66">
        <v>97902</v>
      </c>
      <c r="D159" s="53" t="s">
        <v>410</v>
      </c>
      <c r="E159" s="44" t="s">
        <v>166</v>
      </c>
      <c r="F159" s="97"/>
      <c r="G159" s="106"/>
      <c r="H159" s="69"/>
      <c r="I159" s="105"/>
      <c r="J159" s="99">
        <f>'BOLETIM DE MEDIÇÃO 05'!O151-'MEMORIAL DE CALCULO 01'!K159</f>
        <v>0</v>
      </c>
      <c r="K159" s="81"/>
      <c r="L159" s="82">
        <f t="shared" si="5"/>
        <v>0</v>
      </c>
      <c r="M159" s="82">
        <f>'BOLETIM DE MEDIÇÃO 05'!G151</f>
        <v>7</v>
      </c>
      <c r="N159" s="86">
        <f t="shared" si="6"/>
        <v>7</v>
      </c>
    </row>
    <row r="160" spans="2:14" ht="33.75" hidden="1" x14ac:dyDescent="0.25">
      <c r="B160" s="50" t="s">
        <v>411</v>
      </c>
      <c r="C160" s="66">
        <v>99258</v>
      </c>
      <c r="D160" s="53" t="s">
        <v>413</v>
      </c>
      <c r="E160" s="44" t="s">
        <v>166</v>
      </c>
      <c r="F160" s="97"/>
      <c r="G160" s="106"/>
      <c r="H160" s="69"/>
      <c r="I160" s="105"/>
      <c r="J160" s="99">
        <f>'BOLETIM DE MEDIÇÃO 05'!O152-'MEMORIAL DE CALCULO 01'!K160</f>
        <v>0</v>
      </c>
      <c r="K160" s="81"/>
      <c r="L160" s="82">
        <f t="shared" si="5"/>
        <v>0</v>
      </c>
      <c r="M160" s="82">
        <f>'BOLETIM DE MEDIÇÃO 05'!G152</f>
        <v>1</v>
      </c>
      <c r="N160" s="86">
        <f t="shared" si="6"/>
        <v>1</v>
      </c>
    </row>
    <row r="161" spans="2:14" ht="33.75" hidden="1" x14ac:dyDescent="0.25">
      <c r="B161" s="50" t="s">
        <v>414</v>
      </c>
      <c r="C161" s="66">
        <v>89482</v>
      </c>
      <c r="D161" s="53" t="s">
        <v>416</v>
      </c>
      <c r="E161" s="44" t="s">
        <v>166</v>
      </c>
      <c r="F161" s="97"/>
      <c r="G161" s="106"/>
      <c r="H161" s="69"/>
      <c r="I161" s="105"/>
      <c r="J161" s="99">
        <f>'BOLETIM DE MEDIÇÃO 05'!O153-'MEMORIAL DE CALCULO 01'!K161</f>
        <v>0</v>
      </c>
      <c r="K161" s="81"/>
      <c r="L161" s="82">
        <f t="shared" si="5"/>
        <v>0</v>
      </c>
      <c r="M161" s="82">
        <f>'BOLETIM DE MEDIÇÃO 05'!G153</f>
        <v>10</v>
      </c>
      <c r="N161" s="86">
        <f t="shared" si="6"/>
        <v>10</v>
      </c>
    </row>
    <row r="162" spans="2:14" ht="56.25" hidden="1" x14ac:dyDescent="0.25">
      <c r="B162" s="50" t="s">
        <v>417</v>
      </c>
      <c r="C162" s="66">
        <v>91792</v>
      </c>
      <c r="D162" s="53" t="s">
        <v>419</v>
      </c>
      <c r="E162" s="44" t="s">
        <v>37</v>
      </c>
      <c r="F162" s="97"/>
      <c r="G162" s="106"/>
      <c r="H162" s="69"/>
      <c r="I162" s="105"/>
      <c r="J162" s="99">
        <f>'BOLETIM DE MEDIÇÃO 05'!O154-'MEMORIAL DE CALCULO 01'!K162</f>
        <v>0</v>
      </c>
      <c r="K162" s="81"/>
      <c r="L162" s="82">
        <f t="shared" si="5"/>
        <v>0</v>
      </c>
      <c r="M162" s="82">
        <f>'BOLETIM DE MEDIÇÃO 05'!G154</f>
        <v>38.85</v>
      </c>
      <c r="N162" s="86">
        <f t="shared" si="6"/>
        <v>38.85</v>
      </c>
    </row>
    <row r="163" spans="2:14" ht="56.25" hidden="1" x14ac:dyDescent="0.25">
      <c r="B163" s="50" t="s">
        <v>420</v>
      </c>
      <c r="C163" s="66">
        <v>91793</v>
      </c>
      <c r="D163" s="53" t="s">
        <v>422</v>
      </c>
      <c r="E163" s="44" t="s">
        <v>37</v>
      </c>
      <c r="F163" s="97"/>
      <c r="G163" s="106"/>
      <c r="H163" s="69"/>
      <c r="I163" s="105"/>
      <c r="J163" s="99">
        <f>'BOLETIM DE MEDIÇÃO 05'!O155-'MEMORIAL DE CALCULO 01'!K163</f>
        <v>0</v>
      </c>
      <c r="K163" s="81"/>
      <c r="L163" s="82">
        <f t="shared" si="5"/>
        <v>0</v>
      </c>
      <c r="M163" s="82">
        <f>'BOLETIM DE MEDIÇÃO 05'!G155</f>
        <v>46.51</v>
      </c>
      <c r="N163" s="86">
        <f t="shared" si="6"/>
        <v>46.51</v>
      </c>
    </row>
    <row r="164" spans="2:14" ht="45" hidden="1" x14ac:dyDescent="0.25">
      <c r="B164" s="50" t="s">
        <v>423</v>
      </c>
      <c r="C164" s="66">
        <v>98107</v>
      </c>
      <c r="D164" s="53" t="s">
        <v>425</v>
      </c>
      <c r="E164" s="44" t="s">
        <v>166</v>
      </c>
      <c r="F164" s="97"/>
      <c r="G164" s="106"/>
      <c r="H164" s="69"/>
      <c r="I164" s="105"/>
      <c r="J164" s="99">
        <f>'BOLETIM DE MEDIÇÃO 05'!O156-'MEMORIAL DE CALCULO 01'!K164</f>
        <v>0</v>
      </c>
      <c r="K164" s="81"/>
      <c r="L164" s="82">
        <f t="shared" si="5"/>
        <v>0</v>
      </c>
      <c r="M164" s="82">
        <f>'BOLETIM DE MEDIÇÃO 05'!G156</f>
        <v>1</v>
      </c>
      <c r="N164" s="86">
        <f t="shared" si="6"/>
        <v>1</v>
      </c>
    </row>
    <row r="165" spans="2:14" ht="56.25" hidden="1" x14ac:dyDescent="0.25">
      <c r="B165" s="50" t="s">
        <v>426</v>
      </c>
      <c r="C165" s="66">
        <v>91795</v>
      </c>
      <c r="D165" s="53" t="s">
        <v>428</v>
      </c>
      <c r="E165" s="44" t="s">
        <v>37</v>
      </c>
      <c r="F165" s="97"/>
      <c r="G165" s="106"/>
      <c r="H165" s="69"/>
      <c r="I165" s="105"/>
      <c r="J165" s="99">
        <f>'BOLETIM DE MEDIÇÃO 05'!O157-'MEMORIAL DE CALCULO 01'!K165</f>
        <v>0</v>
      </c>
      <c r="K165" s="81"/>
      <c r="L165" s="82">
        <f t="shared" si="5"/>
        <v>0</v>
      </c>
      <c r="M165" s="82">
        <f>'BOLETIM DE MEDIÇÃO 05'!G157</f>
        <v>132.77000000000001</v>
      </c>
      <c r="N165" s="86">
        <f t="shared" si="6"/>
        <v>132.77000000000001</v>
      </c>
    </row>
    <row r="166" spans="2:14" ht="33.75" hidden="1" x14ac:dyDescent="0.25">
      <c r="B166" s="50" t="s">
        <v>429</v>
      </c>
      <c r="C166" s="68">
        <v>99251</v>
      </c>
      <c r="D166" s="67" t="s">
        <v>431</v>
      </c>
      <c r="E166" s="44" t="s">
        <v>166</v>
      </c>
      <c r="F166" s="97"/>
      <c r="G166" s="106"/>
      <c r="H166" s="69"/>
      <c r="I166" s="105"/>
      <c r="J166" s="99">
        <f>'BOLETIM DE MEDIÇÃO 05'!O158-'MEMORIAL DE CALCULO 01'!K166</f>
        <v>0</v>
      </c>
      <c r="K166" s="81"/>
      <c r="L166" s="82">
        <f t="shared" si="5"/>
        <v>0</v>
      </c>
      <c r="M166" s="82">
        <f>'BOLETIM DE MEDIÇÃO 05'!G158</f>
        <v>2</v>
      </c>
      <c r="N166" s="86">
        <f t="shared" si="6"/>
        <v>2</v>
      </c>
    </row>
    <row r="167" spans="2:14" ht="56.25" hidden="1" x14ac:dyDescent="0.25">
      <c r="B167" s="50" t="s">
        <v>432</v>
      </c>
      <c r="C167" s="68">
        <v>91790</v>
      </c>
      <c r="D167" s="67" t="s">
        <v>434</v>
      </c>
      <c r="E167" s="44" t="s">
        <v>37</v>
      </c>
      <c r="F167" s="97"/>
      <c r="G167" s="106"/>
      <c r="H167" s="69"/>
      <c r="I167" s="105"/>
      <c r="J167" s="99">
        <f>'BOLETIM DE MEDIÇÃO 05'!O159-'MEMORIAL DE CALCULO 01'!K167</f>
        <v>0</v>
      </c>
      <c r="K167" s="81"/>
      <c r="L167" s="82">
        <f t="shared" si="5"/>
        <v>0</v>
      </c>
      <c r="M167" s="82">
        <f>'BOLETIM DE MEDIÇÃO 05'!G159</f>
        <v>43.01</v>
      </c>
      <c r="N167" s="86">
        <f t="shared" si="6"/>
        <v>43.01</v>
      </c>
    </row>
    <row r="168" spans="2:14" ht="14.45" hidden="1" customHeight="1" x14ac:dyDescent="0.25">
      <c r="B168" s="51">
        <v>1.1399999999999999</v>
      </c>
      <c r="C168" s="65" t="s">
        <v>436</v>
      </c>
      <c r="D168" s="53"/>
      <c r="E168" s="44"/>
      <c r="F168" s="95"/>
      <c r="G168" s="106"/>
      <c r="H168" s="70"/>
      <c r="I168" s="105"/>
      <c r="J168" s="99"/>
      <c r="K168" s="81"/>
      <c r="L168" s="82"/>
      <c r="M168" s="82"/>
      <c r="N168" s="86"/>
    </row>
    <row r="169" spans="2:14" ht="22.5" hidden="1" x14ac:dyDescent="0.25">
      <c r="B169" s="50" t="s">
        <v>437</v>
      </c>
      <c r="C169" s="59" t="s">
        <v>438</v>
      </c>
      <c r="D169" s="53" t="s">
        <v>439</v>
      </c>
      <c r="E169" s="44" t="s">
        <v>17</v>
      </c>
      <c r="F169" s="95"/>
      <c r="G169" s="106"/>
      <c r="H169" s="70"/>
      <c r="I169" s="105"/>
      <c r="J169" s="99">
        <f>'BOLETIM DE MEDIÇÃO 05'!O161-'MEMORIAL DE CALCULO 01'!K169</f>
        <v>0</v>
      </c>
      <c r="K169" s="81"/>
      <c r="L169" s="82">
        <f t="shared" si="5"/>
        <v>0</v>
      </c>
      <c r="M169" s="82">
        <f>'BOLETIM DE MEDIÇÃO 05'!G161</f>
        <v>14.07</v>
      </c>
      <c r="N169" s="86">
        <f t="shared" si="6"/>
        <v>14.07</v>
      </c>
    </row>
    <row r="170" spans="2:14" ht="33.75" hidden="1" x14ac:dyDescent="0.25">
      <c r="B170" s="50" t="s">
        <v>440</v>
      </c>
      <c r="C170" s="68">
        <v>86906</v>
      </c>
      <c r="D170" s="67" t="s">
        <v>442</v>
      </c>
      <c r="E170" s="44" t="s">
        <v>166</v>
      </c>
      <c r="F170" s="128"/>
      <c r="G170" s="106"/>
      <c r="H170" s="44"/>
      <c r="I170" s="105"/>
      <c r="J170" s="99">
        <f>'BOLETIM DE MEDIÇÃO 05'!O162-'MEMORIAL DE CALCULO 01'!K170</f>
        <v>0</v>
      </c>
      <c r="K170" s="81"/>
      <c r="L170" s="82">
        <f t="shared" si="5"/>
        <v>0</v>
      </c>
      <c r="M170" s="82">
        <f>'BOLETIM DE MEDIÇÃO 05'!G162</f>
        <v>10</v>
      </c>
      <c r="N170" s="86">
        <f t="shared" si="6"/>
        <v>10</v>
      </c>
    </row>
    <row r="171" spans="2:14" ht="33.75" hidden="1" x14ac:dyDescent="0.25">
      <c r="B171" s="50" t="s">
        <v>443</v>
      </c>
      <c r="C171" s="66">
        <v>86911</v>
      </c>
      <c r="D171" s="53" t="s">
        <v>445</v>
      </c>
      <c r="E171" s="44" t="s">
        <v>166</v>
      </c>
      <c r="F171" s="95"/>
      <c r="G171" s="106"/>
      <c r="H171" s="70"/>
      <c r="I171" s="105"/>
      <c r="J171" s="99">
        <f>'BOLETIM DE MEDIÇÃO 05'!O163-'MEMORIAL DE CALCULO 01'!K171</f>
        <v>0</v>
      </c>
      <c r="K171" s="81"/>
      <c r="L171" s="82">
        <f t="shared" si="5"/>
        <v>0</v>
      </c>
      <c r="M171" s="82">
        <f>'BOLETIM DE MEDIÇÃO 05'!G163</f>
        <v>3</v>
      </c>
      <c r="N171" s="86">
        <f t="shared" si="6"/>
        <v>3</v>
      </c>
    </row>
    <row r="172" spans="2:14" ht="22.5" hidden="1" x14ac:dyDescent="0.25">
      <c r="B172" s="50" t="s">
        <v>446</v>
      </c>
      <c r="C172" s="66">
        <v>10428</v>
      </c>
      <c r="D172" s="53" t="s">
        <v>448</v>
      </c>
      <c r="E172" s="44" t="s">
        <v>166</v>
      </c>
      <c r="F172" s="95"/>
      <c r="G172" s="106"/>
      <c r="H172" s="70"/>
      <c r="I172" s="105"/>
      <c r="J172" s="99">
        <f>'BOLETIM DE MEDIÇÃO 05'!O164-'MEMORIAL DE CALCULO 01'!K172</f>
        <v>0</v>
      </c>
      <c r="K172" s="81"/>
      <c r="L172" s="82">
        <f t="shared" si="5"/>
        <v>0</v>
      </c>
      <c r="M172" s="82">
        <f>'BOLETIM DE MEDIÇÃO 05'!G164</f>
        <v>8</v>
      </c>
      <c r="N172" s="86">
        <f t="shared" si="6"/>
        <v>8</v>
      </c>
    </row>
    <row r="173" spans="2:14" ht="45" hidden="1" x14ac:dyDescent="0.25">
      <c r="B173" s="50" t="s">
        <v>449</v>
      </c>
      <c r="C173" s="66">
        <v>86932</v>
      </c>
      <c r="D173" s="53" t="s">
        <v>451</v>
      </c>
      <c r="E173" s="44" t="s">
        <v>166</v>
      </c>
      <c r="F173" s="95"/>
      <c r="G173" s="106"/>
      <c r="H173" s="70"/>
      <c r="I173" s="105"/>
      <c r="J173" s="99">
        <f>'BOLETIM DE MEDIÇÃO 05'!O165-'MEMORIAL DE CALCULO 01'!K173</f>
        <v>0</v>
      </c>
      <c r="K173" s="81"/>
      <c r="L173" s="82">
        <f t="shared" si="5"/>
        <v>0</v>
      </c>
      <c r="M173" s="82">
        <f>'BOLETIM DE MEDIÇÃO 05'!G165</f>
        <v>9</v>
      </c>
      <c r="N173" s="86">
        <f t="shared" si="6"/>
        <v>9</v>
      </c>
    </row>
    <row r="174" spans="2:14" ht="45" hidden="1" x14ac:dyDescent="0.25">
      <c r="B174" s="50" t="s">
        <v>452</v>
      </c>
      <c r="C174" s="66">
        <v>86935</v>
      </c>
      <c r="D174" s="53" t="s">
        <v>454</v>
      </c>
      <c r="E174" s="44" t="s">
        <v>166</v>
      </c>
      <c r="F174" s="95"/>
      <c r="G174" s="106"/>
      <c r="H174" s="70"/>
      <c r="I174" s="105"/>
      <c r="J174" s="99">
        <f>'BOLETIM DE MEDIÇÃO 05'!O166-'MEMORIAL DE CALCULO 01'!K174</f>
        <v>0</v>
      </c>
      <c r="K174" s="81"/>
      <c r="L174" s="82">
        <f t="shared" si="5"/>
        <v>0</v>
      </c>
      <c r="M174" s="82">
        <f>'BOLETIM DE MEDIÇÃO 05'!G166</f>
        <v>2</v>
      </c>
      <c r="N174" s="86">
        <f t="shared" si="6"/>
        <v>2</v>
      </c>
    </row>
    <row r="175" spans="2:14" ht="33.75" hidden="1" x14ac:dyDescent="0.25">
      <c r="B175" s="50" t="s">
        <v>455</v>
      </c>
      <c r="C175" s="66">
        <v>100868</v>
      </c>
      <c r="D175" s="53" t="s">
        <v>457</v>
      </c>
      <c r="E175" s="44" t="s">
        <v>166</v>
      </c>
      <c r="F175" s="95"/>
      <c r="G175" s="106"/>
      <c r="H175" s="70"/>
      <c r="I175" s="105"/>
      <c r="J175" s="99">
        <f>'BOLETIM DE MEDIÇÃO 05'!O167-'MEMORIAL DE CALCULO 01'!K175</f>
        <v>0</v>
      </c>
      <c r="K175" s="81"/>
      <c r="L175" s="82">
        <f t="shared" si="5"/>
        <v>0</v>
      </c>
      <c r="M175" s="82">
        <f>'BOLETIM DE MEDIÇÃO 05'!G167</f>
        <v>2</v>
      </c>
      <c r="N175" s="86">
        <f t="shared" si="6"/>
        <v>2</v>
      </c>
    </row>
    <row r="176" spans="2:14" ht="56.25" hidden="1" x14ac:dyDescent="0.25">
      <c r="B176" s="50" t="s">
        <v>458</v>
      </c>
      <c r="C176" s="66">
        <v>86942</v>
      </c>
      <c r="D176" s="53" t="s">
        <v>460</v>
      </c>
      <c r="E176" s="44" t="s">
        <v>166</v>
      </c>
      <c r="F176" s="95"/>
      <c r="G176" s="106"/>
      <c r="H176" s="70"/>
      <c r="I176" s="105"/>
      <c r="J176" s="99">
        <f>'BOLETIM DE MEDIÇÃO 05'!O168-'MEMORIAL DE CALCULO 01'!K176</f>
        <v>0</v>
      </c>
      <c r="K176" s="81"/>
      <c r="L176" s="82">
        <f t="shared" si="5"/>
        <v>0</v>
      </c>
      <c r="M176" s="82">
        <f>'BOLETIM DE MEDIÇÃO 05'!G168</f>
        <v>1</v>
      </c>
      <c r="N176" s="86">
        <f t="shared" si="6"/>
        <v>1</v>
      </c>
    </row>
    <row r="177" spans="2:14" ht="56.25" hidden="1" x14ac:dyDescent="0.25">
      <c r="B177" s="50" t="s">
        <v>461</v>
      </c>
      <c r="C177" s="66">
        <v>86923</v>
      </c>
      <c r="D177" s="53" t="s">
        <v>463</v>
      </c>
      <c r="E177" s="44" t="s">
        <v>166</v>
      </c>
      <c r="F177" s="95"/>
      <c r="G177" s="106"/>
      <c r="H177" s="70"/>
      <c r="I177" s="105"/>
      <c r="J177" s="99">
        <f>'BOLETIM DE MEDIÇÃO 05'!O169-'MEMORIAL DE CALCULO 01'!K177</f>
        <v>0</v>
      </c>
      <c r="K177" s="81"/>
      <c r="L177" s="82">
        <f t="shared" si="5"/>
        <v>0</v>
      </c>
      <c r="M177" s="82">
        <f>'BOLETIM DE MEDIÇÃO 05'!G169</f>
        <v>1</v>
      </c>
      <c r="N177" s="86">
        <f t="shared" si="6"/>
        <v>1</v>
      </c>
    </row>
    <row r="178" spans="2:14" ht="45" hidden="1" x14ac:dyDescent="0.25">
      <c r="B178" s="50" t="s">
        <v>464</v>
      </c>
      <c r="C178" s="66">
        <v>95472</v>
      </c>
      <c r="D178" s="53" t="s">
        <v>466</v>
      </c>
      <c r="E178" s="44" t="s">
        <v>166</v>
      </c>
      <c r="F178" s="95"/>
      <c r="G178" s="106"/>
      <c r="H178" s="70"/>
      <c r="I178" s="105"/>
      <c r="J178" s="99">
        <f>'BOLETIM DE MEDIÇÃO 05'!O170-'MEMORIAL DE CALCULO 01'!K178</f>
        <v>0</v>
      </c>
      <c r="K178" s="81"/>
      <c r="L178" s="82">
        <f t="shared" si="5"/>
        <v>0</v>
      </c>
      <c r="M178" s="82">
        <f>'BOLETIM DE MEDIÇÃO 05'!G170</f>
        <v>1</v>
      </c>
      <c r="N178" s="86">
        <f t="shared" si="6"/>
        <v>1</v>
      </c>
    </row>
    <row r="179" spans="2:14" ht="33.75" hidden="1" x14ac:dyDescent="0.25">
      <c r="B179" s="50" t="s">
        <v>467</v>
      </c>
      <c r="C179" s="66">
        <v>102253</v>
      </c>
      <c r="D179" s="53" t="s">
        <v>469</v>
      </c>
      <c r="E179" s="44" t="s">
        <v>17</v>
      </c>
      <c r="F179" s="95"/>
      <c r="G179" s="106"/>
      <c r="H179" s="70"/>
      <c r="I179" s="105"/>
      <c r="J179" s="99">
        <f>'BOLETIM DE MEDIÇÃO 05'!O171-'MEMORIAL DE CALCULO 01'!K179</f>
        <v>0</v>
      </c>
      <c r="K179" s="81"/>
      <c r="L179" s="82">
        <f t="shared" si="5"/>
        <v>0</v>
      </c>
      <c r="M179" s="82">
        <f>'BOLETIM DE MEDIÇÃO 05'!G171</f>
        <v>33.92</v>
      </c>
      <c r="N179" s="86">
        <f t="shared" si="6"/>
        <v>33.92</v>
      </c>
    </row>
    <row r="180" spans="2:14" ht="22.5" hidden="1" x14ac:dyDescent="0.25">
      <c r="B180" s="50" t="s">
        <v>470</v>
      </c>
      <c r="C180" s="66">
        <v>100860</v>
      </c>
      <c r="D180" s="53" t="s">
        <v>472</v>
      </c>
      <c r="E180" s="44" t="s">
        <v>166</v>
      </c>
      <c r="F180" s="95"/>
      <c r="G180" s="106"/>
      <c r="H180" s="70"/>
      <c r="I180" s="105"/>
      <c r="J180" s="99">
        <f>'BOLETIM DE MEDIÇÃO 05'!O172-'MEMORIAL DE CALCULO 01'!K180</f>
        <v>0</v>
      </c>
      <c r="K180" s="81"/>
      <c r="L180" s="82">
        <f t="shared" si="5"/>
        <v>0</v>
      </c>
      <c r="M180" s="82">
        <f>'BOLETIM DE MEDIÇÃO 05'!G172</f>
        <v>4</v>
      </c>
      <c r="N180" s="86">
        <f t="shared" si="6"/>
        <v>4</v>
      </c>
    </row>
    <row r="181" spans="2:14" ht="22.5" x14ac:dyDescent="0.25">
      <c r="B181" s="50"/>
      <c r="C181" s="66"/>
      <c r="D181" s="53" t="s">
        <v>576</v>
      </c>
      <c r="E181" s="44"/>
      <c r="F181" s="95">
        <v>1</v>
      </c>
      <c r="G181" s="106"/>
      <c r="H181" s="70"/>
      <c r="I181" s="105"/>
      <c r="J181" s="99"/>
      <c r="K181" s="81"/>
      <c r="L181" s="82"/>
      <c r="M181" s="82"/>
      <c r="N181" s="86"/>
    </row>
    <row r="182" spans="2:14" ht="14.45" customHeight="1" x14ac:dyDescent="0.25">
      <c r="B182" s="51">
        <v>1.1499999999999999</v>
      </c>
      <c r="C182" s="65" t="s">
        <v>474</v>
      </c>
      <c r="D182" s="53"/>
      <c r="E182" s="44"/>
      <c r="F182" s="95"/>
      <c r="G182" s="106"/>
      <c r="H182" s="70"/>
      <c r="I182" s="105"/>
      <c r="J182" s="99"/>
      <c r="K182" s="81"/>
      <c r="L182" s="82"/>
      <c r="M182" s="82"/>
      <c r="N182" s="86"/>
    </row>
    <row r="183" spans="2:14" ht="33.75" x14ac:dyDescent="0.25">
      <c r="B183" s="50" t="s">
        <v>475</v>
      </c>
      <c r="C183" s="66">
        <v>99059</v>
      </c>
      <c r="D183" s="53" t="s">
        <v>36</v>
      </c>
      <c r="E183" s="44" t="s">
        <v>37</v>
      </c>
      <c r="F183" s="95">
        <v>1</v>
      </c>
      <c r="G183" s="106">
        <v>130.85</v>
      </c>
      <c r="H183" s="70"/>
      <c r="I183" s="105"/>
      <c r="J183" s="99">
        <f>'BOLETIM DE MEDIÇÃO 05'!O174-'MEMORIAL DE CALCULO 01'!K183</f>
        <v>0</v>
      </c>
      <c r="K183" s="81">
        <f>F183*G183</f>
        <v>130.85</v>
      </c>
      <c r="L183" s="82">
        <f t="shared" si="5"/>
        <v>130.85</v>
      </c>
      <c r="M183" s="82">
        <f>'BOLETIM DE MEDIÇÃO 05'!G174</f>
        <v>130.85</v>
      </c>
      <c r="N183" s="86">
        <f t="shared" si="6"/>
        <v>0</v>
      </c>
    </row>
    <row r="184" spans="2:14" ht="22.5" x14ac:dyDescent="0.25">
      <c r="B184" s="50" t="s">
        <v>476</v>
      </c>
      <c r="C184" s="66">
        <v>93358</v>
      </c>
      <c r="D184" s="53" t="s">
        <v>40</v>
      </c>
      <c r="E184" s="44" t="s">
        <v>41</v>
      </c>
      <c r="F184" s="95"/>
      <c r="G184" s="106"/>
      <c r="H184" s="70"/>
      <c r="I184" s="105"/>
      <c r="J184" s="99">
        <f>'BOLETIM DE MEDIÇÃO 05'!O175-'MEMORIAL DE CALCULO 01'!K184</f>
        <v>3.9520000000052846E-3</v>
      </c>
      <c r="K184" s="81">
        <f>SUM(K185:K186)</f>
        <v>32.676047999999994</v>
      </c>
      <c r="L184" s="82">
        <f t="shared" si="5"/>
        <v>32.68</v>
      </c>
      <c r="M184" s="82">
        <f>'BOLETIM DE MEDIÇÃO 05'!G175</f>
        <v>32.68</v>
      </c>
      <c r="N184" s="86">
        <f t="shared" si="6"/>
        <v>0</v>
      </c>
    </row>
    <row r="185" spans="2:14" x14ac:dyDescent="0.25">
      <c r="B185" s="50"/>
      <c r="C185" s="66"/>
      <c r="D185" s="118" t="s">
        <v>577</v>
      </c>
      <c r="E185" s="44"/>
      <c r="F185" s="95">
        <v>43</v>
      </c>
      <c r="G185" s="106">
        <v>0.6</v>
      </c>
      <c r="H185" s="70">
        <v>0.6</v>
      </c>
      <c r="I185" s="105">
        <v>1.3501000000000001</v>
      </c>
      <c r="J185" s="99"/>
      <c r="K185" s="82">
        <f>F185*(G185*H185*I185)</f>
        <v>20.899547999999999</v>
      </c>
      <c r="L185" s="82"/>
      <c r="M185" s="82"/>
      <c r="N185" s="86"/>
    </row>
    <row r="186" spans="2:14" x14ac:dyDescent="0.25">
      <c r="B186" s="50"/>
      <c r="C186" s="66"/>
      <c r="D186" s="118" t="s">
        <v>578</v>
      </c>
      <c r="E186" s="44"/>
      <c r="F186" s="95">
        <v>1</v>
      </c>
      <c r="G186" s="106">
        <v>130.85</v>
      </c>
      <c r="H186" s="70">
        <v>0.3</v>
      </c>
      <c r="I186" s="105">
        <v>0.3</v>
      </c>
      <c r="J186" s="99"/>
      <c r="K186" s="82">
        <f>F186*(G186*H186*I186)</f>
        <v>11.776499999999999</v>
      </c>
      <c r="L186" s="82"/>
      <c r="M186" s="82"/>
      <c r="N186" s="86"/>
    </row>
    <row r="187" spans="2:14" hidden="1" x14ac:dyDescent="0.25">
      <c r="B187" s="88" t="s">
        <v>477</v>
      </c>
      <c r="C187" s="89">
        <v>96995</v>
      </c>
      <c r="D187" s="90" t="s">
        <v>44</v>
      </c>
      <c r="E187" s="44" t="s">
        <v>41</v>
      </c>
      <c r="F187" s="95"/>
      <c r="G187" s="106"/>
      <c r="H187" s="70"/>
      <c r="I187" s="105"/>
      <c r="J187" s="99">
        <f>'BOLETIM DE MEDIÇÃO 05'!O176-'MEMORIAL DE CALCULO 01'!K187</f>
        <v>11.01</v>
      </c>
      <c r="K187" s="81"/>
      <c r="L187" s="82">
        <f t="shared" si="5"/>
        <v>11.01</v>
      </c>
      <c r="M187" s="82">
        <f>'BOLETIM DE MEDIÇÃO 05'!G176</f>
        <v>11.01</v>
      </c>
      <c r="N187" s="86">
        <f t="shared" si="6"/>
        <v>0</v>
      </c>
    </row>
    <row r="188" spans="2:14" ht="22.5" hidden="1" x14ac:dyDescent="0.25">
      <c r="B188" s="50" t="s">
        <v>478</v>
      </c>
      <c r="C188" s="66">
        <v>93205</v>
      </c>
      <c r="D188" s="53" t="s">
        <v>480</v>
      </c>
      <c r="E188" s="44" t="s">
        <v>37</v>
      </c>
      <c r="F188" s="95"/>
      <c r="G188" s="106"/>
      <c r="H188" s="70"/>
      <c r="I188" s="105"/>
      <c r="J188" s="99">
        <f>'BOLETIM DE MEDIÇÃO 05'!O177-'MEMORIAL DE CALCULO 01'!K188</f>
        <v>244.5</v>
      </c>
      <c r="K188" s="81"/>
      <c r="L188" s="82">
        <f t="shared" si="5"/>
        <v>244.5</v>
      </c>
      <c r="M188" s="82">
        <f>'BOLETIM DE MEDIÇÃO 05'!G177</f>
        <v>244.5</v>
      </c>
      <c r="N188" s="86">
        <f t="shared" si="6"/>
        <v>0</v>
      </c>
    </row>
    <row r="189" spans="2:14" hidden="1" x14ac:dyDescent="0.25">
      <c r="B189" s="50"/>
      <c r="C189" s="66"/>
      <c r="D189" s="118" t="s">
        <v>590</v>
      </c>
      <c r="E189" s="44"/>
      <c r="F189" s="95">
        <v>35</v>
      </c>
      <c r="G189" s="106">
        <v>0.6</v>
      </c>
      <c r="H189" s="70">
        <v>0.6</v>
      </c>
      <c r="I189" s="105">
        <v>0.25</v>
      </c>
      <c r="J189" s="99"/>
      <c r="K189" s="81"/>
      <c r="L189" s="82"/>
      <c r="M189" s="82"/>
      <c r="N189" s="86"/>
    </row>
    <row r="190" spans="2:14" hidden="1" x14ac:dyDescent="0.25">
      <c r="B190" s="50"/>
      <c r="C190" s="66"/>
      <c r="D190" s="118" t="s">
        <v>591</v>
      </c>
      <c r="E190" s="44"/>
      <c r="F190" s="95">
        <v>35</v>
      </c>
      <c r="G190" s="106"/>
      <c r="H190" s="70"/>
      <c r="I190" s="105"/>
      <c r="J190" s="99"/>
      <c r="K190" s="81"/>
      <c r="L190" s="82"/>
      <c r="M190" s="82"/>
      <c r="N190" s="86"/>
    </row>
    <row r="191" spans="2:14" ht="22.5" x14ac:dyDescent="0.25">
      <c r="B191" s="50" t="s">
        <v>481</v>
      </c>
      <c r="C191" s="66">
        <v>101616</v>
      </c>
      <c r="D191" s="53" t="s">
        <v>55</v>
      </c>
      <c r="E191" s="44" t="s">
        <v>17</v>
      </c>
      <c r="F191" s="95">
        <v>35</v>
      </c>
      <c r="G191" s="106">
        <v>0.6</v>
      </c>
      <c r="H191" s="70">
        <v>0.6</v>
      </c>
      <c r="I191" s="105"/>
      <c r="J191" s="99">
        <f>'BOLETIM DE MEDIÇÃO 05'!O178-'MEMORIAL DE CALCULO 01'!K191</f>
        <v>2.8800000000000008</v>
      </c>
      <c r="K191" s="81">
        <f>F191*(G191*H191)</f>
        <v>12.6</v>
      </c>
      <c r="L191" s="82">
        <f t="shared" si="5"/>
        <v>15.48</v>
      </c>
      <c r="M191" s="82">
        <f>'BOLETIM DE MEDIÇÃO 05'!G178</f>
        <v>15.48</v>
      </c>
      <c r="N191" s="86">
        <f t="shared" si="6"/>
        <v>0</v>
      </c>
    </row>
    <row r="192" spans="2:14" ht="33.75" x14ac:dyDescent="0.25">
      <c r="B192" s="50" t="s">
        <v>482</v>
      </c>
      <c r="C192" s="66">
        <v>96619</v>
      </c>
      <c r="D192" s="53" t="s">
        <v>58</v>
      </c>
      <c r="E192" s="44" t="s">
        <v>17</v>
      </c>
      <c r="F192" s="95">
        <v>35</v>
      </c>
      <c r="G192" s="106">
        <v>0.6</v>
      </c>
      <c r="H192" s="70">
        <v>0.6</v>
      </c>
      <c r="I192" s="105"/>
      <c r="J192" s="99">
        <f>'BOLETIM DE MEDIÇÃO 05'!O179-'MEMORIAL DE CALCULO 01'!K192</f>
        <v>2.8800000000000008</v>
      </c>
      <c r="K192" s="81">
        <f>F192*(G192*H192)</f>
        <v>12.6</v>
      </c>
      <c r="L192" s="82">
        <f t="shared" si="5"/>
        <v>15.48</v>
      </c>
      <c r="M192" s="82">
        <f>'BOLETIM DE MEDIÇÃO 05'!G179</f>
        <v>15.48</v>
      </c>
      <c r="N192" s="86">
        <f t="shared" si="6"/>
        <v>0</v>
      </c>
    </row>
    <row r="193" spans="1:14" ht="22.5" x14ac:dyDescent="0.25">
      <c r="B193" s="50" t="s">
        <v>483</v>
      </c>
      <c r="C193" s="68">
        <v>96545</v>
      </c>
      <c r="D193" s="67" t="s">
        <v>61</v>
      </c>
      <c r="E193" s="44" t="s">
        <v>62</v>
      </c>
      <c r="F193" s="95"/>
      <c r="G193" s="106"/>
      <c r="H193" s="44"/>
      <c r="I193" s="105"/>
      <c r="J193" s="99">
        <f>'BOLETIM DE MEDIÇÃO 05'!O180-'MEMORIAL DE CALCULO 01'!K193</f>
        <v>33.430000000000007</v>
      </c>
      <c r="K193" s="81">
        <f>G194</f>
        <v>133.69999999999999</v>
      </c>
      <c r="L193" s="82">
        <f t="shared" si="5"/>
        <v>167.13</v>
      </c>
      <c r="M193" s="82">
        <f>'BOLETIM DE MEDIÇÃO 05'!G180</f>
        <v>167.13</v>
      </c>
      <c r="N193" s="86">
        <f t="shared" si="6"/>
        <v>0</v>
      </c>
    </row>
    <row r="194" spans="1:14" x14ac:dyDescent="0.25">
      <c r="B194" s="50"/>
      <c r="C194" s="68"/>
      <c r="D194" s="117" t="s">
        <v>589</v>
      </c>
      <c r="E194" s="44"/>
      <c r="F194" s="95">
        <v>1</v>
      </c>
      <c r="G194" s="106">
        <v>133.69999999999999</v>
      </c>
      <c r="H194" s="44"/>
      <c r="I194" s="105"/>
      <c r="J194" s="99"/>
      <c r="K194" s="81"/>
      <c r="L194" s="82"/>
      <c r="M194" s="82"/>
      <c r="N194" s="86"/>
    </row>
    <row r="195" spans="1:14" ht="33.75" x14ac:dyDescent="0.25">
      <c r="B195" s="50" t="s">
        <v>484</v>
      </c>
      <c r="C195" s="68">
        <v>94966</v>
      </c>
      <c r="D195" s="67" t="s">
        <v>65</v>
      </c>
      <c r="E195" s="44" t="s">
        <v>41</v>
      </c>
      <c r="F195" s="95"/>
      <c r="G195" s="106"/>
      <c r="H195" s="44"/>
      <c r="I195" s="105"/>
      <c r="J195" s="99">
        <f>'BOLETIM DE MEDIÇÃO 05'!O181-'MEMORIAL DE CALCULO 01'!K195</f>
        <v>5.3400099999999995</v>
      </c>
      <c r="K195" s="81">
        <f>SUM(K196:K197)</f>
        <v>4.5500000000000007</v>
      </c>
      <c r="L195" s="82">
        <f t="shared" si="5"/>
        <v>9.8900100000000002</v>
      </c>
      <c r="M195" s="82">
        <f>'BOLETIM DE MEDIÇÃO 05'!G181</f>
        <v>9.89</v>
      </c>
      <c r="N195" s="86">
        <f t="shared" si="6"/>
        <v>-9.9999999996214228E-6</v>
      </c>
    </row>
    <row r="196" spans="1:14" x14ac:dyDescent="0.25">
      <c r="B196" s="50"/>
      <c r="C196" s="68"/>
      <c r="D196" s="117" t="s">
        <v>579</v>
      </c>
      <c r="E196" s="44"/>
      <c r="F196" s="95">
        <v>35</v>
      </c>
      <c r="G196" s="129">
        <v>0.6</v>
      </c>
      <c r="H196" s="69">
        <v>0.6</v>
      </c>
      <c r="I196" s="105">
        <v>0.25</v>
      </c>
      <c r="J196" s="99"/>
      <c r="K196" s="81">
        <f>F196*(G196*H196*I196)</f>
        <v>3.15</v>
      </c>
      <c r="L196" s="82"/>
      <c r="M196" s="82"/>
      <c r="N196" s="86"/>
    </row>
    <row r="197" spans="1:14" x14ac:dyDescent="0.25">
      <c r="B197" s="50"/>
      <c r="C197" s="68"/>
      <c r="D197" s="117" t="s">
        <v>580</v>
      </c>
      <c r="E197" s="44"/>
      <c r="F197" s="130">
        <v>35</v>
      </c>
      <c r="G197" s="131">
        <v>0.2</v>
      </c>
      <c r="H197" s="69">
        <v>0.2</v>
      </c>
      <c r="I197" s="123">
        <v>1</v>
      </c>
      <c r="J197" s="99"/>
      <c r="K197" s="81">
        <f>F197*(G197*H197*I197)</f>
        <v>1.4000000000000004</v>
      </c>
      <c r="L197" s="82"/>
      <c r="M197" s="82"/>
      <c r="N197" s="86"/>
    </row>
    <row r="198" spans="1:14" x14ac:dyDescent="0.25">
      <c r="B198" s="50"/>
      <c r="C198" s="68"/>
      <c r="D198" s="67"/>
      <c r="E198" s="44"/>
      <c r="F198" s="95"/>
      <c r="G198" s="106"/>
      <c r="H198" s="44"/>
      <c r="I198" s="105"/>
      <c r="J198" s="99"/>
      <c r="K198" s="81"/>
      <c r="L198" s="82"/>
      <c r="M198" s="82"/>
      <c r="N198" s="86"/>
    </row>
    <row r="199" spans="1:14" ht="33.75" x14ac:dyDescent="0.25">
      <c r="B199" s="50" t="s">
        <v>485</v>
      </c>
      <c r="C199" s="66">
        <v>103800</v>
      </c>
      <c r="D199" s="53" t="s">
        <v>487</v>
      </c>
      <c r="E199" s="44" t="s">
        <v>41</v>
      </c>
      <c r="F199" s="95">
        <v>1</v>
      </c>
      <c r="G199" s="106">
        <v>25</v>
      </c>
      <c r="H199" s="70">
        <v>0.3</v>
      </c>
      <c r="I199" s="105">
        <v>0.3</v>
      </c>
      <c r="J199" s="99">
        <f>'BOLETIM DE MEDIÇÃO 05'!O182-'MEMORIAL DE CALCULO 01'!K199</f>
        <v>9.5300000000000011</v>
      </c>
      <c r="K199" s="81">
        <f>F199*(G199*H199*I199)</f>
        <v>2.25</v>
      </c>
      <c r="L199" s="82">
        <f t="shared" si="5"/>
        <v>11.780000000000001</v>
      </c>
      <c r="M199" s="82">
        <f>'BOLETIM DE MEDIÇÃO 05'!G182</f>
        <v>11.78</v>
      </c>
      <c r="N199" s="86">
        <f t="shared" si="6"/>
        <v>0</v>
      </c>
    </row>
    <row r="200" spans="1:14" ht="22.5" x14ac:dyDescent="0.25">
      <c r="B200" s="50" t="s">
        <v>488</v>
      </c>
      <c r="C200" s="66">
        <v>103670</v>
      </c>
      <c r="D200" s="53" t="s">
        <v>71</v>
      </c>
      <c r="E200" s="44" t="s">
        <v>41</v>
      </c>
      <c r="F200" s="95"/>
      <c r="G200" s="106"/>
      <c r="H200" s="70"/>
      <c r="I200" s="105"/>
      <c r="J200" s="99">
        <f>'BOLETIM DE MEDIÇÃO 05'!O183-'MEMORIAL DE CALCULO 01'!K200</f>
        <v>5.3400300000000005</v>
      </c>
      <c r="K200" s="81">
        <f>G201</f>
        <v>4.5500000000000007</v>
      </c>
      <c r="L200" s="82">
        <f t="shared" si="5"/>
        <v>9.8900300000000012</v>
      </c>
      <c r="M200" s="82">
        <f>'BOLETIM DE MEDIÇÃO 05'!G183</f>
        <v>9.89</v>
      </c>
      <c r="N200" s="86">
        <f t="shared" si="6"/>
        <v>-3.0000000000640625E-5</v>
      </c>
    </row>
    <row r="201" spans="1:14" x14ac:dyDescent="0.25">
      <c r="B201" s="50"/>
      <c r="C201" s="66"/>
      <c r="D201" s="118" t="s">
        <v>581</v>
      </c>
      <c r="E201" s="44"/>
      <c r="F201" s="95">
        <v>1</v>
      </c>
      <c r="G201" s="468">
        <f>K195</f>
        <v>4.5500000000000007</v>
      </c>
      <c r="H201" s="469"/>
      <c r="I201" s="470"/>
      <c r="J201" s="99"/>
      <c r="K201" s="81"/>
      <c r="L201" s="82"/>
      <c r="M201" s="82"/>
      <c r="N201" s="86"/>
    </row>
    <row r="202" spans="1:14" ht="22.5" x14ac:dyDescent="0.25">
      <c r="B202" s="50" t="s">
        <v>489</v>
      </c>
      <c r="C202" s="66">
        <v>96543</v>
      </c>
      <c r="D202" s="53" t="s">
        <v>74</v>
      </c>
      <c r="E202" s="44" t="s">
        <v>62</v>
      </c>
      <c r="F202" s="95"/>
      <c r="G202" s="106" t="s">
        <v>583</v>
      </c>
      <c r="H202" s="70" t="s">
        <v>584</v>
      </c>
      <c r="I202" s="105" t="s">
        <v>585</v>
      </c>
      <c r="J202" s="99">
        <f>'BOLETIM DE MEDIÇÃO 05'!O184-'MEMORIAL DE CALCULO 01'!K202</f>
        <v>119.87105199999996</v>
      </c>
      <c r="K202" s="81">
        <f>K203</f>
        <v>42.149799999999992</v>
      </c>
      <c r="L202" s="82">
        <f t="shared" si="5"/>
        <v>162.02085199999996</v>
      </c>
      <c r="M202" s="82">
        <f>'BOLETIM DE MEDIÇÃO 05'!G184</f>
        <v>162.02000000000001</v>
      </c>
      <c r="N202" s="86">
        <f t="shared" si="6"/>
        <v>-8.5199999995211328E-4</v>
      </c>
    </row>
    <row r="203" spans="1:14" x14ac:dyDescent="0.25">
      <c r="B203" s="50"/>
      <c r="C203" s="66"/>
      <c r="D203" s="117" t="s">
        <v>582</v>
      </c>
      <c r="E203" s="44"/>
      <c r="F203" s="95">
        <v>35</v>
      </c>
      <c r="G203" s="106">
        <v>0.68</v>
      </c>
      <c r="H203" s="70">
        <v>0.1</v>
      </c>
      <c r="I203" s="105">
        <v>1.1499999999999999</v>
      </c>
      <c r="J203" s="137"/>
      <c r="K203" s="64">
        <f>(I203/H203)*G203*0.154*F203</f>
        <v>42.149799999999992</v>
      </c>
      <c r="L203" s="82"/>
      <c r="M203" s="82"/>
      <c r="N203" s="86"/>
    </row>
    <row r="204" spans="1:14" ht="19.899999999999999" customHeight="1" x14ac:dyDescent="0.25">
      <c r="B204" s="50" t="s">
        <v>490</v>
      </c>
      <c r="C204" s="68">
        <v>96546</v>
      </c>
      <c r="D204" s="67" t="s">
        <v>80</v>
      </c>
      <c r="E204" s="44" t="s">
        <v>62</v>
      </c>
      <c r="F204" s="95"/>
      <c r="G204" s="468" t="s">
        <v>586</v>
      </c>
      <c r="H204" s="471"/>
      <c r="I204" s="122" t="s">
        <v>587</v>
      </c>
      <c r="J204" s="99">
        <f>'BOLETIM DE MEDIÇÃO 05'!O185-'MEMORIAL DE CALCULO 01'!K204</f>
        <v>278.45987999999994</v>
      </c>
      <c r="K204" s="81">
        <f>K205</f>
        <v>99.337000000000003</v>
      </c>
      <c r="L204" s="82">
        <f t="shared" si="5"/>
        <v>377.79687999999993</v>
      </c>
      <c r="M204" s="82">
        <f>'BOLETIM DE MEDIÇÃO 05'!G185</f>
        <v>377.8</v>
      </c>
      <c r="N204" s="86">
        <f t="shared" si="6"/>
        <v>3.1200000000808359E-3</v>
      </c>
    </row>
    <row r="205" spans="1:14" ht="19.899999999999999" customHeight="1" x14ac:dyDescent="0.25">
      <c r="B205" s="119"/>
      <c r="C205" s="120"/>
      <c r="D205" s="117" t="s">
        <v>582</v>
      </c>
      <c r="E205" s="44"/>
      <c r="F205" s="95">
        <v>35</v>
      </c>
      <c r="G205" s="468">
        <v>4</v>
      </c>
      <c r="H205" s="471"/>
      <c r="I205" s="105">
        <v>1.1499999999999999</v>
      </c>
      <c r="J205" s="137"/>
      <c r="K205" s="64">
        <f>I205*G205*F205*0.617</f>
        <v>99.337000000000003</v>
      </c>
      <c r="L205" s="82"/>
      <c r="M205" s="82"/>
      <c r="N205" s="86"/>
    </row>
    <row r="206" spans="1:14" ht="34.5" thickBot="1" x14ac:dyDescent="0.3">
      <c r="B206" s="119" t="s">
        <v>491</v>
      </c>
      <c r="C206" s="124">
        <v>96536</v>
      </c>
      <c r="D206" s="75" t="s">
        <v>86</v>
      </c>
      <c r="E206" s="76" t="s">
        <v>17</v>
      </c>
      <c r="F206" s="132"/>
      <c r="G206" s="133"/>
      <c r="H206" s="134"/>
      <c r="I206" s="105"/>
      <c r="J206" s="99">
        <f>'BOLETIM DE MEDIÇÃO 05'!O186-'MEMORIAL DE CALCULO 01'!K206</f>
        <v>96.39800000000001</v>
      </c>
      <c r="K206" s="81">
        <f>SUM(K207:K208)</f>
        <v>53.2</v>
      </c>
      <c r="L206" s="82">
        <f t="shared" si="5"/>
        <v>149.59800000000001</v>
      </c>
      <c r="M206" s="82">
        <f>'BOLETIM DE MEDIÇÃO 05'!G186</f>
        <v>149.6</v>
      </c>
      <c r="N206" s="86">
        <f t="shared" si="6"/>
        <v>1.999999999981128E-3</v>
      </c>
    </row>
    <row r="207" spans="1:14" x14ac:dyDescent="0.25">
      <c r="A207" s="79"/>
      <c r="B207" s="50"/>
      <c r="C207" s="68"/>
      <c r="D207" s="117" t="s">
        <v>588</v>
      </c>
      <c r="E207" s="44"/>
      <c r="F207" s="95">
        <v>35</v>
      </c>
      <c r="G207" s="106">
        <v>0.6</v>
      </c>
      <c r="H207" s="121">
        <v>0.6</v>
      </c>
      <c r="I207" s="127">
        <v>0.3</v>
      </c>
      <c r="J207" s="137"/>
      <c r="K207" s="64">
        <f>((G207*I207*2)+(H207*I207*2))*F207</f>
        <v>25.2</v>
      </c>
      <c r="L207" s="82"/>
      <c r="M207" s="82"/>
      <c r="N207" s="86"/>
    </row>
    <row r="208" spans="1:14" ht="15.75" thickBot="1" x14ac:dyDescent="0.3">
      <c r="A208" s="79"/>
      <c r="B208" s="73"/>
      <c r="C208" s="125"/>
      <c r="D208" s="126" t="s">
        <v>582</v>
      </c>
      <c r="E208" s="76"/>
      <c r="F208" s="135">
        <v>35</v>
      </c>
      <c r="G208" s="136">
        <v>0.2</v>
      </c>
      <c r="H208" s="115">
        <v>0.2</v>
      </c>
      <c r="I208" s="107">
        <v>1</v>
      </c>
      <c r="J208" s="137"/>
      <c r="K208" s="78">
        <f>((G208*I208*2)+(H208*I208*2))*F208</f>
        <v>28</v>
      </c>
      <c r="L208" s="84"/>
      <c r="M208" s="84"/>
      <c r="N208" s="87"/>
    </row>
    <row r="209" spans="2:14" ht="22.5" hidden="1" x14ac:dyDescent="0.25">
      <c r="B209" s="111" t="s">
        <v>492</v>
      </c>
      <c r="C209" s="112">
        <v>98557</v>
      </c>
      <c r="D209" s="113" t="s">
        <v>89</v>
      </c>
      <c r="E209" s="114" t="s">
        <v>17</v>
      </c>
      <c r="F209" s="100"/>
      <c r="G209" s="100"/>
      <c r="H209" s="100"/>
      <c r="I209" s="101"/>
      <c r="J209" s="101">
        <f>'BOLETIM DE MEDIÇÃO 05'!O187-'MEMORIAL DE CALCULO 01'!K209</f>
        <v>65.435000000000002</v>
      </c>
      <c r="K209" s="108"/>
      <c r="L209" s="109">
        <f t="shared" si="5"/>
        <v>65.435000000000002</v>
      </c>
      <c r="M209" s="109">
        <f>'BOLETIM DE MEDIÇÃO 05'!G187</f>
        <v>65.430000000000007</v>
      </c>
      <c r="N209" s="110">
        <f t="shared" si="6"/>
        <v>-4.9999999999954525E-3</v>
      </c>
    </row>
    <row r="210" spans="2:14" ht="45" hidden="1" x14ac:dyDescent="0.25">
      <c r="B210" s="50" t="s">
        <v>493</v>
      </c>
      <c r="C210" s="66">
        <v>103356</v>
      </c>
      <c r="D210" s="53" t="s">
        <v>137</v>
      </c>
      <c r="E210" s="44" t="s">
        <v>17</v>
      </c>
      <c r="F210" s="31"/>
      <c r="G210" s="31"/>
      <c r="H210" s="31"/>
      <c r="I210" s="64"/>
      <c r="J210" s="64">
        <f>'BOLETIM DE MEDIÇÃO 05'!O188-'MEMORIAL DE CALCULO 01'!K210</f>
        <v>405.64023900000007</v>
      </c>
      <c r="K210" s="45"/>
      <c r="L210" s="82">
        <f t="shared" si="5"/>
        <v>405.64023900000007</v>
      </c>
      <c r="M210" s="82">
        <f>'BOLETIM DE MEDIÇÃO 05'!G188</f>
        <v>405.64</v>
      </c>
      <c r="N210" s="86">
        <f t="shared" si="6"/>
        <v>-2.3900000007870403E-4</v>
      </c>
    </row>
    <row r="211" spans="2:14" ht="45" hidden="1" x14ac:dyDescent="0.25">
      <c r="B211" s="50" t="s">
        <v>494</v>
      </c>
      <c r="C211" s="66">
        <v>87893</v>
      </c>
      <c r="D211" s="53" t="s">
        <v>151</v>
      </c>
      <c r="E211" s="44" t="s">
        <v>17</v>
      </c>
      <c r="F211" s="31"/>
      <c r="G211" s="31"/>
      <c r="H211" s="31"/>
      <c r="I211" s="64"/>
      <c r="J211" s="64">
        <f>'BOLETIM DE MEDIÇÃO 05'!O189-'MEMORIAL DE CALCULO 01'!K211</f>
        <v>811.2700000000001</v>
      </c>
      <c r="K211" s="45"/>
      <c r="L211" s="82">
        <f t="shared" si="5"/>
        <v>811.2700000000001</v>
      </c>
      <c r="M211" s="82">
        <f>'BOLETIM DE MEDIÇÃO 05'!G189</f>
        <v>811.27</v>
      </c>
      <c r="N211" s="86">
        <f t="shared" si="6"/>
        <v>0</v>
      </c>
    </row>
    <row r="212" spans="2:14" ht="45" hidden="1" x14ac:dyDescent="0.25">
      <c r="B212" s="50" t="s">
        <v>495</v>
      </c>
      <c r="C212" s="66">
        <v>87548</v>
      </c>
      <c r="D212" s="53" t="s">
        <v>154</v>
      </c>
      <c r="E212" s="44" t="s">
        <v>17</v>
      </c>
      <c r="F212" s="31"/>
      <c r="G212" s="31"/>
      <c r="H212" s="31"/>
      <c r="I212" s="64"/>
      <c r="J212" s="64">
        <f>'BOLETIM DE MEDIÇÃO 05'!O190-'MEMORIAL DE CALCULO 01'!K212</f>
        <v>405.66600000000005</v>
      </c>
      <c r="K212" s="45"/>
      <c r="L212" s="82">
        <f t="shared" si="5"/>
        <v>405.66600000000005</v>
      </c>
      <c r="M212" s="82">
        <f>'BOLETIM DE MEDIÇÃO 05'!G190</f>
        <v>811.27</v>
      </c>
      <c r="N212" s="86">
        <f t="shared" si="6"/>
        <v>405.60399999999993</v>
      </c>
    </row>
    <row r="213" spans="2:14" ht="22.5" hidden="1" x14ac:dyDescent="0.25">
      <c r="B213" s="50" t="s">
        <v>496</v>
      </c>
      <c r="C213" s="66">
        <v>88489</v>
      </c>
      <c r="D213" s="53" t="s">
        <v>198</v>
      </c>
      <c r="E213" s="44" t="s">
        <v>17</v>
      </c>
      <c r="F213" s="31"/>
      <c r="G213" s="31"/>
      <c r="H213" s="31"/>
      <c r="I213" s="64"/>
      <c r="J213" s="64">
        <f>'BOLETIM DE MEDIÇÃO 05'!O191-'MEMORIAL DE CALCULO 01'!K213</f>
        <v>0</v>
      </c>
      <c r="K213" s="45"/>
      <c r="L213" s="82">
        <f t="shared" si="5"/>
        <v>0</v>
      </c>
      <c r="M213" s="82">
        <f>'BOLETIM DE MEDIÇÃO 05'!G191</f>
        <v>811.27</v>
      </c>
      <c r="N213" s="86">
        <f t="shared" si="6"/>
        <v>811.27</v>
      </c>
    </row>
    <row r="214" spans="2:14" ht="22.5" hidden="1" x14ac:dyDescent="0.25">
      <c r="B214" s="50" t="s">
        <v>497</v>
      </c>
      <c r="C214" s="66">
        <v>95305</v>
      </c>
      <c r="D214" s="53" t="s">
        <v>499</v>
      </c>
      <c r="E214" s="44" t="s">
        <v>17</v>
      </c>
      <c r="F214" s="31"/>
      <c r="G214" s="31"/>
      <c r="H214" s="31"/>
      <c r="I214" s="64"/>
      <c r="J214" s="64">
        <f>'BOLETIM DE MEDIÇÃO 05'!O192-'MEMORIAL DE CALCULO 01'!K214</f>
        <v>0</v>
      </c>
      <c r="K214" s="45"/>
      <c r="L214" s="82">
        <f t="shared" si="5"/>
        <v>0</v>
      </c>
      <c r="M214" s="82">
        <f>'BOLETIM DE MEDIÇÃO 05'!G192</f>
        <v>811.27</v>
      </c>
      <c r="N214" s="86">
        <f t="shared" si="6"/>
        <v>811.27</v>
      </c>
    </row>
    <row r="215" spans="2:14" ht="14.45" hidden="1" customHeight="1" x14ac:dyDescent="0.25">
      <c r="B215" s="51">
        <v>1.1599999999999999</v>
      </c>
      <c r="C215" s="65" t="s">
        <v>501</v>
      </c>
      <c r="D215" s="53"/>
      <c r="E215" s="44"/>
      <c r="F215" s="31"/>
      <c r="G215" s="31"/>
      <c r="H215" s="30"/>
      <c r="I215" s="64"/>
      <c r="J215" s="64"/>
      <c r="K215" s="45"/>
      <c r="L215" s="82"/>
      <c r="M215" s="82"/>
      <c r="N215" s="86"/>
    </row>
    <row r="216" spans="2:14" ht="33.75" hidden="1" x14ac:dyDescent="0.25">
      <c r="B216" s="50" t="s">
        <v>502</v>
      </c>
      <c r="C216" s="59" t="s">
        <v>503</v>
      </c>
      <c r="D216" s="53" t="s">
        <v>504</v>
      </c>
      <c r="E216" s="44" t="s">
        <v>166</v>
      </c>
      <c r="F216" s="31"/>
      <c r="G216" s="31"/>
      <c r="H216" s="31"/>
      <c r="I216" s="64"/>
      <c r="J216" s="64">
        <f>'BOLETIM DE MEDIÇÃO 05'!O194-'MEMORIAL DE CALCULO 01'!K216</f>
        <v>0</v>
      </c>
      <c r="K216" s="45"/>
      <c r="L216" s="82">
        <f t="shared" si="5"/>
        <v>0</v>
      </c>
      <c r="M216" s="82">
        <f>'BOLETIM DE MEDIÇÃO 05'!G194</f>
        <v>2</v>
      </c>
      <c r="N216" s="86">
        <f t="shared" si="6"/>
        <v>2</v>
      </c>
    </row>
    <row r="217" spans="2:14" ht="45.75" hidden="1" thickBot="1" x14ac:dyDescent="0.3">
      <c r="B217" s="73" t="s">
        <v>505</v>
      </c>
      <c r="C217" s="74" t="s">
        <v>506</v>
      </c>
      <c r="D217" s="75" t="s">
        <v>507</v>
      </c>
      <c r="E217" s="76" t="s">
        <v>166</v>
      </c>
      <c r="F217" s="77"/>
      <c r="G217" s="77"/>
      <c r="H217" s="77"/>
      <c r="I217" s="78"/>
      <c r="J217" s="72">
        <f>'BOLETIM DE MEDIÇÃO 05'!O195-'MEMORIAL DE CALCULO 01'!K217</f>
        <v>0</v>
      </c>
      <c r="K217" s="83"/>
      <c r="L217" s="84">
        <f t="shared" si="5"/>
        <v>0</v>
      </c>
      <c r="M217" s="84">
        <f>'BOLETIM DE MEDIÇÃO 05'!G195</f>
        <v>1</v>
      </c>
      <c r="N217" s="87">
        <f t="shared" si="6"/>
        <v>1</v>
      </c>
    </row>
    <row r="218" spans="2:14" x14ac:dyDescent="0.25">
      <c r="J218" s="85"/>
    </row>
    <row r="220" spans="2:14" ht="24" customHeight="1" x14ac:dyDescent="0.25"/>
  </sheetData>
  <mergeCells count="21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B10:B11"/>
    <mergeCell ref="C10:C11"/>
    <mergeCell ref="D10:D11"/>
    <mergeCell ref="E10:E11"/>
    <mergeCell ref="F10:F11"/>
    <mergeCell ref="G201:I201"/>
    <mergeCell ref="G204:H204"/>
    <mergeCell ref="G205:H205"/>
    <mergeCell ref="G10:I10"/>
    <mergeCell ref="J10:N10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  <ignoredErrors>
    <ignoredError sqref="K20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51"/>
  <sheetViews>
    <sheetView topLeftCell="A53" zoomScale="107" zoomScaleNormal="297" workbookViewId="0">
      <selection activeCell="D68" sqref="D68:I6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12.855468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3" t="s">
        <v>598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v>45291</v>
      </c>
      <c r="C8" s="498"/>
      <c r="D8" s="23" t="s">
        <v>710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4" t="s">
        <v>596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48">
        <v>1</v>
      </c>
      <c r="C12" s="54" t="s">
        <v>10</v>
      </c>
      <c r="D12" s="47"/>
      <c r="E12" s="40"/>
      <c r="F12" s="93"/>
      <c r="G12" s="145"/>
      <c r="H12" s="147"/>
      <c r="I12" s="149"/>
      <c r="J12" s="98"/>
      <c r="K12" s="42"/>
      <c r="L12" s="42"/>
      <c r="M12" s="42"/>
      <c r="N12" s="46"/>
    </row>
    <row r="13" spans="2:14" x14ac:dyDescent="0.25">
      <c r="B13" s="48">
        <v>1.1000000000000001</v>
      </c>
      <c r="C13" s="54" t="s">
        <v>12</v>
      </c>
      <c r="D13" s="47"/>
      <c r="E13" s="40"/>
      <c r="F13" s="93"/>
      <c r="G13" s="102"/>
      <c r="H13" s="91"/>
      <c r="I13" s="103"/>
      <c r="J13" s="98"/>
      <c r="K13" s="42"/>
      <c r="L13" s="42"/>
      <c r="M13" s="42"/>
      <c r="N13" s="46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02'!K14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02'!K15</f>
        <v>2.25</v>
      </c>
      <c r="K15" s="81">
        <f>F15*G15*H15</f>
        <v>2.75</v>
      </c>
      <c r="L15" s="82">
        <f t="shared" ref="L15:L318" si="0">J15+K15</f>
        <v>5</v>
      </c>
      <c r="M15" s="82">
        <f>'BOLETIM DE MEDIÇÃO 05'!G15</f>
        <v>5</v>
      </c>
      <c r="N15" s="86">
        <f t="shared" ref="N15:N318" si="1">M15-L15</f>
        <v>0</v>
      </c>
    </row>
    <row r="16" spans="2:14" ht="33.75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02'!K16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02'!K17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02'!K19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02'!K21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02'!K24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02'!K25</f>
        <v>83.979249999999993</v>
      </c>
      <c r="K25" s="81">
        <f>SUM(K35:K41)</f>
        <v>1.2053699999999998</v>
      </c>
      <c r="L25" s="82">
        <f t="shared" si="0"/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3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/>
      <c r="G34" s="104"/>
      <c r="H34" s="92"/>
      <c r="I34" s="105"/>
      <c r="J34" s="99"/>
      <c r="K34" s="82"/>
      <c r="L34" s="82"/>
      <c r="M34" s="82"/>
      <c r="N34" s="86"/>
    </row>
    <row r="35" spans="2:14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/>
      <c r="E42" s="64"/>
      <c r="F42" s="94"/>
      <c r="G42" s="104"/>
      <c r="H42" s="92"/>
      <c r="I42" s="105"/>
      <c r="J42" s="99"/>
      <c r="K42" s="82"/>
      <c r="L42" s="82"/>
      <c r="M42" s="82"/>
      <c r="N42" s="86"/>
    </row>
    <row r="43" spans="2:14" hidden="1" x14ac:dyDescent="0.25">
      <c r="B43" s="55"/>
      <c r="C43" s="57"/>
      <c r="D43" s="144"/>
      <c r="E43" s="64"/>
      <c r="F43" s="94"/>
      <c r="G43" s="104"/>
      <c r="H43" s="92"/>
      <c r="I43" s="105"/>
      <c r="J43" s="99"/>
      <c r="K43" s="82"/>
      <c r="L43" s="82"/>
      <c r="M43" s="82"/>
      <c r="N43" s="86"/>
    </row>
    <row r="44" spans="2:14" hidden="1" x14ac:dyDescent="0.25">
      <c r="B44" s="55"/>
      <c r="C44" s="57"/>
      <c r="D44" s="144"/>
      <c r="E44" s="64"/>
      <c r="F44" s="94"/>
      <c r="G44" s="104"/>
      <c r="H44" s="92"/>
      <c r="I44" s="105"/>
      <c r="J44" s="99"/>
      <c r="K44" s="82"/>
      <c r="L44" s="82"/>
      <c r="M44" s="82"/>
      <c r="N44" s="86"/>
    </row>
    <row r="45" spans="2:14" hidden="1" x14ac:dyDescent="0.25">
      <c r="B45" s="55"/>
      <c r="C45" s="57"/>
      <c r="D45" s="144"/>
      <c r="E45" s="64"/>
      <c r="F45" s="94"/>
      <c r="G45" s="104"/>
      <c r="H45" s="92"/>
      <c r="I45" s="105"/>
      <c r="J45" s="99"/>
      <c r="K45" s="82"/>
      <c r="L45" s="82"/>
      <c r="M45" s="82"/>
      <c r="N45" s="86"/>
    </row>
    <row r="46" spans="2:14" hidden="1" x14ac:dyDescent="0.25">
      <c r="B46" s="55"/>
      <c r="C46" s="57"/>
      <c r="D46" s="144"/>
      <c r="E46" s="64"/>
      <c r="F46" s="94"/>
      <c r="G46" s="104"/>
      <c r="H46" s="92"/>
      <c r="I46" s="105"/>
      <c r="J46" s="99"/>
      <c r="K46" s="82"/>
      <c r="L46" s="82"/>
      <c r="M46" s="82"/>
      <c r="N46" s="86"/>
    </row>
    <row r="47" spans="2:14" hidden="1" x14ac:dyDescent="0.25">
      <c r="B47" s="55"/>
      <c r="C47" s="57"/>
      <c r="D47" s="144"/>
      <c r="E47" s="64"/>
      <c r="F47" s="94"/>
      <c r="G47" s="104"/>
      <c r="H47" s="92"/>
      <c r="I47" s="105"/>
      <c r="J47" s="99"/>
      <c r="K47" s="82"/>
      <c r="L47" s="82"/>
      <c r="M47" s="82"/>
      <c r="N47" s="86"/>
    </row>
    <row r="48" spans="2:14" hidden="1" x14ac:dyDescent="0.25">
      <c r="B48" s="49" t="s">
        <v>42</v>
      </c>
      <c r="C48" s="57">
        <v>96995</v>
      </c>
      <c r="D48" s="52" t="s">
        <v>44</v>
      </c>
      <c r="E48" s="64" t="s">
        <v>41</v>
      </c>
      <c r="F48" s="94"/>
      <c r="G48" s="104"/>
      <c r="H48" s="92"/>
      <c r="I48" s="105"/>
      <c r="J48" s="99">
        <f>'BOLETIM DE MEDIÇÃO 05'!O23-'MEMORIAL DE CALCULO 02'!K48</f>
        <v>43.05</v>
      </c>
      <c r="K48" s="81"/>
      <c r="L48" s="82">
        <f t="shared" si="0"/>
        <v>43.05</v>
      </c>
      <c r="M48" s="82">
        <f>'BOLETIM DE MEDIÇÃO 05'!G23</f>
        <v>44.26</v>
      </c>
      <c r="N48" s="86">
        <f t="shared" si="1"/>
        <v>1.2100000000000009</v>
      </c>
    </row>
    <row r="49" spans="2:14" ht="21" hidden="1" x14ac:dyDescent="0.25">
      <c r="B49" s="49"/>
      <c r="C49" s="57"/>
      <c r="D49" s="154" t="s">
        <v>576</v>
      </c>
      <c r="E49" s="44"/>
      <c r="F49" s="95"/>
      <c r="G49" s="106"/>
      <c r="H49" s="70"/>
      <c r="I49" s="105"/>
      <c r="J49" s="99"/>
      <c r="K49" s="81"/>
      <c r="L49" s="82"/>
      <c r="M49" s="82"/>
      <c r="N49" s="86"/>
    </row>
    <row r="50" spans="2:14" hidden="1" x14ac:dyDescent="0.25">
      <c r="B50" s="49"/>
      <c r="C50" s="57"/>
      <c r="D50" s="117" t="s">
        <v>608</v>
      </c>
      <c r="E50" s="44"/>
      <c r="F50" s="95">
        <v>1</v>
      </c>
      <c r="G50" s="468">
        <f>L25</f>
        <v>85.184619999999995</v>
      </c>
      <c r="H50" s="469"/>
      <c r="I50" s="470"/>
      <c r="J50" s="99"/>
      <c r="K50" s="81"/>
      <c r="L50" s="82"/>
      <c r="M50" s="82"/>
      <c r="N50" s="86"/>
    </row>
    <row r="51" spans="2:14" hidden="1" x14ac:dyDescent="0.25">
      <c r="B51" s="49"/>
      <c r="C51" s="57"/>
      <c r="D51" s="117" t="s">
        <v>609</v>
      </c>
      <c r="E51" s="44"/>
      <c r="F51" s="95">
        <v>1</v>
      </c>
      <c r="G51" s="468"/>
      <c r="H51" s="469"/>
      <c r="I51" s="470"/>
      <c r="J51" s="99"/>
      <c r="K51" s="81"/>
      <c r="L51" s="82"/>
      <c r="M51" s="82"/>
      <c r="N51" s="86"/>
    </row>
    <row r="52" spans="2:14" ht="22.5" hidden="1" x14ac:dyDescent="0.25">
      <c r="B52" s="49" t="s">
        <v>45</v>
      </c>
      <c r="C52" s="57">
        <v>94319</v>
      </c>
      <c r="D52" s="52" t="s">
        <v>47</v>
      </c>
      <c r="E52" s="64" t="s">
        <v>41</v>
      </c>
      <c r="F52" s="94"/>
      <c r="G52" s="104"/>
      <c r="H52" s="92"/>
      <c r="I52" s="105"/>
      <c r="J52" s="99">
        <f>'BOLETIM DE MEDIÇÃO 05'!O24-'MEMORIAL DE CALCULO 02'!K52</f>
        <v>0</v>
      </c>
      <c r="K52" s="81"/>
      <c r="L52" s="82">
        <f t="shared" si="0"/>
        <v>0</v>
      </c>
      <c r="M52" s="82">
        <f>'BOLETIM DE MEDIÇÃO 05'!G24</f>
        <v>93.63</v>
      </c>
      <c r="N52" s="86">
        <f t="shared" si="1"/>
        <v>93.63</v>
      </c>
    </row>
    <row r="53" spans="2:14" x14ac:dyDescent="0.25">
      <c r="B53" s="56" t="s">
        <v>48</v>
      </c>
      <c r="C53" s="60" t="s">
        <v>49</v>
      </c>
      <c r="D53" s="52"/>
      <c r="E53" s="64"/>
      <c r="F53" s="94"/>
      <c r="G53" s="104"/>
      <c r="H53" s="92"/>
      <c r="I53" s="105"/>
      <c r="J53" s="99"/>
      <c r="K53" s="81"/>
      <c r="L53" s="82"/>
      <c r="M53" s="82"/>
      <c r="N53" s="86"/>
    </row>
    <row r="54" spans="2:14" ht="45" x14ac:dyDescent="0.25">
      <c r="B54" s="49" t="s">
        <v>50</v>
      </c>
      <c r="C54" s="58" t="s">
        <v>51</v>
      </c>
      <c r="D54" s="52" t="s">
        <v>52</v>
      </c>
      <c r="E54" s="64" t="s">
        <v>41</v>
      </c>
      <c r="F54" s="94"/>
      <c r="G54" s="509" t="s">
        <v>652</v>
      </c>
      <c r="H54" s="512"/>
      <c r="I54" s="513"/>
      <c r="J54" s="99">
        <f>'BOLETIM DE MEDIÇÃO 05'!O26-'MEMORIAL DE CALCULO 02'!K54</f>
        <v>6.6420000000000012</v>
      </c>
      <c r="K54" s="81">
        <f>SUM(K56:K71)</f>
        <v>7.3434100000000004</v>
      </c>
      <c r="L54" s="82">
        <f t="shared" si="0"/>
        <v>13.985410000000002</v>
      </c>
      <c r="M54" s="82">
        <f>'BOLETIM DE MEDIÇÃO 05'!G26</f>
        <v>13.99</v>
      </c>
      <c r="N54" s="86">
        <f t="shared" si="1"/>
        <v>4.5899999999985397E-3</v>
      </c>
    </row>
    <row r="55" spans="2:14" ht="45" x14ac:dyDescent="0.25">
      <c r="B55" s="49"/>
      <c r="C55" s="58"/>
      <c r="D55" s="152" t="s">
        <v>610</v>
      </c>
      <c r="E55" s="64"/>
      <c r="F55" s="94"/>
      <c r="G55" s="157" t="s">
        <v>653</v>
      </c>
      <c r="H55" s="92" t="s">
        <v>649</v>
      </c>
      <c r="I55" s="122" t="s">
        <v>654</v>
      </c>
      <c r="J55" s="99"/>
      <c r="K55" s="81"/>
      <c r="L55" s="82"/>
      <c r="M55" s="82"/>
      <c r="N55" s="86"/>
    </row>
    <row r="56" spans="2:14" x14ac:dyDescent="0.25">
      <c r="B56" s="49"/>
      <c r="C56" s="58"/>
      <c r="D56" s="144" t="s">
        <v>656</v>
      </c>
      <c r="E56" s="64"/>
      <c r="F56" s="94"/>
      <c r="G56" s="159">
        <v>4.758</v>
      </c>
      <c r="H56" s="92">
        <v>0.2</v>
      </c>
      <c r="I56" s="105" t="s">
        <v>660</v>
      </c>
      <c r="J56" s="99"/>
      <c r="K56" s="82">
        <f>(0.62*G56)*H56</f>
        <v>0.58999199999999996</v>
      </c>
      <c r="L56" s="82"/>
      <c r="M56" s="82"/>
      <c r="N56" s="86"/>
    </row>
    <row r="57" spans="2:14" x14ac:dyDescent="0.25">
      <c r="B57" s="49"/>
      <c r="C57" s="58"/>
      <c r="D57" s="144" t="s">
        <v>657</v>
      </c>
      <c r="E57" s="64"/>
      <c r="F57" s="94"/>
      <c r="G57" s="159">
        <v>3.097</v>
      </c>
      <c r="H57" s="92">
        <v>0.2</v>
      </c>
      <c r="I57" s="105" t="s">
        <v>655</v>
      </c>
      <c r="J57" s="99"/>
      <c r="K57" s="82">
        <f>(((0.62+0.35)/2)*G57)*H57</f>
        <v>0.30040899999999998</v>
      </c>
      <c r="L57" s="82"/>
      <c r="M57" s="82"/>
      <c r="N57" s="86"/>
    </row>
    <row r="58" spans="2:14" x14ac:dyDescent="0.25">
      <c r="B58" s="49"/>
      <c r="C58" s="58"/>
      <c r="D58" s="144" t="s">
        <v>658</v>
      </c>
      <c r="E58" s="64"/>
      <c r="F58" s="94"/>
      <c r="G58" s="159">
        <v>3.0470000000000002</v>
      </c>
      <c r="H58" s="92">
        <v>0.2</v>
      </c>
      <c r="I58" s="105" t="s">
        <v>655</v>
      </c>
      <c r="J58" s="99"/>
      <c r="K58" s="82">
        <f>(((0.62+0.35)/2)*G58)*H58</f>
        <v>0.29555900000000002</v>
      </c>
      <c r="L58" s="82"/>
      <c r="M58" s="82"/>
      <c r="N58" s="86"/>
    </row>
    <row r="59" spans="2:14" x14ac:dyDescent="0.25">
      <c r="B59" s="49"/>
      <c r="C59" s="58"/>
      <c r="D59" s="144" t="s">
        <v>659</v>
      </c>
      <c r="E59" s="64"/>
      <c r="F59" s="94"/>
      <c r="G59" s="159">
        <v>5.109</v>
      </c>
      <c r="H59" s="92">
        <v>0.2</v>
      </c>
      <c r="I59" s="105" t="s">
        <v>660</v>
      </c>
      <c r="J59" s="99"/>
      <c r="K59" s="82">
        <f>(((0.62+0.35)/2)*G59)*H59</f>
        <v>0.49557300000000004</v>
      </c>
      <c r="L59" s="82"/>
      <c r="M59" s="82"/>
      <c r="N59" s="86"/>
    </row>
    <row r="60" spans="2:14" x14ac:dyDescent="0.25">
      <c r="B60" s="49"/>
      <c r="C60" s="58"/>
      <c r="D60" s="144" t="s">
        <v>661</v>
      </c>
      <c r="E60" s="64"/>
      <c r="F60" s="94"/>
      <c r="G60" s="159">
        <v>2.5640000000000001</v>
      </c>
      <c r="H60" s="92">
        <v>0.2</v>
      </c>
      <c r="I60" s="105" t="s">
        <v>664</v>
      </c>
      <c r="J60" s="99"/>
      <c r="K60" s="82">
        <f>(0.35*G60)*H60</f>
        <v>0.17948</v>
      </c>
      <c r="L60" s="82"/>
      <c r="M60" s="82"/>
      <c r="N60" s="86"/>
    </row>
    <row r="61" spans="2:14" x14ac:dyDescent="0.25">
      <c r="B61" s="49"/>
      <c r="C61" s="58"/>
      <c r="D61" s="144" t="s">
        <v>662</v>
      </c>
      <c r="E61" s="64"/>
      <c r="F61" s="94"/>
      <c r="G61" s="159">
        <v>1.6779999999999999</v>
      </c>
      <c r="H61" s="92">
        <v>0.2</v>
      </c>
      <c r="I61" s="105" t="s">
        <v>664</v>
      </c>
      <c r="J61" s="99"/>
      <c r="K61" s="82">
        <f>(0.35*G61)*H61</f>
        <v>0.11745999999999999</v>
      </c>
      <c r="L61" s="82"/>
      <c r="M61" s="82"/>
      <c r="N61" s="86"/>
    </row>
    <row r="62" spans="2:14" x14ac:dyDescent="0.25">
      <c r="B62" s="49"/>
      <c r="C62" s="58"/>
      <c r="D62" s="144" t="s">
        <v>663</v>
      </c>
      <c r="E62" s="64"/>
      <c r="F62" s="94"/>
      <c r="G62" s="159">
        <v>6.5330000000000004</v>
      </c>
      <c r="H62" s="92">
        <v>0.2</v>
      </c>
      <c r="I62" s="105" t="s">
        <v>665</v>
      </c>
      <c r="J62" s="99"/>
      <c r="K62" s="82">
        <f>(((0.41+0.58)/2)*G62)*H62</f>
        <v>0.64676700000000009</v>
      </c>
      <c r="L62" s="82"/>
      <c r="M62" s="82"/>
      <c r="N62" s="86"/>
    </row>
    <row r="63" spans="2:14" x14ac:dyDescent="0.25">
      <c r="B63" s="49"/>
      <c r="C63" s="58"/>
      <c r="D63" s="144" t="s">
        <v>666</v>
      </c>
      <c r="E63" s="64"/>
      <c r="F63" s="94"/>
      <c r="G63" s="104">
        <v>12.68</v>
      </c>
      <c r="H63" s="92">
        <v>0.2</v>
      </c>
      <c r="I63" s="105" t="s">
        <v>668</v>
      </c>
      <c r="J63" s="99"/>
      <c r="K63" s="82">
        <f>(((0.56+0.52)/2)*G63)*H63</f>
        <v>1.36944</v>
      </c>
      <c r="L63" s="82"/>
      <c r="M63" s="82"/>
      <c r="N63" s="86"/>
    </row>
    <row r="64" spans="2:14" x14ac:dyDescent="0.25">
      <c r="B64" s="49"/>
      <c r="C64" s="58"/>
      <c r="D64" s="144" t="s">
        <v>667</v>
      </c>
      <c r="E64" s="64"/>
      <c r="F64" s="94"/>
      <c r="G64" s="104">
        <v>1.85</v>
      </c>
      <c r="H64" s="92">
        <v>0.2</v>
      </c>
      <c r="I64" s="105" t="s">
        <v>669</v>
      </c>
      <c r="J64" s="99"/>
      <c r="K64" s="82">
        <f>(((0.52+0.48)/2)*G64)*H64</f>
        <v>0.18500000000000003</v>
      </c>
      <c r="L64" s="82"/>
      <c r="M64" s="82"/>
      <c r="N64" s="86"/>
    </row>
    <row r="65" spans="2:14" x14ac:dyDescent="0.25">
      <c r="B65" s="49"/>
      <c r="C65" s="58"/>
      <c r="D65" s="144" t="s">
        <v>671</v>
      </c>
      <c r="E65" s="64"/>
      <c r="F65" s="94"/>
      <c r="G65" s="104">
        <v>9.4600000000000009</v>
      </c>
      <c r="H65" s="92">
        <v>0.2</v>
      </c>
      <c r="I65" s="105" t="s">
        <v>670</v>
      </c>
      <c r="J65" s="99"/>
      <c r="K65" s="82">
        <f>(((0.48+0.55)/2)*G65)*H65</f>
        <v>0.97438000000000025</v>
      </c>
      <c r="L65" s="82"/>
      <c r="M65" s="82"/>
      <c r="N65" s="86"/>
    </row>
    <row r="66" spans="2:14" x14ac:dyDescent="0.25">
      <c r="B66" s="49"/>
      <c r="C66" s="58"/>
      <c r="D66" s="144" t="s">
        <v>673</v>
      </c>
      <c r="E66" s="64"/>
      <c r="F66" s="94"/>
      <c r="G66" s="104">
        <v>2.33</v>
      </c>
      <c r="H66" s="92">
        <v>0.2</v>
      </c>
      <c r="I66" s="105" t="s">
        <v>672</v>
      </c>
      <c r="J66" s="99"/>
      <c r="K66" s="82">
        <f>(0.55*G66)*H66</f>
        <v>0.25630000000000003</v>
      </c>
      <c r="L66" s="82"/>
      <c r="M66" s="82"/>
      <c r="N66" s="86"/>
    </row>
    <row r="67" spans="2:14" x14ac:dyDescent="0.25">
      <c r="B67" s="49"/>
      <c r="C67" s="58"/>
      <c r="D67" s="144" t="s">
        <v>674</v>
      </c>
      <c r="E67" s="64"/>
      <c r="F67" s="94"/>
      <c r="G67" s="104">
        <v>9.7899999999999991</v>
      </c>
      <c r="H67" s="92">
        <v>0.2</v>
      </c>
      <c r="I67" s="105" t="s">
        <v>675</v>
      </c>
      <c r="J67" s="99"/>
      <c r="K67" s="82">
        <f>(((0.55+0.52)/2)*G67)*H67</f>
        <v>1.0475299999999999</v>
      </c>
      <c r="L67" s="82"/>
      <c r="M67" s="82"/>
      <c r="N67" s="86"/>
    </row>
    <row r="68" spans="2:14" x14ac:dyDescent="0.25">
      <c r="B68" s="49"/>
      <c r="C68" s="58"/>
      <c r="D68" s="241" t="s">
        <v>677</v>
      </c>
      <c r="E68" s="242"/>
      <c r="F68" s="243"/>
      <c r="G68" s="244">
        <v>2.38</v>
      </c>
      <c r="H68" s="245">
        <v>0.2</v>
      </c>
      <c r="I68" s="246" t="s">
        <v>660</v>
      </c>
      <c r="J68" s="99"/>
      <c r="K68" s="82">
        <f>(0.55*G68)*H68</f>
        <v>0.26179999999999998</v>
      </c>
      <c r="L68" s="82"/>
      <c r="M68" s="82"/>
      <c r="N68" s="86"/>
    </row>
    <row r="69" spans="2:14" x14ac:dyDescent="0.25">
      <c r="B69" s="49"/>
      <c r="C69" s="58"/>
      <c r="D69" s="144" t="s">
        <v>678</v>
      </c>
      <c r="E69" s="64"/>
      <c r="F69" s="94"/>
      <c r="G69" s="104">
        <v>2.65</v>
      </c>
      <c r="H69" s="92">
        <v>0.2</v>
      </c>
      <c r="I69" s="105" t="s">
        <v>660</v>
      </c>
      <c r="J69" s="99"/>
      <c r="K69" s="82">
        <f>(0.62*G69)*H69</f>
        <v>0.3286</v>
      </c>
      <c r="L69" s="82"/>
      <c r="M69" s="82"/>
      <c r="N69" s="86"/>
    </row>
    <row r="70" spans="2:14" x14ac:dyDescent="0.25">
      <c r="B70" s="49"/>
      <c r="C70" s="58"/>
      <c r="D70" s="144" t="s">
        <v>676</v>
      </c>
      <c r="E70" s="64"/>
      <c r="F70" s="94"/>
      <c r="G70" s="104">
        <v>2.38</v>
      </c>
      <c r="H70" s="92">
        <v>0.2</v>
      </c>
      <c r="I70" s="105" t="s">
        <v>660</v>
      </c>
      <c r="J70" s="99"/>
      <c r="K70" s="82">
        <f>(0.62*G70)*H70</f>
        <v>0.29511999999999999</v>
      </c>
      <c r="L70" s="82"/>
      <c r="M70" s="82"/>
      <c r="N70" s="86"/>
    </row>
    <row r="71" spans="2:14" x14ac:dyDescent="0.25">
      <c r="B71" s="49"/>
      <c r="C71" s="58"/>
      <c r="D71" s="144"/>
      <c r="E71" s="64"/>
      <c r="F71" s="94"/>
      <c r="G71" s="104"/>
      <c r="H71" s="92"/>
      <c r="I71" s="105"/>
      <c r="J71" s="99"/>
      <c r="K71" s="82"/>
      <c r="L71" s="82"/>
      <c r="M71" s="82"/>
      <c r="N71" s="86"/>
    </row>
    <row r="72" spans="2:14" ht="22.5" x14ac:dyDescent="0.25">
      <c r="B72" s="49" t="s">
        <v>53</v>
      </c>
      <c r="C72" s="57">
        <v>101616</v>
      </c>
      <c r="D72" s="52" t="s">
        <v>55</v>
      </c>
      <c r="E72" s="64" t="s">
        <v>17</v>
      </c>
      <c r="F72" s="94"/>
      <c r="G72" s="104"/>
      <c r="H72" s="92"/>
      <c r="I72" s="105"/>
      <c r="J72" s="99">
        <f>'BOLETIM DE MEDIÇÃO 05'!O27-'MEMORIAL DE CALCULO 02'!K72</f>
        <v>4.9999999999954525E-3</v>
      </c>
      <c r="K72" s="81">
        <f>SUM(K74:K80)</f>
        <v>37.805000000000007</v>
      </c>
      <c r="L72" s="82">
        <f t="shared" si="0"/>
        <v>37.81</v>
      </c>
      <c r="M72" s="82">
        <f>'BOLETIM DE MEDIÇÃO 05'!G27</f>
        <v>37.81</v>
      </c>
      <c r="N72" s="86">
        <f t="shared" si="1"/>
        <v>0</v>
      </c>
    </row>
    <row r="73" spans="2:14" x14ac:dyDescent="0.25">
      <c r="B73" s="49"/>
      <c r="C73" s="57"/>
      <c r="D73" s="152" t="s">
        <v>588</v>
      </c>
      <c r="E73" s="64"/>
      <c r="F73" s="94"/>
      <c r="G73" s="104"/>
      <c r="H73" s="92"/>
      <c r="I73" s="105"/>
      <c r="J73" s="99"/>
      <c r="K73" s="81"/>
      <c r="L73" s="82"/>
      <c r="M73" s="82"/>
      <c r="N73" s="86"/>
    </row>
    <row r="74" spans="2:14" ht="33.75" x14ac:dyDescent="0.25">
      <c r="B74" s="49"/>
      <c r="C74" s="57"/>
      <c r="D74" s="144" t="s">
        <v>569</v>
      </c>
      <c r="E74" s="64"/>
      <c r="F74" s="94">
        <v>32</v>
      </c>
      <c r="G74" s="104">
        <v>0.6</v>
      </c>
      <c r="H74" s="92">
        <v>0.7</v>
      </c>
      <c r="I74" s="156"/>
      <c r="J74" s="99"/>
      <c r="K74" s="82">
        <f>F74*(G74*H74)</f>
        <v>13.44</v>
      </c>
      <c r="L74" s="82"/>
      <c r="M74" s="82"/>
      <c r="N74" s="86"/>
    </row>
    <row r="75" spans="2:14" ht="45" x14ac:dyDescent="0.25">
      <c r="B75" s="49"/>
      <c r="C75" s="57"/>
      <c r="D75" s="144" t="s">
        <v>570</v>
      </c>
      <c r="E75" s="64"/>
      <c r="F75" s="94">
        <v>40</v>
      </c>
      <c r="G75" s="104">
        <v>0.6</v>
      </c>
      <c r="H75" s="92">
        <v>0.7</v>
      </c>
      <c r="I75" s="156"/>
      <c r="J75" s="99"/>
      <c r="K75" s="82">
        <f t="shared" ref="K75:K80" si="5">F75*(G75*H75)</f>
        <v>16.8</v>
      </c>
      <c r="L75" s="82"/>
      <c r="M75" s="82"/>
      <c r="N75" s="86"/>
    </row>
    <row r="76" spans="2:14" x14ac:dyDescent="0.25">
      <c r="B76" s="49"/>
      <c r="C76" s="57"/>
      <c r="D76" s="144" t="s">
        <v>571</v>
      </c>
      <c r="E76" s="64"/>
      <c r="F76" s="94">
        <v>1</v>
      </c>
      <c r="G76" s="104">
        <v>0.6</v>
      </c>
      <c r="H76" s="92">
        <v>0.8</v>
      </c>
      <c r="I76" s="156"/>
      <c r="J76" s="99"/>
      <c r="K76" s="82">
        <f t="shared" si="5"/>
        <v>0.48</v>
      </c>
      <c r="L76" s="82"/>
      <c r="M76" s="82"/>
      <c r="N76" s="86"/>
    </row>
    <row r="77" spans="2:14" x14ac:dyDescent="0.25">
      <c r="B77" s="49"/>
      <c r="C77" s="57"/>
      <c r="D77" s="144" t="s">
        <v>572</v>
      </c>
      <c r="E77" s="64"/>
      <c r="F77" s="94">
        <v>2</v>
      </c>
      <c r="G77" s="104">
        <v>0.9</v>
      </c>
      <c r="H77" s="92">
        <v>0.9</v>
      </c>
      <c r="I77" s="156"/>
      <c r="J77" s="99"/>
      <c r="K77" s="82">
        <f t="shared" si="5"/>
        <v>1.62</v>
      </c>
      <c r="L77" s="82"/>
      <c r="M77" s="82"/>
      <c r="N77" s="86"/>
    </row>
    <row r="78" spans="2:14" x14ac:dyDescent="0.25">
      <c r="B78" s="49"/>
      <c r="C78" s="57"/>
      <c r="D78" s="144" t="s">
        <v>573</v>
      </c>
      <c r="E78" s="64"/>
      <c r="F78" s="94">
        <v>7</v>
      </c>
      <c r="G78" s="104">
        <v>0.65</v>
      </c>
      <c r="H78" s="92">
        <v>0.65</v>
      </c>
      <c r="I78" s="156"/>
      <c r="J78" s="99"/>
      <c r="K78" s="82">
        <f t="shared" si="5"/>
        <v>2.9575000000000005</v>
      </c>
      <c r="L78" s="82"/>
      <c r="M78" s="82"/>
      <c r="N78" s="86"/>
    </row>
    <row r="79" spans="2:14" x14ac:dyDescent="0.25">
      <c r="B79" s="49"/>
      <c r="C79" s="57"/>
      <c r="D79" s="144" t="s">
        <v>574</v>
      </c>
      <c r="E79" s="64"/>
      <c r="F79" s="94">
        <v>3</v>
      </c>
      <c r="G79" s="104">
        <v>0.65</v>
      </c>
      <c r="H79" s="92">
        <v>0.75</v>
      </c>
      <c r="I79" s="156"/>
      <c r="J79" s="99"/>
      <c r="K79" s="82">
        <f t="shared" si="5"/>
        <v>1.4625000000000001</v>
      </c>
      <c r="L79" s="82"/>
      <c r="M79" s="82"/>
      <c r="N79" s="86"/>
    </row>
    <row r="80" spans="2:14" x14ac:dyDescent="0.25">
      <c r="B80" s="49"/>
      <c r="C80" s="57"/>
      <c r="D80" s="144" t="s">
        <v>575</v>
      </c>
      <c r="E80" s="64"/>
      <c r="F80" s="94">
        <v>2</v>
      </c>
      <c r="G80" s="104">
        <v>0.55000000000000004</v>
      </c>
      <c r="H80" s="92">
        <v>0.95</v>
      </c>
      <c r="I80" s="156"/>
      <c r="J80" s="99"/>
      <c r="K80" s="82">
        <f t="shared" si="5"/>
        <v>1.0449999999999999</v>
      </c>
      <c r="L80" s="82"/>
      <c r="M80" s="82"/>
      <c r="N80" s="86"/>
    </row>
    <row r="81" spans="2:14" ht="33.75" x14ac:dyDescent="0.25">
      <c r="B81" s="49" t="s">
        <v>56</v>
      </c>
      <c r="C81" s="57">
        <v>96619</v>
      </c>
      <c r="D81" s="61" t="s">
        <v>58</v>
      </c>
      <c r="E81" s="64" t="s">
        <v>17</v>
      </c>
      <c r="F81" s="94"/>
      <c r="G81" s="104"/>
      <c r="H81" s="92"/>
      <c r="I81" s="105"/>
      <c r="J81" s="99">
        <f>'BOLETIM DE MEDIÇÃO 05'!O28-'MEMORIAL DE CALCULO 02'!K81</f>
        <v>4.9999999999954525E-3</v>
      </c>
      <c r="K81" s="81">
        <f>SUM(K83:K89)</f>
        <v>37.805000000000007</v>
      </c>
      <c r="L81" s="82">
        <f t="shared" si="0"/>
        <v>37.81</v>
      </c>
      <c r="M81" s="82">
        <f>'BOLETIM DE MEDIÇÃO 05'!G28</f>
        <v>77.41</v>
      </c>
      <c r="N81" s="86">
        <f t="shared" si="1"/>
        <v>39.599999999999994</v>
      </c>
    </row>
    <row r="82" spans="2:14" x14ac:dyDescent="0.25">
      <c r="B82" s="49"/>
      <c r="C82" s="57"/>
      <c r="D82" s="152" t="s">
        <v>588</v>
      </c>
      <c r="E82" s="64"/>
      <c r="F82" s="94"/>
      <c r="G82" s="104"/>
      <c r="H82" s="92"/>
      <c r="I82" s="105"/>
      <c r="J82" s="99"/>
      <c r="K82" s="81"/>
      <c r="L82" s="82"/>
      <c r="M82" s="82"/>
      <c r="N82" s="86"/>
    </row>
    <row r="83" spans="2:14" ht="33.75" x14ac:dyDescent="0.25">
      <c r="B83" s="49"/>
      <c r="C83" s="57"/>
      <c r="D83" s="144" t="s">
        <v>569</v>
      </c>
      <c r="E83" s="64"/>
      <c r="F83" s="94">
        <v>32</v>
      </c>
      <c r="G83" s="104">
        <v>0.6</v>
      </c>
      <c r="H83" s="92">
        <v>0.7</v>
      </c>
      <c r="I83" s="105"/>
      <c r="J83" s="99"/>
      <c r="K83" s="82">
        <f>F83*(G83*H83)</f>
        <v>13.44</v>
      </c>
      <c r="L83" s="82"/>
      <c r="M83" s="82"/>
      <c r="N83" s="86"/>
    </row>
    <row r="84" spans="2:14" ht="45" x14ac:dyDescent="0.25">
      <c r="B84" s="49"/>
      <c r="C84" s="57"/>
      <c r="D84" s="144" t="s">
        <v>570</v>
      </c>
      <c r="E84" s="64"/>
      <c r="F84" s="94">
        <v>40</v>
      </c>
      <c r="G84" s="104">
        <v>0.6</v>
      </c>
      <c r="H84" s="92">
        <v>0.7</v>
      </c>
      <c r="I84" s="105"/>
      <c r="J84" s="99"/>
      <c r="K84" s="82">
        <f t="shared" ref="K84:K89" si="6">F84*(G84*H84)</f>
        <v>16.8</v>
      </c>
      <c r="L84" s="82"/>
      <c r="M84" s="82"/>
      <c r="N84" s="86"/>
    </row>
    <row r="85" spans="2:14" x14ac:dyDescent="0.25">
      <c r="B85" s="49"/>
      <c r="C85" s="57"/>
      <c r="D85" s="144" t="s">
        <v>571</v>
      </c>
      <c r="E85" s="64"/>
      <c r="F85" s="94">
        <v>1</v>
      </c>
      <c r="G85" s="104">
        <v>0.6</v>
      </c>
      <c r="H85" s="92">
        <v>0.8</v>
      </c>
      <c r="I85" s="105"/>
      <c r="J85" s="99"/>
      <c r="K85" s="82">
        <f t="shared" si="6"/>
        <v>0.48</v>
      </c>
      <c r="L85" s="82"/>
      <c r="M85" s="82"/>
      <c r="N85" s="86"/>
    </row>
    <row r="86" spans="2:14" x14ac:dyDescent="0.25">
      <c r="B86" s="49"/>
      <c r="C86" s="57"/>
      <c r="D86" s="144" t="s">
        <v>572</v>
      </c>
      <c r="E86" s="64"/>
      <c r="F86" s="94">
        <v>2</v>
      </c>
      <c r="G86" s="104">
        <v>0.9</v>
      </c>
      <c r="H86" s="92">
        <v>0.9</v>
      </c>
      <c r="I86" s="105"/>
      <c r="J86" s="99"/>
      <c r="K86" s="82">
        <f t="shared" si="6"/>
        <v>1.62</v>
      </c>
      <c r="L86" s="82"/>
      <c r="M86" s="82"/>
      <c r="N86" s="86"/>
    </row>
    <row r="87" spans="2:14" x14ac:dyDescent="0.25">
      <c r="B87" s="49"/>
      <c r="C87" s="57"/>
      <c r="D87" s="144" t="s">
        <v>573</v>
      </c>
      <c r="E87" s="64"/>
      <c r="F87" s="94">
        <v>7</v>
      </c>
      <c r="G87" s="104">
        <v>0.65</v>
      </c>
      <c r="H87" s="92">
        <v>0.65</v>
      </c>
      <c r="I87" s="105"/>
      <c r="J87" s="99"/>
      <c r="K87" s="82">
        <f t="shared" si="6"/>
        <v>2.9575000000000005</v>
      </c>
      <c r="L87" s="82"/>
      <c r="M87" s="82"/>
      <c r="N87" s="86"/>
    </row>
    <row r="88" spans="2:14" x14ac:dyDescent="0.25">
      <c r="B88" s="49"/>
      <c r="C88" s="57"/>
      <c r="D88" s="144" t="s">
        <v>574</v>
      </c>
      <c r="E88" s="64"/>
      <c r="F88" s="94">
        <v>3</v>
      </c>
      <c r="G88" s="104">
        <v>0.65</v>
      </c>
      <c r="H88" s="92">
        <v>0.75</v>
      </c>
      <c r="I88" s="105"/>
      <c r="J88" s="99"/>
      <c r="K88" s="82">
        <f t="shared" si="6"/>
        <v>1.4625000000000001</v>
      </c>
      <c r="L88" s="82"/>
      <c r="M88" s="82"/>
      <c r="N88" s="86"/>
    </row>
    <row r="89" spans="2:14" x14ac:dyDescent="0.25">
      <c r="B89" s="49"/>
      <c r="C89" s="57"/>
      <c r="D89" s="144" t="s">
        <v>575</v>
      </c>
      <c r="E89" s="64"/>
      <c r="F89" s="94">
        <v>2</v>
      </c>
      <c r="G89" s="104">
        <v>0.55000000000000004</v>
      </c>
      <c r="H89" s="92">
        <v>0.95</v>
      </c>
      <c r="I89" s="105"/>
      <c r="J89" s="99"/>
      <c r="K89" s="82">
        <f t="shared" si="6"/>
        <v>1.0449999999999999</v>
      </c>
      <c r="L89" s="82"/>
      <c r="M89" s="82"/>
      <c r="N89" s="86"/>
    </row>
    <row r="90" spans="2:14" ht="22.5" x14ac:dyDescent="0.25">
      <c r="B90" s="49" t="s">
        <v>59</v>
      </c>
      <c r="C90" s="57">
        <v>96545</v>
      </c>
      <c r="D90" s="52" t="s">
        <v>61</v>
      </c>
      <c r="E90" s="64" t="s">
        <v>62</v>
      </c>
      <c r="F90" s="94"/>
      <c r="G90" s="104"/>
      <c r="H90" s="92"/>
      <c r="I90" s="105"/>
      <c r="J90" s="99">
        <f>'BOLETIM DE MEDIÇÃO 05'!O29-'MEMORIAL DE CALCULO 02'!K90</f>
        <v>492.77940000000001</v>
      </c>
      <c r="K90" s="81">
        <f>SUM(K92:K98)</f>
        <v>44.520449999999997</v>
      </c>
      <c r="L90" s="82">
        <f>J90+K90</f>
        <v>537.29984999999999</v>
      </c>
      <c r="M90" s="82">
        <f>'BOLETIM DE MEDIÇÃO 05'!G29</f>
        <v>537.29999999999995</v>
      </c>
      <c r="N90" s="86">
        <f t="shared" si="1"/>
        <v>1.4999999996234692E-4</v>
      </c>
    </row>
    <row r="91" spans="2:14" ht="33.75" x14ac:dyDescent="0.25">
      <c r="B91" s="49"/>
      <c r="C91" s="57"/>
      <c r="D91" s="152" t="s">
        <v>610</v>
      </c>
      <c r="E91" s="64"/>
      <c r="F91" s="94"/>
      <c r="G91" s="509" t="s">
        <v>612</v>
      </c>
      <c r="H91" s="510"/>
      <c r="I91" s="122" t="s">
        <v>611</v>
      </c>
      <c r="J91" s="99"/>
      <c r="K91" s="81"/>
      <c r="L91" s="82"/>
      <c r="M91" s="82"/>
      <c r="N91" s="86"/>
    </row>
    <row r="92" spans="2:14" x14ac:dyDescent="0.25">
      <c r="B92" s="49"/>
      <c r="C92" s="57"/>
      <c r="D92" s="144" t="s">
        <v>601</v>
      </c>
      <c r="E92" s="64"/>
      <c r="F92" s="94">
        <v>1</v>
      </c>
      <c r="G92" s="506">
        <f xml:space="preserve"> (2*1.31) + (2*1.51) + (2*4.98)</f>
        <v>15.600000000000001</v>
      </c>
      <c r="H92" s="511"/>
      <c r="I92" s="155">
        <v>0.39500000000000002</v>
      </c>
      <c r="J92" s="82"/>
      <c r="K92" s="99">
        <f t="shared" ref="K92:K98" si="7">F92*G92*I92</f>
        <v>6.1620000000000008</v>
      </c>
      <c r="L92" s="82"/>
      <c r="M92" s="82"/>
      <c r="N92" s="86"/>
    </row>
    <row r="93" spans="2:14" x14ac:dyDescent="0.25">
      <c r="B93" s="49"/>
      <c r="C93" s="57"/>
      <c r="D93" s="144" t="s">
        <v>602</v>
      </c>
      <c r="E93" s="64"/>
      <c r="F93" s="94">
        <v>1</v>
      </c>
      <c r="G93" s="506">
        <f xml:space="preserve"> (3*3.37) + (1.37) + (2*3.47)</f>
        <v>18.420000000000002</v>
      </c>
      <c r="H93" s="511"/>
      <c r="I93" s="155">
        <v>0.39500000000000002</v>
      </c>
      <c r="J93" s="82"/>
      <c r="K93" s="99">
        <f t="shared" si="7"/>
        <v>7.2759000000000009</v>
      </c>
      <c r="L93" s="82"/>
      <c r="M93" s="82"/>
      <c r="N93" s="86"/>
    </row>
    <row r="94" spans="2:14" x14ac:dyDescent="0.25">
      <c r="B94" s="49"/>
      <c r="C94" s="57"/>
      <c r="D94" s="144" t="s">
        <v>603</v>
      </c>
      <c r="E94" s="64"/>
      <c r="F94" s="94">
        <v>1</v>
      </c>
      <c r="G94" s="506">
        <f xml:space="preserve"> (1.87) + (2*3.62)</f>
        <v>9.11</v>
      </c>
      <c r="H94" s="511"/>
      <c r="I94" s="155">
        <v>0.39500000000000002</v>
      </c>
      <c r="J94" s="82"/>
      <c r="K94" s="99">
        <f t="shared" si="7"/>
        <v>3.5984500000000001</v>
      </c>
      <c r="L94" s="82"/>
      <c r="M94" s="82"/>
      <c r="N94" s="86"/>
    </row>
    <row r="95" spans="2:14" x14ac:dyDescent="0.25">
      <c r="B95" s="49"/>
      <c r="C95" s="57"/>
      <c r="D95" s="144" t="s">
        <v>604</v>
      </c>
      <c r="E95" s="64"/>
      <c r="F95" s="94">
        <v>1</v>
      </c>
      <c r="G95" s="506">
        <f xml:space="preserve"> (4*0.88) + (2*3.36) + (2*5.03)</f>
        <v>20.3</v>
      </c>
      <c r="H95" s="511"/>
      <c r="I95" s="155">
        <v>0.39500000000000002</v>
      </c>
      <c r="J95" s="82"/>
      <c r="K95" s="99">
        <f t="shared" si="7"/>
        <v>8.0185000000000013</v>
      </c>
      <c r="L95" s="82"/>
      <c r="M95" s="82"/>
      <c r="N95" s="86"/>
    </row>
    <row r="96" spans="2:14" x14ac:dyDescent="0.25">
      <c r="B96" s="49"/>
      <c r="C96" s="57"/>
      <c r="D96" s="144" t="s">
        <v>605</v>
      </c>
      <c r="E96" s="64"/>
      <c r="F96" s="94">
        <v>1</v>
      </c>
      <c r="G96" s="506">
        <f xml:space="preserve"> (2*3.18) + (2*3.18)</f>
        <v>12.72</v>
      </c>
      <c r="H96" s="511"/>
      <c r="I96" s="155">
        <v>0.39500000000000002</v>
      </c>
      <c r="J96" s="82"/>
      <c r="K96" s="99">
        <f t="shared" si="7"/>
        <v>5.0244000000000009</v>
      </c>
      <c r="L96" s="82"/>
      <c r="M96" s="82"/>
      <c r="N96" s="86"/>
    </row>
    <row r="97" spans="2:14" x14ac:dyDescent="0.25">
      <c r="B97" s="49"/>
      <c r="C97" s="57"/>
      <c r="D97" s="144" t="s">
        <v>606</v>
      </c>
      <c r="E97" s="64"/>
      <c r="F97" s="94">
        <v>1</v>
      </c>
      <c r="G97" s="506">
        <f xml:space="preserve"> (4*2.15)</f>
        <v>8.6</v>
      </c>
      <c r="H97" s="511"/>
      <c r="I97" s="155">
        <v>0.39500000000000002</v>
      </c>
      <c r="J97" s="82"/>
      <c r="K97" s="99">
        <f t="shared" si="7"/>
        <v>3.3969999999999998</v>
      </c>
      <c r="L97" s="82"/>
      <c r="M97" s="82"/>
      <c r="N97" s="86"/>
    </row>
    <row r="98" spans="2:14" x14ac:dyDescent="0.25">
      <c r="B98" s="49"/>
      <c r="C98" s="57"/>
      <c r="D98" s="144" t="s">
        <v>607</v>
      </c>
      <c r="E98" s="64"/>
      <c r="F98" s="94">
        <v>1</v>
      </c>
      <c r="G98" s="506">
        <f xml:space="preserve"> (4*6.99)</f>
        <v>27.96</v>
      </c>
      <c r="H98" s="511"/>
      <c r="I98" s="155">
        <v>0.39500000000000002</v>
      </c>
      <c r="J98" s="82"/>
      <c r="K98" s="99">
        <f t="shared" si="7"/>
        <v>11.0442</v>
      </c>
      <c r="L98" s="82"/>
      <c r="M98" s="82"/>
      <c r="N98" s="86"/>
    </row>
    <row r="99" spans="2:14" ht="33.75" x14ac:dyDescent="0.25">
      <c r="B99" s="49" t="s">
        <v>63</v>
      </c>
      <c r="C99" s="57">
        <v>94966</v>
      </c>
      <c r="D99" s="52" t="s">
        <v>65</v>
      </c>
      <c r="E99" s="64" t="s">
        <v>41</v>
      </c>
      <c r="F99" s="94"/>
      <c r="G99" s="104"/>
      <c r="H99" s="92"/>
      <c r="I99" s="105"/>
      <c r="J99" s="99">
        <f>'BOLETIM DE MEDIÇÃO 05'!O30-'MEMORIAL DE CALCULO 02'!K99</f>
        <v>12.746919999999998</v>
      </c>
      <c r="K99" s="81">
        <f>SUM(K101:K147)</f>
        <v>8.4130549999999982</v>
      </c>
      <c r="L99" s="82">
        <f t="shared" si="0"/>
        <v>21.159974999999996</v>
      </c>
      <c r="M99" s="82">
        <f>'BOLETIM DE MEDIÇÃO 05'!G30</f>
        <v>21.16</v>
      </c>
      <c r="N99" s="86">
        <f t="shared" si="1"/>
        <v>2.5000000004382628E-5</v>
      </c>
    </row>
    <row r="100" spans="2:14" x14ac:dyDescent="0.25">
      <c r="B100" s="49"/>
      <c r="C100" s="57"/>
      <c r="D100" s="160" t="s">
        <v>588</v>
      </c>
      <c r="E100" s="64"/>
      <c r="F100" s="94"/>
      <c r="G100" s="506"/>
      <c r="H100" s="507"/>
      <c r="I100" s="508"/>
      <c r="J100" s="99"/>
      <c r="K100" s="82"/>
      <c r="L100" s="82"/>
      <c r="M100" s="82"/>
      <c r="N100" s="86"/>
    </row>
    <row r="101" spans="2:14" ht="33.75" x14ac:dyDescent="0.25">
      <c r="B101" s="49"/>
      <c r="C101" s="57"/>
      <c r="D101" s="144" t="s">
        <v>569</v>
      </c>
      <c r="E101" s="64"/>
      <c r="F101" s="94">
        <v>32</v>
      </c>
      <c r="G101" s="104">
        <v>0.6</v>
      </c>
      <c r="H101" s="92">
        <v>0.7</v>
      </c>
      <c r="I101" s="105">
        <v>0.25</v>
      </c>
      <c r="J101" s="99"/>
      <c r="K101" s="82">
        <f>F101*(G101*H101*I101)</f>
        <v>3.36</v>
      </c>
      <c r="L101" s="82"/>
      <c r="M101" s="82"/>
      <c r="N101" s="86"/>
    </row>
    <row r="102" spans="2:14" ht="45" x14ac:dyDescent="0.25">
      <c r="B102" s="49"/>
      <c r="C102" s="57"/>
      <c r="D102" s="144" t="s">
        <v>570</v>
      </c>
      <c r="E102" s="64"/>
      <c r="F102" s="94">
        <v>41</v>
      </c>
      <c r="G102" s="104">
        <v>0.6</v>
      </c>
      <c r="H102" s="92">
        <v>0.7</v>
      </c>
      <c r="I102" s="105">
        <v>0.25</v>
      </c>
      <c r="J102" s="99"/>
      <c r="K102" s="82">
        <f t="shared" ref="K102:K107" si="8">F102*(G102*H102*I102)</f>
        <v>4.3049999999999997</v>
      </c>
      <c r="L102" s="82"/>
      <c r="M102" s="82"/>
      <c r="N102" s="86"/>
    </row>
    <row r="103" spans="2:14" x14ac:dyDescent="0.25">
      <c r="B103" s="49"/>
      <c r="C103" s="57"/>
      <c r="D103" s="144" t="s">
        <v>571</v>
      </c>
      <c r="E103" s="64"/>
      <c r="F103" s="94">
        <v>1</v>
      </c>
      <c r="G103" s="104">
        <v>0.6</v>
      </c>
      <c r="H103" s="92">
        <v>0.8</v>
      </c>
      <c r="I103" s="105">
        <v>0.25</v>
      </c>
      <c r="J103" s="99"/>
      <c r="K103" s="82">
        <f t="shared" si="8"/>
        <v>0.12</v>
      </c>
      <c r="L103" s="82"/>
      <c r="M103" s="82"/>
      <c r="N103" s="86"/>
    </row>
    <row r="104" spans="2:14" x14ac:dyDescent="0.25">
      <c r="B104" s="49"/>
      <c r="C104" s="57"/>
      <c r="D104" s="144" t="s">
        <v>572</v>
      </c>
      <c r="E104" s="64"/>
      <c r="F104" s="94">
        <v>2</v>
      </c>
      <c r="G104" s="104">
        <v>0.9</v>
      </c>
      <c r="H104" s="92">
        <v>0.9</v>
      </c>
      <c r="I104" s="105">
        <v>0.25</v>
      </c>
      <c r="J104" s="99"/>
      <c r="K104" s="82">
        <f t="shared" si="8"/>
        <v>0.40500000000000003</v>
      </c>
      <c r="L104" s="82"/>
      <c r="M104" s="82"/>
      <c r="N104" s="86"/>
    </row>
    <row r="105" spans="2:14" x14ac:dyDescent="0.25">
      <c r="B105" s="49"/>
      <c r="C105" s="57"/>
      <c r="D105" s="144" t="s">
        <v>573</v>
      </c>
      <c r="E105" s="64"/>
      <c r="F105" s="94">
        <v>7</v>
      </c>
      <c r="G105" s="104">
        <v>0.65</v>
      </c>
      <c r="H105" s="92">
        <v>0.65</v>
      </c>
      <c r="I105" s="105">
        <v>0.25</v>
      </c>
      <c r="J105" s="99"/>
      <c r="K105" s="82">
        <f t="shared" si="8"/>
        <v>0.73937500000000012</v>
      </c>
      <c r="L105" s="82"/>
      <c r="M105" s="82"/>
      <c r="N105" s="86"/>
    </row>
    <row r="106" spans="2:14" x14ac:dyDescent="0.25">
      <c r="B106" s="49"/>
      <c r="C106" s="57"/>
      <c r="D106" s="144" t="s">
        <v>574</v>
      </c>
      <c r="E106" s="64"/>
      <c r="F106" s="94">
        <v>3</v>
      </c>
      <c r="G106" s="104">
        <v>0.65</v>
      </c>
      <c r="H106" s="92">
        <v>0.75</v>
      </c>
      <c r="I106" s="105">
        <v>0.25</v>
      </c>
      <c r="J106" s="99"/>
      <c r="K106" s="82">
        <f t="shared" si="8"/>
        <v>0.36562500000000003</v>
      </c>
      <c r="L106" s="82"/>
      <c r="M106" s="82"/>
      <c r="N106" s="86"/>
    </row>
    <row r="107" spans="2:14" x14ac:dyDescent="0.25">
      <c r="B107" s="49"/>
      <c r="C107" s="57"/>
      <c r="D107" s="144" t="s">
        <v>575</v>
      </c>
      <c r="E107" s="64"/>
      <c r="F107" s="94">
        <v>2</v>
      </c>
      <c r="G107" s="104">
        <v>0.55000000000000004</v>
      </c>
      <c r="H107" s="92">
        <v>0.95</v>
      </c>
      <c r="I107" s="105">
        <v>0.25</v>
      </c>
      <c r="J107" s="99"/>
      <c r="K107" s="82">
        <f t="shared" si="8"/>
        <v>0.26124999999999998</v>
      </c>
      <c r="L107" s="82"/>
      <c r="M107" s="82"/>
      <c r="N107" s="86"/>
    </row>
    <row r="108" spans="2:14" ht="22.9" customHeight="1" x14ac:dyDescent="0.25">
      <c r="B108" s="49"/>
      <c r="C108" s="57"/>
      <c r="D108" s="152" t="s">
        <v>646</v>
      </c>
      <c r="E108" s="64"/>
      <c r="F108" s="94"/>
      <c r="G108" s="509" t="s">
        <v>679</v>
      </c>
      <c r="H108" s="510"/>
      <c r="I108" s="105" t="s">
        <v>651</v>
      </c>
      <c r="J108" s="99"/>
      <c r="K108" s="82"/>
      <c r="L108" s="82"/>
      <c r="M108" s="82"/>
      <c r="N108" s="86"/>
    </row>
    <row r="109" spans="2:14" x14ac:dyDescent="0.25">
      <c r="B109" s="49"/>
      <c r="C109" s="57"/>
      <c r="D109" s="144" t="s">
        <v>614</v>
      </c>
      <c r="E109" s="64"/>
      <c r="F109" s="94">
        <v>1</v>
      </c>
      <c r="G109" s="506" t="s">
        <v>680</v>
      </c>
      <c r="H109" s="511"/>
      <c r="I109" s="105">
        <v>1.85</v>
      </c>
      <c r="J109" s="99"/>
      <c r="K109" s="82">
        <f xml:space="preserve"> (0.15*0.25)*I109*2</f>
        <v>0.13875000000000001</v>
      </c>
      <c r="L109" s="82"/>
      <c r="M109" s="82"/>
      <c r="N109" s="86"/>
    </row>
    <row r="110" spans="2:14" x14ac:dyDescent="0.25">
      <c r="B110" s="49"/>
      <c r="C110" s="57"/>
      <c r="D110" s="144" t="s">
        <v>633</v>
      </c>
      <c r="E110" s="64"/>
      <c r="F110" s="94">
        <v>1</v>
      </c>
      <c r="G110" s="506" t="s">
        <v>681</v>
      </c>
      <c r="H110" s="511"/>
      <c r="I110" s="105">
        <v>1.87</v>
      </c>
      <c r="J110" s="99"/>
      <c r="K110" s="82">
        <f xml:space="preserve"> ((0.2*0.25)*I110) + ((0.15*0.3)*I110)</f>
        <v>0.17765000000000003</v>
      </c>
      <c r="L110" s="82"/>
      <c r="M110" s="82"/>
      <c r="N110" s="86"/>
    </row>
    <row r="111" spans="2:14" ht="21" customHeight="1" x14ac:dyDescent="0.25">
      <c r="B111" s="49"/>
      <c r="C111" s="57"/>
      <c r="D111" s="144" t="s">
        <v>629</v>
      </c>
      <c r="E111" s="64"/>
      <c r="F111" s="94">
        <v>1</v>
      </c>
      <c r="G111" s="506" t="s">
        <v>682</v>
      </c>
      <c r="H111" s="511"/>
      <c r="I111" s="105">
        <v>1.9</v>
      </c>
      <c r="J111" s="99"/>
      <c r="K111" s="82">
        <f xml:space="preserve"> ((0.2*0.25)*3*I111) + ((0.2*0.2)*I111) + ((0.15*0.2)*I111)</f>
        <v>0.41800000000000004</v>
      </c>
      <c r="L111" s="82"/>
      <c r="M111" s="82"/>
      <c r="N111" s="86"/>
    </row>
    <row r="112" spans="2:14" x14ac:dyDescent="0.25">
      <c r="B112" s="49"/>
      <c r="C112" s="57"/>
      <c r="D112" s="144" t="s">
        <v>630</v>
      </c>
      <c r="E112" s="64"/>
      <c r="F112" s="94">
        <v>1</v>
      </c>
      <c r="G112" s="506" t="s">
        <v>684</v>
      </c>
      <c r="H112" s="511"/>
      <c r="I112" s="105">
        <v>1.92</v>
      </c>
      <c r="J112" s="99"/>
      <c r="K112" s="82">
        <f xml:space="preserve"> ((0.2*0.25)*I112) + ((0.15*0.25)*I112*2)</f>
        <v>0.24</v>
      </c>
      <c r="L112" s="82"/>
      <c r="M112" s="82"/>
      <c r="N112" s="86"/>
    </row>
    <row r="113" spans="2:14" x14ac:dyDescent="0.25">
      <c r="B113" s="49"/>
      <c r="C113" s="57"/>
      <c r="D113" s="144" t="s">
        <v>615</v>
      </c>
      <c r="E113" s="64"/>
      <c r="F113" s="94">
        <v>1</v>
      </c>
      <c r="G113" s="506" t="s">
        <v>683</v>
      </c>
      <c r="H113" s="511"/>
      <c r="I113" s="86">
        <v>1.94</v>
      </c>
      <c r="J113" s="99"/>
      <c r="K113" s="82">
        <f xml:space="preserve"> ((0.15*0.3)*I113*3)</f>
        <v>0.26189999999999997</v>
      </c>
      <c r="L113" s="82"/>
      <c r="M113" s="82"/>
      <c r="N113" s="86"/>
    </row>
    <row r="114" spans="2:14" ht="22.5" x14ac:dyDescent="0.25">
      <c r="B114" s="49"/>
      <c r="C114" s="57"/>
      <c r="D114" s="144" t="s">
        <v>616</v>
      </c>
      <c r="E114" s="64"/>
      <c r="F114" s="94">
        <v>1</v>
      </c>
      <c r="G114" s="506" t="s">
        <v>685</v>
      </c>
      <c r="H114" s="511"/>
      <c r="I114" s="86">
        <v>1.96</v>
      </c>
      <c r="J114" s="99"/>
      <c r="K114" s="82">
        <f xml:space="preserve"> ((0.2*0.25)*I114*3) + ((0.15*0.25)*I114*2)</f>
        <v>0.44100000000000006</v>
      </c>
      <c r="L114" s="82"/>
      <c r="M114" s="82"/>
      <c r="N114" s="86"/>
    </row>
    <row r="115" spans="2:14" ht="22.5" x14ac:dyDescent="0.25">
      <c r="B115" s="49"/>
      <c r="C115" s="57"/>
      <c r="D115" s="144" t="s">
        <v>617</v>
      </c>
      <c r="E115" s="64"/>
      <c r="F115" s="94">
        <v>1</v>
      </c>
      <c r="G115" s="509" t="s">
        <v>686</v>
      </c>
      <c r="H115" s="510"/>
      <c r="I115" s="86">
        <v>1.95</v>
      </c>
      <c r="J115" s="99"/>
      <c r="K115" s="82">
        <f xml:space="preserve"> ((0.2*0.25)*I115*3) + ((0.15*0.25)*I115*2) + ((0.2*0.3)*I115)</f>
        <v>0.55574999999999997</v>
      </c>
      <c r="L115" s="82"/>
      <c r="M115" s="82"/>
      <c r="N115" s="86"/>
    </row>
    <row r="116" spans="2:14" x14ac:dyDescent="0.25">
      <c r="B116" s="49"/>
      <c r="C116" s="57"/>
      <c r="D116" s="144" t="s">
        <v>618</v>
      </c>
      <c r="E116" s="64"/>
      <c r="F116" s="94">
        <v>1</v>
      </c>
      <c r="G116" s="506" t="s">
        <v>687</v>
      </c>
      <c r="H116" s="511"/>
      <c r="I116" s="86">
        <v>1.97</v>
      </c>
      <c r="J116" s="99"/>
      <c r="K116" s="82">
        <f xml:space="preserve"> ((0.2 * 0.25)*I116*2) + ((0.15*0.25)*I116*1)</f>
        <v>0.27087499999999998</v>
      </c>
      <c r="L116" s="82"/>
      <c r="M116" s="82"/>
      <c r="N116" s="86"/>
    </row>
    <row r="117" spans="2:14" x14ac:dyDescent="0.25">
      <c r="B117" s="49"/>
      <c r="C117" s="57"/>
      <c r="D117" s="144" t="s">
        <v>631</v>
      </c>
      <c r="E117" s="64"/>
      <c r="F117" s="94">
        <v>1</v>
      </c>
      <c r="G117" s="506" t="s">
        <v>688</v>
      </c>
      <c r="H117" s="511"/>
      <c r="I117" s="86">
        <v>1.9</v>
      </c>
      <c r="J117" s="99"/>
      <c r="K117" s="82">
        <f xml:space="preserve"> ((0.15 * 0.25)*I117*3)</f>
        <v>0.21375</v>
      </c>
      <c r="L117" s="82"/>
      <c r="M117" s="82"/>
      <c r="N117" s="86"/>
    </row>
    <row r="118" spans="2:14" ht="22.15" customHeight="1" x14ac:dyDescent="0.25">
      <c r="B118" s="49"/>
      <c r="C118" s="57"/>
      <c r="D118" s="144" t="s">
        <v>632</v>
      </c>
      <c r="E118" s="64"/>
      <c r="F118" s="94">
        <v>1</v>
      </c>
      <c r="G118" s="509" t="s">
        <v>689</v>
      </c>
      <c r="H118" s="510"/>
      <c r="I118" s="86">
        <v>1.86</v>
      </c>
      <c r="J118" s="99"/>
      <c r="K118" s="82">
        <f xml:space="preserve"> ((0.2*0.25)*I118) + ((0.15*0.25)*I118) + ((0.2*0.35)*I118)</f>
        <v>0.29294999999999999</v>
      </c>
      <c r="L118" s="82"/>
      <c r="M118" s="82"/>
      <c r="N118" s="86"/>
    </row>
    <row r="119" spans="2:14" x14ac:dyDescent="0.25">
      <c r="B119" s="49"/>
      <c r="C119" s="57"/>
      <c r="D119" s="144" t="s">
        <v>634</v>
      </c>
      <c r="E119" s="64"/>
      <c r="F119" s="94">
        <v>1</v>
      </c>
      <c r="G119" s="506" t="s">
        <v>690</v>
      </c>
      <c r="H119" s="511"/>
      <c r="I119" s="86">
        <v>1.87</v>
      </c>
      <c r="J119" s="99"/>
      <c r="K119" s="82">
        <f xml:space="preserve"> ((0.2*0.25)*I119) + ((0.15*0.3)*2*I119)</f>
        <v>0.26180000000000003</v>
      </c>
      <c r="L119" s="82"/>
      <c r="M119" s="82"/>
      <c r="N119" s="86"/>
    </row>
    <row r="120" spans="2:14" ht="27" customHeight="1" x14ac:dyDescent="0.25">
      <c r="B120" s="49"/>
      <c r="C120" s="57"/>
      <c r="D120" s="144" t="s">
        <v>619</v>
      </c>
      <c r="E120" s="64"/>
      <c r="F120" s="94">
        <v>1</v>
      </c>
      <c r="G120" s="509" t="s">
        <v>691</v>
      </c>
      <c r="H120" s="510"/>
      <c r="I120" s="86">
        <v>1.9</v>
      </c>
      <c r="J120" s="99"/>
      <c r="K120" s="82">
        <f xml:space="preserve"> ((0.2*0.3)*I120) + ((0.15*0.3)*I120) +  ((0.15*0.25)*I120) + ((0.15*0.35)*I120)</f>
        <v>0.3705</v>
      </c>
      <c r="L120" s="82"/>
      <c r="M120" s="82"/>
      <c r="N120" s="86"/>
    </row>
    <row r="121" spans="2:14" x14ac:dyDescent="0.25">
      <c r="B121" s="49"/>
      <c r="C121" s="57"/>
      <c r="D121" s="144" t="s">
        <v>620</v>
      </c>
      <c r="E121" s="64"/>
      <c r="F121" s="94">
        <v>1</v>
      </c>
      <c r="G121" s="506" t="s">
        <v>692</v>
      </c>
      <c r="H121" s="511"/>
      <c r="I121" s="86">
        <v>1.91</v>
      </c>
      <c r="J121" s="99"/>
      <c r="K121" s="82">
        <f>((0.15*0.25)*I121) +  ((0.2*0.3)*I121)</f>
        <v>0.18622499999999997</v>
      </c>
      <c r="L121" s="82"/>
      <c r="M121" s="82"/>
      <c r="N121" s="86"/>
    </row>
    <row r="122" spans="2:14" ht="22.5" x14ac:dyDescent="0.25">
      <c r="B122" s="49"/>
      <c r="C122" s="57"/>
      <c r="D122" s="144" t="s">
        <v>621</v>
      </c>
      <c r="E122" s="64"/>
      <c r="F122" s="94">
        <v>1</v>
      </c>
      <c r="G122" s="506" t="s">
        <v>693</v>
      </c>
      <c r="H122" s="511"/>
      <c r="I122" s="86">
        <v>1.94</v>
      </c>
      <c r="J122" s="99"/>
      <c r="K122" s="82">
        <f>((0.15*0.25)*5*I122) +  ((0.25*0.25)*I122)</f>
        <v>0.48499999999999999</v>
      </c>
      <c r="L122" s="82"/>
      <c r="M122" s="82"/>
      <c r="N122" s="86"/>
    </row>
    <row r="123" spans="2:14" ht="25.15" customHeight="1" x14ac:dyDescent="0.25">
      <c r="B123" s="49"/>
      <c r="C123" s="57"/>
      <c r="D123" s="144" t="s">
        <v>622</v>
      </c>
      <c r="E123" s="64"/>
      <c r="F123" s="94">
        <v>1</v>
      </c>
      <c r="G123" s="509" t="s">
        <v>694</v>
      </c>
      <c r="H123" s="510"/>
      <c r="I123" s="86">
        <v>1.93</v>
      </c>
      <c r="J123" s="99"/>
      <c r="K123" s="82">
        <f xml:space="preserve"> ((0.2*0.25)*I123) + ((0.15*0.25)*I123) + ((0.25*0.25)*I123)</f>
        <v>0.28949999999999998</v>
      </c>
      <c r="L123" s="82"/>
      <c r="M123" s="82"/>
      <c r="N123" s="86"/>
    </row>
    <row r="124" spans="2:14" x14ac:dyDescent="0.25">
      <c r="B124" s="49"/>
      <c r="C124" s="57"/>
      <c r="D124" s="144" t="s">
        <v>635</v>
      </c>
      <c r="E124" s="64"/>
      <c r="F124" s="94">
        <v>1</v>
      </c>
      <c r="G124" s="506" t="s">
        <v>695</v>
      </c>
      <c r="H124" s="511"/>
      <c r="I124" s="86">
        <v>1.92</v>
      </c>
      <c r="J124" s="99"/>
      <c r="K124" s="82">
        <f xml:space="preserve"> ((0.15*0.25)*2*I124) + ((0.25*0.25)*I124)</f>
        <v>0.26400000000000001</v>
      </c>
      <c r="L124" s="82"/>
      <c r="M124" s="82"/>
      <c r="N124" s="86"/>
    </row>
    <row r="125" spans="2:14" x14ac:dyDescent="0.25">
      <c r="B125" s="49"/>
      <c r="C125" s="57"/>
      <c r="D125" s="144" t="s">
        <v>623</v>
      </c>
      <c r="E125" s="64"/>
      <c r="F125" s="94">
        <v>1</v>
      </c>
      <c r="G125" s="506" t="s">
        <v>696</v>
      </c>
      <c r="H125" s="511"/>
      <c r="I125" s="86">
        <v>1.87</v>
      </c>
      <c r="J125" s="99"/>
      <c r="K125" s="82">
        <f xml:space="preserve"> ((0.15*0.25)*2*I125) + ((0.2*0.25)*2*I125)</f>
        <v>0.32725000000000004</v>
      </c>
      <c r="L125" s="82"/>
      <c r="M125" s="82"/>
      <c r="N125" s="86"/>
    </row>
    <row r="126" spans="2:14" x14ac:dyDescent="0.25">
      <c r="B126" s="49"/>
      <c r="C126" s="57"/>
      <c r="D126" s="144" t="s">
        <v>624</v>
      </c>
      <c r="E126" s="64"/>
      <c r="F126" s="94">
        <v>1</v>
      </c>
      <c r="G126" s="506" t="s">
        <v>697</v>
      </c>
      <c r="H126" s="511"/>
      <c r="I126" s="86">
        <v>1.88</v>
      </c>
      <c r="J126" s="99"/>
      <c r="K126" s="82">
        <f xml:space="preserve"> ((0.15*0.25)*3*I126) + ((0.2*0.25)*I126)</f>
        <v>0.30549999999999999</v>
      </c>
      <c r="L126" s="82"/>
      <c r="M126" s="82"/>
      <c r="N126" s="86"/>
    </row>
    <row r="127" spans="2:14" x14ac:dyDescent="0.25">
      <c r="B127" s="49"/>
      <c r="C127" s="57"/>
      <c r="D127" s="144" t="s">
        <v>625</v>
      </c>
      <c r="E127" s="64"/>
      <c r="F127" s="94">
        <v>1</v>
      </c>
      <c r="G127" s="506" t="s">
        <v>698</v>
      </c>
      <c r="H127" s="511"/>
      <c r="I127" s="86">
        <v>1.9</v>
      </c>
      <c r="J127" s="99"/>
      <c r="K127" s="82">
        <f xml:space="preserve"> ((0.2*0.25)*3*I127) + ((0.25*0.25)*I127)</f>
        <v>0.40375000000000005</v>
      </c>
      <c r="L127" s="82"/>
      <c r="M127" s="82"/>
      <c r="N127" s="86"/>
    </row>
    <row r="128" spans="2:14" x14ac:dyDescent="0.25">
      <c r="B128" s="49"/>
      <c r="C128" s="57"/>
      <c r="D128" s="144" t="s">
        <v>637</v>
      </c>
      <c r="E128" s="64"/>
      <c r="F128" s="94">
        <v>1</v>
      </c>
      <c r="G128" s="506" t="s">
        <v>699</v>
      </c>
      <c r="H128" s="511"/>
      <c r="I128" s="86">
        <v>1.9</v>
      </c>
      <c r="J128" s="99"/>
      <c r="K128" s="82">
        <f xml:space="preserve"> ((0.2*0.2)*I128)</f>
        <v>7.6000000000000012E-2</v>
      </c>
      <c r="L128" s="82"/>
      <c r="M128" s="82"/>
      <c r="N128" s="86"/>
    </row>
    <row r="129" spans="2:14" x14ac:dyDescent="0.25">
      <c r="B129" s="49"/>
      <c r="C129" s="57"/>
      <c r="D129" s="144" t="s">
        <v>636</v>
      </c>
      <c r="E129" s="64"/>
      <c r="F129" s="94">
        <v>1</v>
      </c>
      <c r="G129" s="506" t="s">
        <v>700</v>
      </c>
      <c r="H129" s="511"/>
      <c r="I129" s="86">
        <v>1.97</v>
      </c>
      <c r="J129" s="99"/>
      <c r="K129" s="82">
        <f xml:space="preserve"> ((0.2*0.25)*I129) + ((0.15*0.25)*I129)</f>
        <v>0.172375</v>
      </c>
      <c r="L129" s="82"/>
      <c r="M129" s="82"/>
      <c r="N129" s="86"/>
    </row>
    <row r="130" spans="2:14" x14ac:dyDescent="0.25">
      <c r="B130" s="49"/>
      <c r="C130" s="57"/>
      <c r="D130" s="144" t="s">
        <v>638</v>
      </c>
      <c r="E130" s="64"/>
      <c r="F130" s="94">
        <v>1</v>
      </c>
      <c r="G130" s="506" t="s">
        <v>701</v>
      </c>
      <c r="H130" s="511"/>
      <c r="I130" s="86">
        <v>2</v>
      </c>
      <c r="J130" s="99"/>
      <c r="K130" s="82">
        <f>((0.2*0.25)*I130) + ((0.15*0.25)*2*I130)</f>
        <v>0.25</v>
      </c>
      <c r="L130" s="82"/>
      <c r="M130" s="82"/>
      <c r="N130" s="86"/>
    </row>
    <row r="131" spans="2:14" ht="22.5" x14ac:dyDescent="0.25">
      <c r="B131" s="49"/>
      <c r="C131" s="57"/>
      <c r="D131" s="144" t="s">
        <v>626</v>
      </c>
      <c r="E131" s="64"/>
      <c r="F131" s="94">
        <v>1</v>
      </c>
      <c r="G131" s="509" t="s">
        <v>702</v>
      </c>
      <c r="H131" s="510"/>
      <c r="I131" s="86">
        <v>2.0099999999999998</v>
      </c>
      <c r="J131" s="99"/>
      <c r="K131" s="82">
        <f>((0.2*0.3)*I131) + ((0.15*0.25)*5*I131)  + ((0.25*0.25)*I131)</f>
        <v>0.62309999999999999</v>
      </c>
      <c r="L131" s="82"/>
      <c r="M131" s="82"/>
      <c r="N131" s="86"/>
    </row>
    <row r="132" spans="2:14" x14ac:dyDescent="0.25">
      <c r="B132" s="49"/>
      <c r="C132" s="57"/>
      <c r="D132" s="144" t="s">
        <v>639</v>
      </c>
      <c r="E132" s="64"/>
      <c r="F132" s="94">
        <v>1</v>
      </c>
      <c r="G132" s="506" t="s">
        <v>704</v>
      </c>
      <c r="H132" s="511"/>
      <c r="I132" s="86">
        <v>1.86</v>
      </c>
      <c r="J132" s="99"/>
      <c r="K132" s="82">
        <f xml:space="preserve"> ((0.15*0.3)*I132)</f>
        <v>8.3699999999999997E-2</v>
      </c>
      <c r="L132" s="82"/>
      <c r="M132" s="82"/>
      <c r="N132" s="86"/>
    </row>
    <row r="133" spans="2:14" x14ac:dyDescent="0.25">
      <c r="B133" s="49"/>
      <c r="C133" s="57"/>
      <c r="D133" s="144" t="s">
        <v>640</v>
      </c>
      <c r="E133" s="64"/>
      <c r="F133" s="94">
        <v>1</v>
      </c>
      <c r="G133" s="506" t="s">
        <v>703</v>
      </c>
      <c r="H133" s="511"/>
      <c r="I133" s="86">
        <v>1.87</v>
      </c>
      <c r="J133" s="99"/>
      <c r="K133" s="82">
        <f xml:space="preserve"> ((0.15*0.3)*I133)</f>
        <v>8.4150000000000003E-2</v>
      </c>
      <c r="L133" s="82"/>
      <c r="M133" s="82"/>
      <c r="N133" s="86"/>
    </row>
    <row r="134" spans="2:14" x14ac:dyDescent="0.25">
      <c r="B134" s="49"/>
      <c r="C134" s="57"/>
      <c r="D134" s="144" t="s">
        <v>641</v>
      </c>
      <c r="E134" s="64"/>
      <c r="F134" s="94">
        <v>1</v>
      </c>
      <c r="G134" s="506" t="s">
        <v>703</v>
      </c>
      <c r="H134" s="511"/>
      <c r="I134" s="86">
        <v>1.89</v>
      </c>
      <c r="J134" s="99"/>
      <c r="K134" s="82">
        <f xml:space="preserve"> ((0.15*0.5)*I134)</f>
        <v>0.14174999999999999</v>
      </c>
      <c r="L134" s="82"/>
      <c r="M134" s="82"/>
      <c r="N134" s="86"/>
    </row>
    <row r="135" spans="2:14" x14ac:dyDescent="0.25">
      <c r="B135" s="49"/>
      <c r="C135" s="57"/>
      <c r="D135" s="144" t="s">
        <v>642</v>
      </c>
      <c r="E135" s="64"/>
      <c r="F135" s="94">
        <v>1</v>
      </c>
      <c r="G135" s="506" t="s">
        <v>705</v>
      </c>
      <c r="H135" s="511"/>
      <c r="I135" s="86">
        <v>1.9</v>
      </c>
      <c r="J135" s="99"/>
      <c r="K135" s="82">
        <f xml:space="preserve"> ((0.15*0.25)*I135)</f>
        <v>7.1249999999999994E-2</v>
      </c>
      <c r="L135" s="82"/>
      <c r="M135" s="82"/>
      <c r="N135" s="86"/>
    </row>
    <row r="136" spans="2:14" x14ac:dyDescent="0.25">
      <c r="B136" s="49"/>
      <c r="C136" s="57"/>
      <c r="D136" s="144" t="s">
        <v>643</v>
      </c>
      <c r="E136" s="64"/>
      <c r="F136" s="94">
        <v>1</v>
      </c>
      <c r="G136" s="506" t="s">
        <v>704</v>
      </c>
      <c r="H136" s="511"/>
      <c r="I136" s="86">
        <v>1.92</v>
      </c>
      <c r="J136" s="99"/>
      <c r="K136" s="82">
        <f t="shared" ref="K136" si="9" xml:space="preserve"> ((0.15*0.3)*I136)</f>
        <v>8.6399999999999991E-2</v>
      </c>
      <c r="L136" s="82"/>
      <c r="M136" s="82"/>
      <c r="N136" s="86"/>
    </row>
    <row r="137" spans="2:14" x14ac:dyDescent="0.25">
      <c r="B137" s="49"/>
      <c r="C137" s="57"/>
      <c r="D137" s="144" t="s">
        <v>644</v>
      </c>
      <c r="E137" s="64"/>
      <c r="F137" s="94">
        <v>1</v>
      </c>
      <c r="G137" s="506" t="s">
        <v>705</v>
      </c>
      <c r="H137" s="511"/>
      <c r="I137" s="86">
        <v>1.9</v>
      </c>
      <c r="J137" s="99"/>
      <c r="K137" s="82">
        <f xml:space="preserve"> ((0.15*0.25)*I137)</f>
        <v>7.1249999999999994E-2</v>
      </c>
      <c r="L137" s="82"/>
      <c r="M137" s="82"/>
      <c r="N137" s="86"/>
    </row>
    <row r="138" spans="2:14" x14ac:dyDescent="0.25">
      <c r="B138" s="49"/>
      <c r="C138" s="57"/>
      <c r="D138" s="144" t="s">
        <v>645</v>
      </c>
      <c r="E138" s="64"/>
      <c r="F138" s="94">
        <v>1</v>
      </c>
      <c r="G138" s="506" t="s">
        <v>704</v>
      </c>
      <c r="H138" s="511"/>
      <c r="I138" s="86">
        <v>1.98</v>
      </c>
      <c r="J138" s="99"/>
      <c r="K138" s="82">
        <f t="shared" ref="K138" si="10" xml:space="preserve"> ((0.15*0.3)*I138)</f>
        <v>8.9099999999999999E-2</v>
      </c>
      <c r="L138" s="82"/>
      <c r="M138" s="82"/>
      <c r="N138" s="86"/>
    </row>
    <row r="139" spans="2:14" x14ac:dyDescent="0.25">
      <c r="B139" s="49"/>
      <c r="C139" s="57"/>
      <c r="D139" s="144" t="s">
        <v>707</v>
      </c>
      <c r="E139" s="64"/>
      <c r="F139" s="94">
        <v>1</v>
      </c>
      <c r="G139" s="506">
        <v>9.6</v>
      </c>
      <c r="H139" s="507"/>
      <c r="I139" s="508"/>
      <c r="J139" s="99"/>
      <c r="K139" s="82">
        <f>F139*G139*-1</f>
        <v>-9.6</v>
      </c>
      <c r="L139" s="82"/>
      <c r="M139" s="82"/>
      <c r="N139" s="86"/>
    </row>
    <row r="140" spans="2:14" x14ac:dyDescent="0.25">
      <c r="B140" s="49"/>
      <c r="C140" s="57"/>
      <c r="D140" s="152" t="s">
        <v>610</v>
      </c>
      <c r="E140" s="64"/>
      <c r="F140" s="94"/>
      <c r="G140" s="104"/>
      <c r="H140" s="92"/>
      <c r="I140" s="105"/>
      <c r="J140" s="99"/>
      <c r="K140" s="81"/>
      <c r="L140" s="82"/>
      <c r="M140" s="82"/>
      <c r="N140" s="86"/>
    </row>
    <row r="141" spans="2:14" x14ac:dyDescent="0.25">
      <c r="B141" s="49"/>
      <c r="C141" s="57"/>
      <c r="D141" s="144" t="s">
        <v>601</v>
      </c>
      <c r="E141" s="64"/>
      <c r="F141" s="94">
        <v>1</v>
      </c>
      <c r="G141" s="104">
        <v>4.758</v>
      </c>
      <c r="H141" s="92">
        <v>0.15</v>
      </c>
      <c r="I141" s="105">
        <v>0.2</v>
      </c>
      <c r="J141" s="99"/>
      <c r="K141" s="82">
        <f>F141*(G141*H141*I141)</f>
        <v>0.14274000000000001</v>
      </c>
      <c r="L141" s="82"/>
      <c r="M141" s="82"/>
      <c r="N141" s="86"/>
    </row>
    <row r="142" spans="2:14" x14ac:dyDescent="0.25">
      <c r="B142" s="49"/>
      <c r="C142" s="57"/>
      <c r="D142" s="144" t="s">
        <v>602</v>
      </c>
      <c r="E142" s="64"/>
      <c r="F142" s="94">
        <v>1</v>
      </c>
      <c r="G142" s="104">
        <v>3.097</v>
      </c>
      <c r="H142" s="92">
        <v>0.15</v>
      </c>
      <c r="I142" s="105">
        <v>0.2</v>
      </c>
      <c r="J142" s="99"/>
      <c r="K142" s="82">
        <f t="shared" ref="K142:K147" si="11">F142*(G142*H142*I142)</f>
        <v>9.2909999999999993E-2</v>
      </c>
      <c r="L142" s="82"/>
      <c r="M142" s="82"/>
      <c r="N142" s="86"/>
    </row>
    <row r="143" spans="2:14" x14ac:dyDescent="0.25">
      <c r="B143" s="49"/>
      <c r="C143" s="57"/>
      <c r="D143" s="144" t="s">
        <v>603</v>
      </c>
      <c r="E143" s="64"/>
      <c r="F143" s="94">
        <v>1</v>
      </c>
      <c r="G143" s="104">
        <v>3.0470000000000002</v>
      </c>
      <c r="H143" s="92">
        <v>0.15</v>
      </c>
      <c r="I143" s="105">
        <v>0.2</v>
      </c>
      <c r="J143" s="99"/>
      <c r="K143" s="82">
        <f t="shared" si="11"/>
        <v>9.1410000000000005E-2</v>
      </c>
      <c r="L143" s="82"/>
      <c r="M143" s="82"/>
      <c r="N143" s="86"/>
    </row>
    <row r="144" spans="2:14" x14ac:dyDescent="0.25">
      <c r="B144" s="49"/>
      <c r="C144" s="57"/>
      <c r="D144" s="144" t="s">
        <v>604</v>
      </c>
      <c r="E144" s="64"/>
      <c r="F144" s="94">
        <v>1</v>
      </c>
      <c r="G144" s="104">
        <v>5.109</v>
      </c>
      <c r="H144" s="92">
        <v>0.15</v>
      </c>
      <c r="I144" s="105">
        <v>0.2</v>
      </c>
      <c r="J144" s="99"/>
      <c r="K144" s="82">
        <f t="shared" si="11"/>
        <v>0.15327000000000002</v>
      </c>
      <c r="L144" s="82"/>
      <c r="M144" s="82"/>
      <c r="N144" s="86"/>
    </row>
    <row r="145" spans="2:21" x14ac:dyDescent="0.25">
      <c r="B145" s="49"/>
      <c r="C145" s="57"/>
      <c r="D145" s="144" t="s">
        <v>605</v>
      </c>
      <c r="E145" s="64"/>
      <c r="F145" s="94">
        <v>1</v>
      </c>
      <c r="G145" s="104">
        <v>2.5640000000000001</v>
      </c>
      <c r="H145" s="92">
        <v>0.15</v>
      </c>
      <c r="I145" s="105">
        <v>0.2</v>
      </c>
      <c r="J145" s="99"/>
      <c r="K145" s="82">
        <f t="shared" si="11"/>
        <v>7.6920000000000002E-2</v>
      </c>
      <c r="L145" s="82"/>
      <c r="M145" s="82"/>
      <c r="N145" s="86"/>
    </row>
    <row r="146" spans="2:21" x14ac:dyDescent="0.25">
      <c r="B146" s="49"/>
      <c r="C146" s="57"/>
      <c r="D146" s="144" t="s">
        <v>606</v>
      </c>
      <c r="E146" s="64"/>
      <c r="F146" s="94">
        <v>1</v>
      </c>
      <c r="G146" s="104">
        <v>1.6779999999999999</v>
      </c>
      <c r="H146" s="92">
        <v>0.15</v>
      </c>
      <c r="I146" s="105">
        <v>0.2</v>
      </c>
      <c r="J146" s="99"/>
      <c r="K146" s="82">
        <f t="shared" si="11"/>
        <v>5.0339999999999996E-2</v>
      </c>
      <c r="L146" s="82"/>
      <c r="M146" s="82"/>
      <c r="N146" s="86"/>
    </row>
    <row r="147" spans="2:21" x14ac:dyDescent="0.25">
      <c r="B147" s="49"/>
      <c r="C147" s="57"/>
      <c r="D147" s="144" t="s">
        <v>607</v>
      </c>
      <c r="E147" s="64"/>
      <c r="F147" s="94">
        <v>1</v>
      </c>
      <c r="G147" s="104">
        <v>6.5330000000000004</v>
      </c>
      <c r="H147" s="92">
        <v>0.15</v>
      </c>
      <c r="I147" s="105">
        <v>0.2</v>
      </c>
      <c r="J147" s="99"/>
      <c r="K147" s="82">
        <f t="shared" si="11"/>
        <v>0.19599</v>
      </c>
      <c r="L147" s="82"/>
      <c r="M147" s="82"/>
      <c r="N147" s="86"/>
    </row>
    <row r="148" spans="2:21" ht="33.75" x14ac:dyDescent="0.25">
      <c r="B148" s="49" t="s">
        <v>66</v>
      </c>
      <c r="C148" s="57">
        <v>94964</v>
      </c>
      <c r="D148" s="52" t="s">
        <v>68</v>
      </c>
      <c r="E148" s="64" t="s">
        <v>41</v>
      </c>
      <c r="F148" s="94"/>
      <c r="G148" s="104"/>
      <c r="H148" s="92"/>
      <c r="I148" s="105"/>
      <c r="J148" s="99">
        <f>'BOLETIM DE MEDIÇÃO 05'!O31-'MEMORIAL DE CALCULO 02'!K148</f>
        <v>0</v>
      </c>
      <c r="K148" s="81">
        <f>G150</f>
        <v>9.6</v>
      </c>
      <c r="L148" s="82">
        <f t="shared" si="0"/>
        <v>9.6</v>
      </c>
      <c r="M148" s="82">
        <f>'BOLETIM DE MEDIÇÃO 05'!G31</f>
        <v>9.6</v>
      </c>
      <c r="N148" s="86">
        <f t="shared" si="1"/>
        <v>0</v>
      </c>
    </row>
    <row r="149" spans="2:21" x14ac:dyDescent="0.25">
      <c r="B149" s="49"/>
      <c r="C149" s="57"/>
      <c r="D149" s="160" t="s">
        <v>588</v>
      </c>
      <c r="E149" s="64"/>
      <c r="F149" s="94"/>
      <c r="G149" s="506"/>
      <c r="H149" s="507"/>
      <c r="I149" s="508"/>
      <c r="J149" s="99"/>
      <c r="K149" s="82"/>
      <c r="L149" s="82"/>
      <c r="M149" s="82"/>
      <c r="N149" s="86"/>
    </row>
    <row r="150" spans="2:21" x14ac:dyDescent="0.25">
      <c r="B150" s="49"/>
      <c r="C150" s="57"/>
      <c r="D150" s="144" t="s">
        <v>590</v>
      </c>
      <c r="E150" s="64"/>
      <c r="F150" s="94"/>
      <c r="G150" s="506">
        <v>9.6</v>
      </c>
      <c r="H150" s="507"/>
      <c r="I150" s="508"/>
      <c r="J150" s="99"/>
      <c r="K150" s="82"/>
      <c r="L150" s="82"/>
      <c r="M150" s="82"/>
      <c r="N150" s="86"/>
      <c r="S150" s="161"/>
      <c r="T150" s="161"/>
      <c r="U150" s="162"/>
    </row>
    <row r="151" spans="2:21" ht="22.5" x14ac:dyDescent="0.25">
      <c r="B151" s="49" t="s">
        <v>69</v>
      </c>
      <c r="C151" s="57">
        <v>103670</v>
      </c>
      <c r="D151" s="52" t="s">
        <v>71</v>
      </c>
      <c r="E151" s="64" t="s">
        <v>41</v>
      </c>
      <c r="F151" s="94"/>
      <c r="G151" s="104"/>
      <c r="H151" s="92"/>
      <c r="I151" s="105"/>
      <c r="J151" s="99">
        <f>'BOLETIM DE MEDIÇÃO 05'!O32-'MEMORIAL DE CALCULO 02'!K151</f>
        <v>12.746970000000001</v>
      </c>
      <c r="K151" s="81">
        <f>K148+K99</f>
        <v>18.013054999999998</v>
      </c>
      <c r="L151" s="82">
        <f t="shared" si="0"/>
        <v>30.760024999999999</v>
      </c>
      <c r="M151" s="82">
        <f>'BOLETIM DE MEDIÇÃO 05'!G32</f>
        <v>30.76</v>
      </c>
      <c r="N151" s="86">
        <f t="shared" si="1"/>
        <v>-2.49999999972772E-5</v>
      </c>
    </row>
    <row r="152" spans="2:21" x14ac:dyDescent="0.25">
      <c r="B152" s="49"/>
      <c r="C152" s="57"/>
      <c r="D152" s="143" t="s">
        <v>613</v>
      </c>
      <c r="E152" s="64"/>
      <c r="F152" s="94">
        <v>1</v>
      </c>
      <c r="G152" s="506">
        <f>K148</f>
        <v>9.6</v>
      </c>
      <c r="H152" s="507"/>
      <c r="I152" s="508"/>
      <c r="J152" s="99"/>
      <c r="K152" s="82">
        <f>F152*G152</f>
        <v>9.6</v>
      </c>
      <c r="L152" s="82"/>
      <c r="M152" s="82"/>
      <c r="N152" s="86"/>
    </row>
    <row r="153" spans="2:21" ht="22.5" x14ac:dyDescent="0.25">
      <c r="B153" s="49" t="s">
        <v>72</v>
      </c>
      <c r="C153" s="57">
        <v>96543</v>
      </c>
      <c r="D153" s="52" t="s">
        <v>74</v>
      </c>
      <c r="E153" s="64" t="s">
        <v>62</v>
      </c>
      <c r="F153" s="94"/>
      <c r="G153" s="104"/>
      <c r="H153" s="92"/>
      <c r="I153" s="105"/>
      <c r="J153" s="99">
        <f>'BOLETIM DE MEDIÇÃO 05'!O33-'MEMORIAL DE CALCULO 02'!K153</f>
        <v>210.12999999999997</v>
      </c>
      <c r="K153" s="81">
        <f>SUM(K155:K192)</f>
        <v>194.26804319999999</v>
      </c>
      <c r="L153" s="82">
        <f t="shared" si="0"/>
        <v>404.39804319999996</v>
      </c>
      <c r="M153" s="82">
        <f>'BOLETIM DE MEDIÇÃO 05'!G33</f>
        <v>404.4</v>
      </c>
      <c r="N153" s="86">
        <f t="shared" si="1"/>
        <v>1.9568000000163011E-3</v>
      </c>
    </row>
    <row r="154" spans="2:21" ht="33.75" x14ac:dyDescent="0.25">
      <c r="B154" s="49"/>
      <c r="C154" s="57"/>
      <c r="D154" s="152" t="s">
        <v>646</v>
      </c>
      <c r="E154" s="64"/>
      <c r="F154" s="94"/>
      <c r="G154" s="509" t="s">
        <v>647</v>
      </c>
      <c r="H154" s="510"/>
      <c r="I154" s="122" t="s">
        <v>611</v>
      </c>
      <c r="J154" s="99"/>
      <c r="K154" s="82"/>
      <c r="L154" s="82"/>
      <c r="M154" s="82"/>
      <c r="N154" s="86"/>
    </row>
    <row r="155" spans="2:21" x14ac:dyDescent="0.25">
      <c r="B155" s="49"/>
      <c r="C155" s="57"/>
      <c r="D155" s="144" t="s">
        <v>614</v>
      </c>
      <c r="E155" s="64"/>
      <c r="F155" s="105">
        <v>1</v>
      </c>
      <c r="G155" s="506">
        <f xml:space="preserve"> ((0.59*(1.85/0.1)) * 2)</f>
        <v>21.83</v>
      </c>
      <c r="H155" s="511"/>
      <c r="I155" s="155">
        <v>0.154</v>
      </c>
      <c r="J155" s="99"/>
      <c r="K155" s="82">
        <f>F155*G155*I155</f>
        <v>3.3618199999999998</v>
      </c>
      <c r="L155" s="82"/>
      <c r="M155" s="82"/>
      <c r="N155" s="86"/>
    </row>
    <row r="156" spans="2:21" x14ac:dyDescent="0.25">
      <c r="B156" s="49"/>
      <c r="C156" s="57"/>
      <c r="D156" s="144" t="s">
        <v>633</v>
      </c>
      <c r="E156" s="64"/>
      <c r="F156" s="105">
        <v>1</v>
      </c>
      <c r="G156" s="506">
        <f>(0.69*(1.87/0.1)) + (0.79*(1.87/0.1))</f>
        <v>27.675999999999998</v>
      </c>
      <c r="H156" s="511"/>
      <c r="I156" s="155">
        <v>0.154</v>
      </c>
      <c r="J156" s="99"/>
      <c r="K156" s="82">
        <f t="shared" ref="K156:K184" si="12">F156*G156*I156</f>
        <v>4.2621039999999999</v>
      </c>
      <c r="L156" s="82"/>
      <c r="M156" s="82"/>
      <c r="N156" s="86"/>
    </row>
    <row r="157" spans="2:21" ht="18" customHeight="1" x14ac:dyDescent="0.25">
      <c r="B157" s="49"/>
      <c r="C157" s="57"/>
      <c r="D157" s="144" t="s">
        <v>629</v>
      </c>
      <c r="E157" s="64"/>
      <c r="F157" s="105">
        <v>1</v>
      </c>
      <c r="G157" s="506">
        <f>((0.69*(1.9/0.1))*3) + ((0.59*(1.87/0.1))*2)</f>
        <v>61.395999999999987</v>
      </c>
      <c r="H157" s="511"/>
      <c r="I157" s="155">
        <v>0.154</v>
      </c>
      <c r="J157" s="99"/>
      <c r="K157" s="82">
        <f t="shared" si="12"/>
        <v>9.4549839999999978</v>
      </c>
      <c r="L157" s="82"/>
      <c r="M157" s="82"/>
      <c r="N157" s="86"/>
    </row>
    <row r="158" spans="2:21" x14ac:dyDescent="0.25">
      <c r="B158" s="49"/>
      <c r="C158" s="57"/>
      <c r="D158" s="144" t="s">
        <v>630</v>
      </c>
      <c r="E158" s="64"/>
      <c r="F158" s="105">
        <v>1</v>
      </c>
      <c r="G158" s="506">
        <f>((0.69*(1.92/0.1))*1) + ((0.59*(1.92/0.1))*2)</f>
        <v>35.903999999999996</v>
      </c>
      <c r="H158" s="511"/>
      <c r="I158" s="155">
        <v>0.154</v>
      </c>
      <c r="J158" s="99"/>
      <c r="K158" s="82">
        <f t="shared" si="12"/>
        <v>5.529215999999999</v>
      </c>
      <c r="L158" s="82"/>
      <c r="M158" s="82"/>
      <c r="N158" s="86"/>
    </row>
    <row r="159" spans="2:21" x14ac:dyDescent="0.25">
      <c r="B159" s="49"/>
      <c r="C159" s="57"/>
      <c r="D159" s="144" t="s">
        <v>615</v>
      </c>
      <c r="E159" s="64"/>
      <c r="F159" s="105">
        <v>1</v>
      </c>
      <c r="G159" s="506">
        <f>((0.79*(1.94/0.1))*3)</f>
        <v>45.977999999999994</v>
      </c>
      <c r="H159" s="511"/>
      <c r="I159" s="155">
        <v>0.154</v>
      </c>
      <c r="J159" s="99"/>
      <c r="K159" s="82">
        <f t="shared" si="12"/>
        <v>7.0806119999999995</v>
      </c>
      <c r="L159" s="82"/>
      <c r="M159" s="82"/>
      <c r="N159" s="86"/>
    </row>
    <row r="160" spans="2:21" ht="17.45" customHeight="1" x14ac:dyDescent="0.25">
      <c r="B160" s="49"/>
      <c r="C160" s="57"/>
      <c r="D160" s="144" t="s">
        <v>616</v>
      </c>
      <c r="E160" s="64"/>
      <c r="F160" s="105">
        <v>1</v>
      </c>
      <c r="G160" s="506">
        <f>((0.69*(1.96/0.1))*3) + ((0.59*(1.96/0.1))*2)</f>
        <v>63.699999999999989</v>
      </c>
      <c r="H160" s="511"/>
      <c r="I160" s="155">
        <v>0.154</v>
      </c>
      <c r="J160" s="99"/>
      <c r="K160" s="82">
        <f t="shared" si="12"/>
        <v>9.8097999999999974</v>
      </c>
      <c r="L160" s="82"/>
      <c r="M160" s="82"/>
      <c r="N160" s="86"/>
    </row>
    <row r="161" spans="2:14" ht="22.5" x14ac:dyDescent="0.25">
      <c r="B161" s="49"/>
      <c r="C161" s="57"/>
      <c r="D161" s="144" t="s">
        <v>617</v>
      </c>
      <c r="E161" s="64"/>
      <c r="F161" s="105">
        <v>1</v>
      </c>
      <c r="G161" s="506">
        <f>((0.59*(1.95/0.1))*2) + ((0.69*(1.95/0.1))*3) +((0.79*(1.95/0.1))*1)</f>
        <v>78.78</v>
      </c>
      <c r="H161" s="511"/>
      <c r="I161" s="155">
        <v>0.154</v>
      </c>
      <c r="J161" s="99"/>
      <c r="K161" s="82">
        <f t="shared" si="12"/>
        <v>12.13212</v>
      </c>
      <c r="L161" s="82"/>
      <c r="M161" s="82"/>
      <c r="N161" s="86"/>
    </row>
    <row r="162" spans="2:14" x14ac:dyDescent="0.25">
      <c r="B162" s="49"/>
      <c r="C162" s="57"/>
      <c r="D162" s="144" t="s">
        <v>618</v>
      </c>
      <c r="E162" s="64"/>
      <c r="F162" s="105">
        <v>1</v>
      </c>
      <c r="G162" s="506">
        <f>((0.59*(1.97/0.1))*1)  +((0.79*(1.97/0.1))*2)</f>
        <v>42.749000000000002</v>
      </c>
      <c r="H162" s="511"/>
      <c r="I162" s="155">
        <v>0.154</v>
      </c>
      <c r="J162" s="99"/>
      <c r="K162" s="82">
        <f t="shared" si="12"/>
        <v>6.5833460000000006</v>
      </c>
      <c r="L162" s="82"/>
      <c r="M162" s="82"/>
      <c r="N162" s="86"/>
    </row>
    <row r="163" spans="2:14" x14ac:dyDescent="0.25">
      <c r="B163" s="49"/>
      <c r="C163" s="57"/>
      <c r="D163" s="144" t="s">
        <v>631</v>
      </c>
      <c r="E163" s="64"/>
      <c r="F163" s="105">
        <v>1</v>
      </c>
      <c r="G163" s="506">
        <f>((0.59*(1.9/0.1))*3)</f>
        <v>33.629999999999995</v>
      </c>
      <c r="H163" s="511"/>
      <c r="I163" s="155">
        <v>0.154</v>
      </c>
      <c r="J163" s="99"/>
      <c r="K163" s="82">
        <f t="shared" si="12"/>
        <v>5.1790199999999995</v>
      </c>
      <c r="L163" s="82"/>
      <c r="M163" s="82"/>
      <c r="N163" s="86"/>
    </row>
    <row r="164" spans="2:14" x14ac:dyDescent="0.25">
      <c r="B164" s="49"/>
      <c r="C164" s="57"/>
      <c r="D164" s="144" t="s">
        <v>632</v>
      </c>
      <c r="E164" s="64"/>
      <c r="F164" s="105">
        <v>1</v>
      </c>
      <c r="G164" s="506">
        <f>((0.69*(1.86/0.1))*1) + ((0.69*(1.86/0.1))*1) + ((0.89*(1.86/0.1))*1)</f>
        <v>42.222000000000001</v>
      </c>
      <c r="H164" s="511"/>
      <c r="I164" s="155">
        <v>0.154</v>
      </c>
      <c r="J164" s="99"/>
      <c r="K164" s="82">
        <f t="shared" si="12"/>
        <v>6.5021880000000003</v>
      </c>
      <c r="L164" s="82"/>
      <c r="M164" s="82"/>
      <c r="N164" s="86"/>
    </row>
    <row r="165" spans="2:14" x14ac:dyDescent="0.25">
      <c r="B165" s="49"/>
      <c r="C165" s="57"/>
      <c r="D165" s="144" t="s">
        <v>634</v>
      </c>
      <c r="E165" s="64"/>
      <c r="F165" s="105">
        <v>1</v>
      </c>
      <c r="G165" s="506">
        <f>((0.69*(1.87/0.1))*3)</f>
        <v>38.708999999999996</v>
      </c>
      <c r="H165" s="511"/>
      <c r="I165" s="155">
        <v>0.154</v>
      </c>
      <c r="J165" s="99"/>
      <c r="K165" s="82">
        <f t="shared" si="12"/>
        <v>5.9611859999999997</v>
      </c>
      <c r="L165" s="82"/>
      <c r="M165" s="82"/>
      <c r="N165" s="86"/>
    </row>
    <row r="166" spans="2:14" x14ac:dyDescent="0.25">
      <c r="B166" s="49"/>
      <c r="C166" s="57"/>
      <c r="D166" s="144" t="s">
        <v>619</v>
      </c>
      <c r="E166" s="64"/>
      <c r="F166" s="105">
        <v>1</v>
      </c>
      <c r="G166" s="506">
        <f>((0.69*(1.9/0.1))*1) + ((0.79*(1.9/0.1))*2) + ((0.59*(1.9/0.1))*1)</f>
        <v>54.339999999999989</v>
      </c>
      <c r="H166" s="511"/>
      <c r="I166" s="155">
        <v>0.154</v>
      </c>
      <c r="J166" s="99"/>
      <c r="K166" s="82">
        <f t="shared" si="12"/>
        <v>8.3683599999999974</v>
      </c>
      <c r="L166" s="82"/>
      <c r="M166" s="82"/>
      <c r="N166" s="86"/>
    </row>
    <row r="167" spans="2:14" x14ac:dyDescent="0.25">
      <c r="B167" s="49"/>
      <c r="C167" s="57"/>
      <c r="D167" s="144" t="s">
        <v>620</v>
      </c>
      <c r="E167" s="64"/>
      <c r="F167" s="105">
        <v>1</v>
      </c>
      <c r="G167" s="506">
        <f>((0.79*(1.91/0.1))*1) +((0.59*(1.91/0.1))*1)</f>
        <v>26.357999999999997</v>
      </c>
      <c r="H167" s="511"/>
      <c r="I167" s="155">
        <v>0.154</v>
      </c>
      <c r="J167" s="99"/>
      <c r="K167" s="82">
        <f t="shared" si="12"/>
        <v>4.0591319999999991</v>
      </c>
      <c r="L167" s="82"/>
      <c r="M167" s="82"/>
      <c r="N167" s="86"/>
    </row>
    <row r="168" spans="2:14" ht="22.5" x14ac:dyDescent="0.25">
      <c r="B168" s="49"/>
      <c r="C168" s="57"/>
      <c r="D168" s="144" t="s">
        <v>621</v>
      </c>
      <c r="E168" s="64"/>
      <c r="F168" s="105">
        <v>1</v>
      </c>
      <c r="G168" s="506">
        <f>((0.79*(1.94/0.1))*1) +((0.59*(1.94/0.1))*5)</f>
        <v>72.555999999999983</v>
      </c>
      <c r="H168" s="511"/>
      <c r="I168" s="155">
        <v>0.154</v>
      </c>
      <c r="J168" s="99"/>
      <c r="K168" s="82">
        <f t="shared" si="12"/>
        <v>11.173623999999997</v>
      </c>
      <c r="L168" s="82"/>
      <c r="M168" s="82"/>
      <c r="N168" s="86"/>
    </row>
    <row r="169" spans="2:14" x14ac:dyDescent="0.25">
      <c r="B169" s="49"/>
      <c r="C169" s="57"/>
      <c r="D169" s="144" t="s">
        <v>622</v>
      </c>
      <c r="E169" s="64"/>
      <c r="F169" s="105">
        <v>1</v>
      </c>
      <c r="G169" s="506">
        <f>((0.69*(1.92/0.1))*2) + ((0.69*(1.92/0.1))*1)</f>
        <v>39.744</v>
      </c>
      <c r="H169" s="511"/>
      <c r="I169" s="155">
        <v>0.154</v>
      </c>
      <c r="J169" s="99"/>
      <c r="K169" s="82">
        <f t="shared" si="12"/>
        <v>6.1205759999999998</v>
      </c>
      <c r="L169" s="82"/>
      <c r="M169" s="82"/>
      <c r="N169" s="86"/>
    </row>
    <row r="170" spans="2:14" x14ac:dyDescent="0.25">
      <c r="B170" s="49"/>
      <c r="C170" s="57"/>
      <c r="D170" s="144" t="s">
        <v>635</v>
      </c>
      <c r="E170" s="64"/>
      <c r="F170" s="105">
        <v>1</v>
      </c>
      <c r="G170" s="506">
        <f>((0.59*(1.93/0.1))*2) + ((0.79*(1.93/0.1))*1)</f>
        <v>38.020999999999994</v>
      </c>
      <c r="H170" s="511"/>
      <c r="I170" s="155">
        <v>0.154</v>
      </c>
      <c r="J170" s="99"/>
      <c r="K170" s="82">
        <f t="shared" si="12"/>
        <v>5.8552339999999994</v>
      </c>
      <c r="L170" s="82"/>
      <c r="M170" s="82"/>
      <c r="N170" s="86"/>
    </row>
    <row r="171" spans="2:14" x14ac:dyDescent="0.25">
      <c r="B171" s="49"/>
      <c r="C171" s="57"/>
      <c r="D171" s="144" t="s">
        <v>623</v>
      </c>
      <c r="E171" s="64"/>
      <c r="F171" s="105">
        <v>1</v>
      </c>
      <c r="G171" s="506">
        <f>((0.59*(1.87/0.1))*2) + ((0.69*(1.87/0.1))*2)</f>
        <v>47.872</v>
      </c>
      <c r="H171" s="511"/>
      <c r="I171" s="155">
        <v>0.154</v>
      </c>
      <c r="J171" s="99"/>
      <c r="K171" s="82">
        <f t="shared" si="12"/>
        <v>7.3722880000000002</v>
      </c>
      <c r="L171" s="82"/>
      <c r="M171" s="82"/>
      <c r="N171" s="86"/>
    </row>
    <row r="172" spans="2:14" x14ac:dyDescent="0.25">
      <c r="B172" s="49"/>
      <c r="C172" s="57"/>
      <c r="D172" s="144" t="s">
        <v>624</v>
      </c>
      <c r="E172" s="64"/>
      <c r="F172" s="105">
        <v>1</v>
      </c>
      <c r="G172" s="506">
        <f>((0.59*(1.88/0.1))*3) + ((0.69*(1.88/0.1))*1)</f>
        <v>46.24799999999999</v>
      </c>
      <c r="H172" s="511"/>
      <c r="I172" s="155">
        <v>0.154</v>
      </c>
      <c r="J172" s="99"/>
      <c r="K172" s="82">
        <f t="shared" si="12"/>
        <v>7.1221919999999983</v>
      </c>
      <c r="L172" s="82"/>
      <c r="M172" s="82"/>
      <c r="N172" s="86"/>
    </row>
    <row r="173" spans="2:14" x14ac:dyDescent="0.25">
      <c r="B173" s="49"/>
      <c r="C173" s="57"/>
      <c r="D173" s="144" t="s">
        <v>625</v>
      </c>
      <c r="E173" s="64"/>
      <c r="F173" s="105">
        <v>1</v>
      </c>
      <c r="G173" s="506">
        <f>((0.79*(1.9/0.1))*1) + ((0.69*(1.9/0.1))*3)</f>
        <v>54.339999999999982</v>
      </c>
      <c r="H173" s="511"/>
      <c r="I173" s="155">
        <v>0.154</v>
      </c>
      <c r="J173" s="99"/>
      <c r="K173" s="82">
        <f t="shared" si="12"/>
        <v>8.3683599999999974</v>
      </c>
      <c r="L173" s="82"/>
      <c r="M173" s="82"/>
      <c r="N173" s="86"/>
    </row>
    <row r="174" spans="2:14" x14ac:dyDescent="0.25">
      <c r="B174" s="49"/>
      <c r="C174" s="57"/>
      <c r="D174" s="144" t="s">
        <v>637</v>
      </c>
      <c r="E174" s="64"/>
      <c r="F174" s="105">
        <v>1</v>
      </c>
      <c r="G174" s="506">
        <f>((0.59*(1.9/0.1))*1)</f>
        <v>11.209999999999997</v>
      </c>
      <c r="H174" s="511"/>
      <c r="I174" s="155">
        <v>0.154</v>
      </c>
      <c r="J174" s="99"/>
      <c r="K174" s="82">
        <f t="shared" si="12"/>
        <v>1.7263399999999995</v>
      </c>
      <c r="L174" s="82"/>
      <c r="M174" s="82"/>
      <c r="N174" s="86"/>
    </row>
    <row r="175" spans="2:14" x14ac:dyDescent="0.25">
      <c r="B175" s="49"/>
      <c r="C175" s="57"/>
      <c r="D175" s="144" t="s">
        <v>636</v>
      </c>
      <c r="E175" s="64"/>
      <c r="F175" s="105">
        <v>1</v>
      </c>
      <c r="G175" s="506">
        <f>((0.69*(1.87/0.1))*1) + ((0.59*(1.87/0.1))*1)</f>
        <v>23.936</v>
      </c>
      <c r="H175" s="511"/>
      <c r="I175" s="155">
        <v>0.154</v>
      </c>
      <c r="J175" s="99"/>
      <c r="K175" s="82">
        <f t="shared" si="12"/>
        <v>3.6861440000000001</v>
      </c>
      <c r="L175" s="82"/>
      <c r="M175" s="82"/>
      <c r="N175" s="86"/>
    </row>
    <row r="176" spans="2:14" x14ac:dyDescent="0.25">
      <c r="B176" s="49"/>
      <c r="C176" s="57"/>
      <c r="D176" s="144" t="s">
        <v>638</v>
      </c>
      <c r="E176" s="64"/>
      <c r="F176" s="105">
        <v>1</v>
      </c>
      <c r="G176" s="506">
        <f>((0.69*(2/0.1))*1) + ((0.59*(2/0.1))*2)</f>
        <v>37.4</v>
      </c>
      <c r="H176" s="511"/>
      <c r="I176" s="155">
        <v>0.154</v>
      </c>
      <c r="J176" s="99"/>
      <c r="K176" s="82">
        <f t="shared" si="12"/>
        <v>5.7595999999999998</v>
      </c>
      <c r="L176" s="82"/>
      <c r="M176" s="82"/>
      <c r="N176" s="86"/>
    </row>
    <row r="177" spans="2:14" ht="22.5" x14ac:dyDescent="0.25">
      <c r="B177" s="49"/>
      <c r="C177" s="57"/>
      <c r="D177" s="144" t="s">
        <v>626</v>
      </c>
      <c r="E177" s="64"/>
      <c r="F177" s="105">
        <v>1</v>
      </c>
      <c r="G177" s="506">
        <f>((0.69*(2.01/0.1))*1) + ((0.59*(2.01/0.1))*5) + ((0.79*(2.01/0.1))*1)</f>
        <v>89.042999999999992</v>
      </c>
      <c r="H177" s="511"/>
      <c r="I177" s="155">
        <v>0.154</v>
      </c>
      <c r="J177" s="99"/>
      <c r="K177" s="82">
        <f t="shared" si="12"/>
        <v>13.712621999999998</v>
      </c>
      <c r="L177" s="82"/>
      <c r="M177" s="82"/>
      <c r="N177" s="86"/>
    </row>
    <row r="178" spans="2:14" x14ac:dyDescent="0.25">
      <c r="B178" s="49"/>
      <c r="C178" s="57"/>
      <c r="D178" s="144" t="s">
        <v>639</v>
      </c>
      <c r="E178" s="64"/>
      <c r="F178" s="105">
        <v>1</v>
      </c>
      <c r="G178" s="506">
        <f>(((1.39+0.47+0.47))*(1.86/0.15))</f>
        <v>28.892000000000003</v>
      </c>
      <c r="H178" s="511"/>
      <c r="I178" s="155">
        <v>0.154</v>
      </c>
      <c r="J178" s="99"/>
      <c r="K178" s="82">
        <f>F178*G178*I178</f>
        <v>4.4493680000000007</v>
      </c>
      <c r="L178" s="82"/>
      <c r="M178" s="82"/>
      <c r="N178" s="86"/>
    </row>
    <row r="179" spans="2:14" x14ac:dyDescent="0.25">
      <c r="B179" s="49"/>
      <c r="C179" s="57"/>
      <c r="D179" s="144" t="s">
        <v>640</v>
      </c>
      <c r="E179" s="64"/>
      <c r="F179" s="105">
        <v>1</v>
      </c>
      <c r="G179" s="506">
        <f>(((1.09+0.022))*(1.87/0.15))</f>
        <v>13.862933333333336</v>
      </c>
      <c r="H179" s="511"/>
      <c r="I179" s="155">
        <v>0.154</v>
      </c>
      <c r="J179" s="99"/>
      <c r="K179" s="82">
        <f>F179*G179*I179</f>
        <v>2.1348917333333337</v>
      </c>
      <c r="L179" s="82"/>
      <c r="M179" s="82"/>
      <c r="N179" s="86"/>
    </row>
    <row r="180" spans="2:14" x14ac:dyDescent="0.25">
      <c r="B180" s="49"/>
      <c r="C180" s="57"/>
      <c r="D180" s="144" t="s">
        <v>641</v>
      </c>
      <c r="E180" s="64"/>
      <c r="F180" s="105">
        <v>1</v>
      </c>
      <c r="G180" s="506">
        <f>(((1.09+0.022))*(1.89/0.15))</f>
        <v>14.011200000000001</v>
      </c>
      <c r="H180" s="511"/>
      <c r="I180" s="155">
        <v>0.154</v>
      </c>
      <c r="J180" s="99"/>
      <c r="K180" s="82">
        <f t="shared" si="12"/>
        <v>2.1577248</v>
      </c>
      <c r="L180" s="82"/>
      <c r="M180" s="82"/>
      <c r="N180" s="86"/>
    </row>
    <row r="181" spans="2:14" x14ac:dyDescent="0.25">
      <c r="B181" s="49"/>
      <c r="C181" s="57"/>
      <c r="D181" s="144" t="s">
        <v>642</v>
      </c>
      <c r="E181" s="64"/>
      <c r="F181" s="105">
        <v>1</v>
      </c>
      <c r="G181" s="506">
        <f>(((0.59))*(1.9/0.15))</f>
        <v>7.4733333333333327</v>
      </c>
      <c r="H181" s="511"/>
      <c r="I181" s="155">
        <v>0.154</v>
      </c>
      <c r="J181" s="99"/>
      <c r="K181" s="82">
        <f t="shared" si="12"/>
        <v>1.1508933333333333</v>
      </c>
      <c r="L181" s="82"/>
      <c r="M181" s="82"/>
      <c r="N181" s="86"/>
    </row>
    <row r="182" spans="2:14" x14ac:dyDescent="0.25">
      <c r="B182" s="49"/>
      <c r="C182" s="57"/>
      <c r="D182" s="144" t="s">
        <v>643</v>
      </c>
      <c r="E182" s="64"/>
      <c r="F182" s="105">
        <v>1</v>
      </c>
      <c r="G182" s="506">
        <f>(((0.59))*(1.92/0.15))</f>
        <v>7.5519999999999996</v>
      </c>
      <c r="H182" s="511"/>
      <c r="I182" s="155">
        <v>0.154</v>
      </c>
      <c r="J182" s="99"/>
      <c r="K182" s="82">
        <f t="shared" si="12"/>
        <v>1.1630079999999998</v>
      </c>
      <c r="L182" s="82"/>
      <c r="M182" s="82"/>
      <c r="N182" s="86"/>
    </row>
    <row r="183" spans="2:14" x14ac:dyDescent="0.25">
      <c r="B183" s="49"/>
      <c r="C183" s="57"/>
      <c r="D183" s="144" t="s">
        <v>644</v>
      </c>
      <c r="E183" s="64"/>
      <c r="F183" s="105">
        <v>1</v>
      </c>
      <c r="G183" s="506">
        <f>(((0.59))*(1.9/0.15))</f>
        <v>7.4733333333333327</v>
      </c>
      <c r="H183" s="511"/>
      <c r="I183" s="155">
        <v>0.154</v>
      </c>
      <c r="J183" s="99"/>
      <c r="K183" s="82">
        <f t="shared" si="12"/>
        <v>1.1508933333333333</v>
      </c>
      <c r="L183" s="82"/>
      <c r="M183" s="82"/>
      <c r="N183" s="86"/>
    </row>
    <row r="184" spans="2:14" x14ac:dyDescent="0.25">
      <c r="B184" s="49"/>
      <c r="C184" s="57"/>
      <c r="D184" s="144" t="s">
        <v>645</v>
      </c>
      <c r="E184" s="64"/>
      <c r="F184" s="105">
        <v>1</v>
      </c>
      <c r="G184" s="506">
        <f>(((0.69))*(1.98/0.15))</f>
        <v>9.1080000000000005</v>
      </c>
      <c r="H184" s="511"/>
      <c r="I184" s="155">
        <v>0.154</v>
      </c>
      <c r="J184" s="99"/>
      <c r="K184" s="82">
        <f t="shared" si="12"/>
        <v>1.4026320000000001</v>
      </c>
      <c r="L184" s="82"/>
      <c r="M184" s="82"/>
      <c r="N184" s="86"/>
    </row>
    <row r="185" spans="2:14" ht="33.75" x14ac:dyDescent="0.25">
      <c r="B185" s="49"/>
      <c r="C185" s="57"/>
      <c r="D185" s="152" t="s">
        <v>610</v>
      </c>
      <c r="E185" s="64"/>
      <c r="F185" s="94"/>
      <c r="G185" s="509" t="s">
        <v>612</v>
      </c>
      <c r="H185" s="510"/>
      <c r="I185" s="122" t="s">
        <v>611</v>
      </c>
      <c r="J185" s="99"/>
      <c r="K185" s="81"/>
      <c r="L185" s="82"/>
      <c r="M185" s="82"/>
      <c r="N185" s="86"/>
    </row>
    <row r="186" spans="2:14" x14ac:dyDescent="0.25">
      <c r="B186" s="49"/>
      <c r="C186" s="57"/>
      <c r="D186" s="144" t="s">
        <v>601</v>
      </c>
      <c r="E186" s="64"/>
      <c r="F186" s="94">
        <v>1</v>
      </c>
      <c r="G186" s="506">
        <f xml:space="preserve"> (2*2.51) + (40*0.59)</f>
        <v>28.619999999999997</v>
      </c>
      <c r="H186" s="511"/>
      <c r="I186" s="155">
        <v>0.154</v>
      </c>
      <c r="J186" s="99"/>
      <c r="K186" s="82">
        <f>F186*G186*I186</f>
        <v>4.4074799999999996</v>
      </c>
      <c r="L186" s="82"/>
      <c r="M186" s="82"/>
      <c r="N186" s="86"/>
    </row>
    <row r="187" spans="2:14" x14ac:dyDescent="0.25">
      <c r="B187" s="49"/>
      <c r="C187" s="57"/>
      <c r="D187" s="144" t="s">
        <v>602</v>
      </c>
      <c r="E187" s="64"/>
      <c r="F187" s="94">
        <v>1</v>
      </c>
      <c r="G187" s="506">
        <f xml:space="preserve"> (19*0.79)</f>
        <v>15.010000000000002</v>
      </c>
      <c r="H187" s="511"/>
      <c r="I187" s="155">
        <v>0.154</v>
      </c>
      <c r="J187" s="99"/>
      <c r="K187" s="82">
        <f t="shared" ref="K187:K192" si="13">F187*G187*I187</f>
        <v>2.3115400000000004</v>
      </c>
      <c r="L187" s="82"/>
      <c r="M187" s="82"/>
      <c r="N187" s="86"/>
    </row>
    <row r="188" spans="2:14" x14ac:dyDescent="0.25">
      <c r="B188" s="49"/>
      <c r="C188" s="57"/>
      <c r="D188" s="144" t="s">
        <v>603</v>
      </c>
      <c r="E188" s="64"/>
      <c r="F188" s="94">
        <v>1</v>
      </c>
      <c r="G188" s="506">
        <f xml:space="preserve"> (21*0.79)</f>
        <v>16.59</v>
      </c>
      <c r="H188" s="511"/>
      <c r="I188" s="155">
        <v>0.154</v>
      </c>
      <c r="J188" s="99"/>
      <c r="K188" s="82">
        <f t="shared" si="13"/>
        <v>2.5548600000000001</v>
      </c>
      <c r="L188" s="82"/>
      <c r="M188" s="82"/>
      <c r="N188" s="86"/>
    </row>
    <row r="189" spans="2:14" x14ac:dyDescent="0.25">
      <c r="B189" s="49"/>
      <c r="C189" s="57"/>
      <c r="D189" s="144" t="s">
        <v>604</v>
      </c>
      <c r="E189" s="64"/>
      <c r="F189" s="94">
        <v>1</v>
      </c>
      <c r="G189" s="506">
        <f xml:space="preserve"> (2*3.86) + (29*0.79)</f>
        <v>30.63</v>
      </c>
      <c r="H189" s="511"/>
      <c r="I189" s="155">
        <v>0.154</v>
      </c>
      <c r="J189" s="99"/>
      <c r="K189" s="82">
        <f t="shared" si="13"/>
        <v>4.7170199999999998</v>
      </c>
      <c r="L189" s="82"/>
      <c r="M189" s="82"/>
      <c r="N189" s="86"/>
    </row>
    <row r="190" spans="2:14" x14ac:dyDescent="0.25">
      <c r="B190" s="49"/>
      <c r="C190" s="57"/>
      <c r="D190" s="144" t="s">
        <v>605</v>
      </c>
      <c r="E190" s="64"/>
      <c r="F190" s="94">
        <v>1</v>
      </c>
      <c r="G190" s="506">
        <f xml:space="preserve"> (22*0.59)</f>
        <v>12.979999999999999</v>
      </c>
      <c r="H190" s="511"/>
      <c r="I190" s="155">
        <v>0.154</v>
      </c>
      <c r="J190" s="99"/>
      <c r="K190" s="82">
        <f t="shared" si="13"/>
        <v>1.9989199999999998</v>
      </c>
      <c r="L190" s="82"/>
      <c r="M190" s="82"/>
      <c r="N190" s="86"/>
    </row>
    <row r="191" spans="2:14" x14ac:dyDescent="0.25">
      <c r="B191" s="49"/>
      <c r="C191" s="57"/>
      <c r="D191" s="144" t="s">
        <v>606</v>
      </c>
      <c r="E191" s="64"/>
      <c r="F191" s="94">
        <v>1</v>
      </c>
      <c r="G191" s="506">
        <f xml:space="preserve"> (14*0.059)</f>
        <v>0.82599999999999996</v>
      </c>
      <c r="H191" s="511"/>
      <c r="I191" s="155">
        <v>0.154</v>
      </c>
      <c r="J191" s="99"/>
      <c r="K191" s="82">
        <f t="shared" si="13"/>
        <v>0.12720399999999998</v>
      </c>
      <c r="L191" s="82"/>
      <c r="M191" s="82"/>
      <c r="N191" s="86"/>
    </row>
    <row r="192" spans="2:14" x14ac:dyDescent="0.25">
      <c r="B192" s="49"/>
      <c r="C192" s="57"/>
      <c r="D192" s="144" t="s">
        <v>607</v>
      </c>
      <c r="E192" s="64"/>
      <c r="F192" s="94">
        <v>1</v>
      </c>
      <c r="G192" s="506">
        <f xml:space="preserve"> (59*0.59)</f>
        <v>34.809999999999995</v>
      </c>
      <c r="H192" s="511"/>
      <c r="I192" s="155">
        <v>0.154</v>
      </c>
      <c r="J192" s="99"/>
      <c r="K192" s="82">
        <f t="shared" si="13"/>
        <v>5.360739999999999</v>
      </c>
      <c r="L192" s="82"/>
      <c r="M192" s="82"/>
      <c r="N192" s="86"/>
    </row>
    <row r="193" spans="2:14" ht="33.75" x14ac:dyDescent="0.25">
      <c r="B193" s="49" t="s">
        <v>75</v>
      </c>
      <c r="C193" s="57">
        <v>96544</v>
      </c>
      <c r="D193" s="52" t="s">
        <v>77</v>
      </c>
      <c r="E193" s="64" t="s">
        <v>62</v>
      </c>
      <c r="F193" s="94"/>
      <c r="G193" s="104"/>
      <c r="H193" s="92"/>
      <c r="I193" s="105"/>
      <c r="J193" s="99">
        <f>'BOLETIM DE MEDIÇÃO 05'!O34-'MEMORIAL DE CALCULO 02'!K193</f>
        <v>0</v>
      </c>
      <c r="K193" s="81">
        <f>SUM(K194)</f>
        <v>295</v>
      </c>
      <c r="L193" s="82">
        <f t="shared" si="0"/>
        <v>295</v>
      </c>
      <c r="M193" s="82">
        <f>'BOLETIM DE MEDIÇÃO 05'!G34</f>
        <v>295</v>
      </c>
      <c r="N193" s="86">
        <f t="shared" si="1"/>
        <v>0</v>
      </c>
    </row>
    <row r="194" spans="2:14" x14ac:dyDescent="0.25">
      <c r="B194" s="49"/>
      <c r="C194" s="57"/>
      <c r="D194" s="143" t="s">
        <v>588</v>
      </c>
      <c r="E194" s="64"/>
      <c r="F194" s="94">
        <v>1</v>
      </c>
      <c r="G194" s="506">
        <v>295</v>
      </c>
      <c r="H194" s="507"/>
      <c r="I194" s="508"/>
      <c r="J194" s="99"/>
      <c r="K194" s="82">
        <f>F194*G194</f>
        <v>295</v>
      </c>
      <c r="L194" s="82"/>
      <c r="M194" s="82"/>
      <c r="N194" s="86"/>
    </row>
    <row r="195" spans="2:14" ht="33.75" x14ac:dyDescent="0.25">
      <c r="B195" s="49" t="s">
        <v>78</v>
      </c>
      <c r="C195" s="57">
        <v>96546</v>
      </c>
      <c r="D195" s="52" t="s">
        <v>80</v>
      </c>
      <c r="E195" s="64" t="s">
        <v>62</v>
      </c>
      <c r="F195" s="94"/>
      <c r="G195" s="104"/>
      <c r="H195" s="92"/>
      <c r="I195" s="105"/>
      <c r="J195" s="99">
        <v>0</v>
      </c>
      <c r="K195" s="81">
        <f>SUM(K198:K220)</f>
        <v>552.38776000000007</v>
      </c>
      <c r="L195" s="82">
        <f t="shared" si="0"/>
        <v>552.38776000000007</v>
      </c>
      <c r="M195" s="82">
        <f>'BOLETIM DE MEDIÇÃO 05'!G35</f>
        <v>534.1</v>
      </c>
      <c r="N195" s="86">
        <f t="shared" si="1"/>
        <v>-18.287760000000048</v>
      </c>
    </row>
    <row r="196" spans="2:14" x14ac:dyDescent="0.25">
      <c r="B196" s="49"/>
      <c r="C196" s="57"/>
      <c r="D196" s="52" t="s">
        <v>588</v>
      </c>
      <c r="E196" s="64"/>
      <c r="F196" s="94"/>
      <c r="G196" s="104"/>
      <c r="H196" s="92"/>
      <c r="I196" s="105"/>
      <c r="J196" s="99"/>
      <c r="K196" s="81"/>
      <c r="L196" s="82"/>
      <c r="M196" s="82"/>
      <c r="N196" s="86"/>
    </row>
    <row r="197" spans="2:14" ht="72" customHeight="1" x14ac:dyDescent="0.25">
      <c r="B197" s="49"/>
      <c r="C197" s="57"/>
      <c r="D197" s="152" t="s">
        <v>627</v>
      </c>
      <c r="E197" s="64"/>
      <c r="F197" s="94"/>
      <c r="G197" s="509" t="s">
        <v>628</v>
      </c>
      <c r="H197" s="510"/>
      <c r="I197" s="122" t="s">
        <v>611</v>
      </c>
      <c r="J197" s="99"/>
      <c r="K197" s="81"/>
      <c r="L197" s="82"/>
      <c r="M197" s="82"/>
      <c r="N197" s="86"/>
    </row>
    <row r="198" spans="2:14" x14ac:dyDescent="0.25">
      <c r="B198" s="49"/>
      <c r="C198" s="57"/>
      <c r="D198" s="144" t="s">
        <v>614</v>
      </c>
      <c r="E198" s="64"/>
      <c r="F198" s="94">
        <v>1</v>
      </c>
      <c r="G198" s="506">
        <f xml:space="preserve"> (4*(0.2+0.25+1.85+0.33)) * 2</f>
        <v>21.040000000000003</v>
      </c>
      <c r="H198" s="511"/>
      <c r="I198" s="155">
        <v>0.61699999999999999</v>
      </c>
      <c r="J198" s="99"/>
      <c r="K198" s="82">
        <f>F198*G198*I198</f>
        <v>12.981680000000001</v>
      </c>
      <c r="L198" s="82"/>
      <c r="M198" s="82"/>
      <c r="N198" s="86"/>
    </row>
    <row r="199" spans="2:14" x14ac:dyDescent="0.25">
      <c r="B199" s="49"/>
      <c r="C199" s="57"/>
      <c r="D199" s="144" t="s">
        <v>633</v>
      </c>
      <c r="E199" s="64"/>
      <c r="F199" s="94">
        <v>1</v>
      </c>
      <c r="G199" s="506">
        <f xml:space="preserve"> ((4*(0.2+0.25+1.87+0.33)) * 2)</f>
        <v>21.200000000000003</v>
      </c>
      <c r="H199" s="511"/>
      <c r="I199" s="155">
        <v>0.61699999999999999</v>
      </c>
      <c r="J199" s="99"/>
      <c r="K199" s="82">
        <f t="shared" ref="K199:K229" si="14">F199*G199*I199</f>
        <v>13.080400000000001</v>
      </c>
      <c r="L199" s="82"/>
      <c r="M199" s="82"/>
      <c r="N199" s="86"/>
    </row>
    <row r="200" spans="2:14" ht="19.899999999999999" customHeight="1" x14ac:dyDescent="0.25">
      <c r="B200" s="49"/>
      <c r="C200" s="57"/>
      <c r="D200" s="144" t="s">
        <v>629</v>
      </c>
      <c r="E200" s="64"/>
      <c r="F200" s="94">
        <v>1</v>
      </c>
      <c r="G200" s="506">
        <f xml:space="preserve"> (4*(0.2+0.25+1.9+0.33)) * 5</f>
        <v>53.6</v>
      </c>
      <c r="H200" s="511"/>
      <c r="I200" s="155">
        <v>0.61699999999999999</v>
      </c>
      <c r="J200" s="99"/>
      <c r="K200" s="82">
        <f t="shared" si="14"/>
        <v>33.071199999999997</v>
      </c>
      <c r="L200" s="82"/>
      <c r="M200" s="82"/>
      <c r="N200" s="86"/>
    </row>
    <row r="201" spans="2:14" x14ac:dyDescent="0.25">
      <c r="B201" s="49"/>
      <c r="C201" s="57"/>
      <c r="D201" s="144" t="s">
        <v>630</v>
      </c>
      <c r="E201" s="64"/>
      <c r="F201" s="94">
        <v>1</v>
      </c>
      <c r="G201" s="506">
        <f xml:space="preserve"> (4*(0.2+0.25+1.92+0.33)) *3</f>
        <v>32.400000000000006</v>
      </c>
      <c r="H201" s="511"/>
      <c r="I201" s="155">
        <v>0.61699999999999999</v>
      </c>
      <c r="J201" s="99"/>
      <c r="K201" s="82">
        <f t="shared" si="14"/>
        <v>19.990800000000004</v>
      </c>
      <c r="L201" s="82"/>
      <c r="M201" s="82"/>
      <c r="N201" s="86"/>
    </row>
    <row r="202" spans="2:14" x14ac:dyDescent="0.25">
      <c r="B202" s="49"/>
      <c r="C202" s="57"/>
      <c r="D202" s="144" t="s">
        <v>615</v>
      </c>
      <c r="E202" s="64"/>
      <c r="F202" s="94">
        <v>1</v>
      </c>
      <c r="G202" s="506">
        <f xml:space="preserve"> (4*(0.2+0.25+1.94+0.33)) * 3</f>
        <v>32.64</v>
      </c>
      <c r="H202" s="511"/>
      <c r="I202" s="155">
        <v>0.61699999999999999</v>
      </c>
      <c r="J202" s="99"/>
      <c r="K202" s="82">
        <f t="shared" si="14"/>
        <v>20.13888</v>
      </c>
      <c r="L202" s="82"/>
      <c r="M202" s="82"/>
      <c r="N202" s="86"/>
    </row>
    <row r="203" spans="2:14" ht="21" customHeight="1" x14ac:dyDescent="0.25">
      <c r="B203" s="49"/>
      <c r="C203" s="57"/>
      <c r="D203" s="144" t="s">
        <v>616</v>
      </c>
      <c r="E203" s="64"/>
      <c r="F203" s="94">
        <v>1</v>
      </c>
      <c r="G203" s="506">
        <f xml:space="preserve"> (4*(0.2+0.25+1.96+0.33)) * 5</f>
        <v>54.800000000000004</v>
      </c>
      <c r="H203" s="511"/>
      <c r="I203" s="155">
        <v>0.61699999999999999</v>
      </c>
      <c r="J203" s="99"/>
      <c r="K203" s="82">
        <f t="shared" si="14"/>
        <v>33.811600000000006</v>
      </c>
      <c r="L203" s="82"/>
      <c r="M203" s="82"/>
      <c r="N203" s="86"/>
    </row>
    <row r="204" spans="2:14" ht="22.9" customHeight="1" x14ac:dyDescent="0.25">
      <c r="B204" s="49"/>
      <c r="C204" s="57"/>
      <c r="D204" s="144" t="s">
        <v>617</v>
      </c>
      <c r="E204" s="64"/>
      <c r="F204" s="94">
        <v>1</v>
      </c>
      <c r="G204" s="506">
        <f xml:space="preserve"> (4*(0.2+0.25+1.95+0.33)) * 6</f>
        <v>65.52</v>
      </c>
      <c r="H204" s="511"/>
      <c r="I204" s="155">
        <v>0.61699999999999999</v>
      </c>
      <c r="J204" s="99"/>
      <c r="K204" s="82">
        <f t="shared" si="14"/>
        <v>40.425839999999994</v>
      </c>
      <c r="L204" s="82"/>
      <c r="M204" s="82"/>
      <c r="N204" s="86"/>
    </row>
    <row r="205" spans="2:14" x14ac:dyDescent="0.25">
      <c r="B205" s="49"/>
      <c r="C205" s="57"/>
      <c r="D205" s="144" t="s">
        <v>618</v>
      </c>
      <c r="E205" s="64"/>
      <c r="F205" s="94">
        <v>1</v>
      </c>
      <c r="G205" s="506">
        <f xml:space="preserve"> (4*(0.2+0.25+1.97+0.33)) * 3</f>
        <v>33</v>
      </c>
      <c r="H205" s="511"/>
      <c r="I205" s="155">
        <v>0.61699999999999999</v>
      </c>
      <c r="J205" s="99"/>
      <c r="K205" s="82">
        <f t="shared" si="14"/>
        <v>20.361000000000001</v>
      </c>
      <c r="L205" s="82"/>
      <c r="M205" s="82"/>
      <c r="N205" s="86"/>
    </row>
    <row r="206" spans="2:14" x14ac:dyDescent="0.25">
      <c r="B206" s="49"/>
      <c r="C206" s="57"/>
      <c r="D206" s="144" t="s">
        <v>631</v>
      </c>
      <c r="E206" s="64"/>
      <c r="F206" s="94">
        <v>1</v>
      </c>
      <c r="G206" s="506">
        <f xml:space="preserve"> (4*(0.2+0.25+1.9+0.33)) * 3</f>
        <v>32.160000000000004</v>
      </c>
      <c r="H206" s="511"/>
      <c r="I206" s="155">
        <v>0.61699999999999999</v>
      </c>
      <c r="J206" s="99"/>
      <c r="K206" s="82">
        <f t="shared" si="14"/>
        <v>19.842720000000003</v>
      </c>
      <c r="L206" s="82"/>
      <c r="M206" s="82"/>
      <c r="N206" s="86"/>
    </row>
    <row r="207" spans="2:14" x14ac:dyDescent="0.25">
      <c r="B207" s="49"/>
      <c r="C207" s="57"/>
      <c r="D207" s="144" t="s">
        <v>632</v>
      </c>
      <c r="E207" s="64"/>
      <c r="F207" s="94">
        <v>1</v>
      </c>
      <c r="G207" s="506">
        <f xml:space="preserve"> ((4*(0.2+0.25+1.86+0.33)) * 3)</f>
        <v>31.68</v>
      </c>
      <c r="H207" s="511"/>
      <c r="I207" s="155">
        <v>0.61699999999999999</v>
      </c>
      <c r="J207" s="99"/>
      <c r="K207" s="82">
        <f t="shared" si="14"/>
        <v>19.546559999999999</v>
      </c>
      <c r="L207" s="82"/>
      <c r="M207" s="82"/>
      <c r="N207" s="86"/>
    </row>
    <row r="208" spans="2:14" x14ac:dyDescent="0.25">
      <c r="B208" s="49"/>
      <c r="C208" s="57"/>
      <c r="D208" s="144" t="s">
        <v>634</v>
      </c>
      <c r="E208" s="64"/>
      <c r="F208" s="94">
        <v>1</v>
      </c>
      <c r="G208" s="506">
        <f xml:space="preserve"> ((4*(0.2+0.25+1.87+0.33)) * 3)</f>
        <v>31.800000000000004</v>
      </c>
      <c r="H208" s="511"/>
      <c r="I208" s="155">
        <v>0.61699999999999999</v>
      </c>
      <c r="J208" s="99"/>
      <c r="K208" s="82">
        <f t="shared" si="14"/>
        <v>19.620600000000003</v>
      </c>
      <c r="L208" s="82"/>
      <c r="M208" s="82"/>
      <c r="N208" s="86"/>
    </row>
    <row r="209" spans="2:14" x14ac:dyDescent="0.25">
      <c r="B209" s="49"/>
      <c r="C209" s="57"/>
      <c r="D209" s="144" t="s">
        <v>619</v>
      </c>
      <c r="E209" s="64"/>
      <c r="F209" s="94">
        <v>1</v>
      </c>
      <c r="G209" s="506">
        <f xml:space="preserve"> ((4*(0.2+0.25+1.9+0.33)) * 4)</f>
        <v>42.88</v>
      </c>
      <c r="H209" s="511"/>
      <c r="I209" s="155">
        <v>0.61699999999999999</v>
      </c>
      <c r="J209" s="99"/>
      <c r="K209" s="82">
        <f t="shared" si="14"/>
        <v>26.456960000000002</v>
      </c>
      <c r="L209" s="82"/>
      <c r="M209" s="82"/>
      <c r="N209" s="86"/>
    </row>
    <row r="210" spans="2:14" x14ac:dyDescent="0.25">
      <c r="B210" s="49"/>
      <c r="C210" s="57"/>
      <c r="D210" s="144" t="s">
        <v>620</v>
      </c>
      <c r="E210" s="64"/>
      <c r="F210" s="94">
        <v>1</v>
      </c>
      <c r="G210" s="506">
        <f xml:space="preserve"> ((4*(0.2+0.25+1.91+0.33)) * 2)</f>
        <v>21.52</v>
      </c>
      <c r="H210" s="511"/>
      <c r="I210" s="155">
        <v>0.61699999999999999</v>
      </c>
      <c r="J210" s="99"/>
      <c r="K210" s="82">
        <f t="shared" si="14"/>
        <v>13.277839999999999</v>
      </c>
      <c r="L210" s="82"/>
      <c r="M210" s="82"/>
      <c r="N210" s="86"/>
    </row>
    <row r="211" spans="2:14" ht="21" customHeight="1" x14ac:dyDescent="0.25">
      <c r="B211" s="49"/>
      <c r="C211" s="57"/>
      <c r="D211" s="144" t="s">
        <v>621</v>
      </c>
      <c r="E211" s="64"/>
      <c r="F211" s="94">
        <v>1</v>
      </c>
      <c r="G211" s="506">
        <f xml:space="preserve"> ((4*(0.2+0.25+1.94+0.33)) * 6)</f>
        <v>65.28</v>
      </c>
      <c r="H211" s="511"/>
      <c r="I211" s="155">
        <v>0.61699999999999999</v>
      </c>
      <c r="J211" s="99"/>
      <c r="K211" s="82">
        <f t="shared" si="14"/>
        <v>40.277760000000001</v>
      </c>
      <c r="L211" s="82"/>
      <c r="M211" s="82"/>
      <c r="N211" s="86"/>
    </row>
    <row r="212" spans="2:14" x14ac:dyDescent="0.25">
      <c r="B212" s="49"/>
      <c r="C212" s="57"/>
      <c r="D212" s="144" t="s">
        <v>622</v>
      </c>
      <c r="E212" s="64"/>
      <c r="F212" s="94">
        <v>1</v>
      </c>
      <c r="G212" s="506">
        <f xml:space="preserve"> ((4*(0.2+0.25+1.92+0.33)) *3)</f>
        <v>32.400000000000006</v>
      </c>
      <c r="H212" s="511"/>
      <c r="I212" s="155">
        <v>0.61699999999999999</v>
      </c>
      <c r="J212" s="99"/>
      <c r="K212" s="82">
        <f t="shared" si="14"/>
        <v>19.990800000000004</v>
      </c>
      <c r="L212" s="82"/>
      <c r="M212" s="82"/>
      <c r="N212" s="86"/>
    </row>
    <row r="213" spans="2:14" x14ac:dyDescent="0.25">
      <c r="B213" s="49"/>
      <c r="C213" s="57"/>
      <c r="D213" s="144" t="s">
        <v>635</v>
      </c>
      <c r="E213" s="64"/>
      <c r="F213" s="94">
        <v>1</v>
      </c>
      <c r="G213" s="506">
        <f xml:space="preserve"> ((4*(0.2+0.25+1.93+0.33)) *3)</f>
        <v>32.519999999999996</v>
      </c>
      <c r="H213" s="511"/>
      <c r="I213" s="155">
        <v>0.61699999999999999</v>
      </c>
      <c r="J213" s="99"/>
      <c r="K213" s="82">
        <f t="shared" si="14"/>
        <v>20.064839999999997</v>
      </c>
      <c r="L213" s="82"/>
      <c r="M213" s="82"/>
      <c r="N213" s="86"/>
    </row>
    <row r="214" spans="2:14" x14ac:dyDescent="0.25">
      <c r="B214" s="49"/>
      <c r="C214" s="57"/>
      <c r="D214" s="144" t="s">
        <v>623</v>
      </c>
      <c r="E214" s="64"/>
      <c r="F214" s="94">
        <v>1</v>
      </c>
      <c r="G214" s="506">
        <f xml:space="preserve"> ((4*(0.2+0.25+1.87+0.33)) *4)</f>
        <v>42.400000000000006</v>
      </c>
      <c r="H214" s="511"/>
      <c r="I214" s="155">
        <v>0.61699999999999999</v>
      </c>
      <c r="J214" s="99"/>
      <c r="K214" s="82">
        <f t="shared" si="14"/>
        <v>26.160800000000002</v>
      </c>
      <c r="L214" s="82"/>
      <c r="M214" s="82"/>
      <c r="N214" s="86"/>
    </row>
    <row r="215" spans="2:14" x14ac:dyDescent="0.25">
      <c r="B215" s="49"/>
      <c r="C215" s="57"/>
      <c r="D215" s="144" t="s">
        <v>624</v>
      </c>
      <c r="E215" s="64"/>
      <c r="F215" s="94">
        <v>1</v>
      </c>
      <c r="G215" s="506">
        <f xml:space="preserve"> ((4*(0.2+0.25+1.88+0.33)) *4)</f>
        <v>42.56</v>
      </c>
      <c r="H215" s="511"/>
      <c r="I215" s="155">
        <v>0.61699999999999999</v>
      </c>
      <c r="J215" s="99"/>
      <c r="K215" s="82">
        <f t="shared" si="14"/>
        <v>26.259520000000002</v>
      </c>
      <c r="L215" s="82"/>
      <c r="M215" s="82"/>
      <c r="N215" s="86"/>
    </row>
    <row r="216" spans="2:14" x14ac:dyDescent="0.25">
      <c r="B216" s="49"/>
      <c r="C216" s="57"/>
      <c r="D216" s="144" t="s">
        <v>625</v>
      </c>
      <c r="E216" s="64"/>
      <c r="F216" s="94">
        <v>1</v>
      </c>
      <c r="G216" s="506">
        <f xml:space="preserve"> ((4*(0.2+0.25+1.9+0.33)) *4)</f>
        <v>42.88</v>
      </c>
      <c r="H216" s="511"/>
      <c r="I216" s="155">
        <v>0.61699999999999999</v>
      </c>
      <c r="J216" s="99"/>
      <c r="K216" s="82">
        <f t="shared" si="14"/>
        <v>26.456960000000002</v>
      </c>
      <c r="L216" s="82"/>
      <c r="M216" s="82"/>
      <c r="N216" s="86"/>
    </row>
    <row r="217" spans="2:14" x14ac:dyDescent="0.25">
      <c r="B217" s="49"/>
      <c r="C217" s="57"/>
      <c r="D217" s="144" t="s">
        <v>637</v>
      </c>
      <c r="E217" s="64"/>
      <c r="F217" s="94">
        <v>1</v>
      </c>
      <c r="G217" s="506">
        <f>((4*(0.2+0.25+1.9+0.33))) + ((8*(0.2+0.25+1.9)))</f>
        <v>29.520000000000003</v>
      </c>
      <c r="H217" s="511"/>
      <c r="I217" s="155">
        <v>0.61699999999999999</v>
      </c>
      <c r="J217" s="99"/>
      <c r="K217" s="82">
        <f t="shared" si="14"/>
        <v>18.213840000000001</v>
      </c>
      <c r="L217" s="82"/>
      <c r="M217" s="82"/>
      <c r="N217" s="86"/>
    </row>
    <row r="218" spans="2:14" x14ac:dyDescent="0.25">
      <c r="B218" s="49"/>
      <c r="C218" s="57"/>
      <c r="D218" s="144" t="s">
        <v>636</v>
      </c>
      <c r="E218" s="64"/>
      <c r="F218" s="94">
        <v>1</v>
      </c>
      <c r="G218" s="506">
        <f xml:space="preserve"> ((4*(0.2+0.25+1.97+0.33)) *2)</f>
        <v>22</v>
      </c>
      <c r="H218" s="511"/>
      <c r="I218" s="155">
        <v>0.61699999999999999</v>
      </c>
      <c r="J218" s="99"/>
      <c r="K218" s="82">
        <f t="shared" si="14"/>
        <v>13.574</v>
      </c>
      <c r="L218" s="82"/>
      <c r="M218" s="82"/>
      <c r="N218" s="86"/>
    </row>
    <row r="219" spans="2:14" x14ac:dyDescent="0.25">
      <c r="B219" s="49"/>
      <c r="C219" s="57"/>
      <c r="D219" s="144" t="s">
        <v>638</v>
      </c>
      <c r="E219" s="64"/>
      <c r="F219" s="94">
        <v>1</v>
      </c>
      <c r="G219" s="506">
        <f xml:space="preserve"> ((4*(0.2+0.25+2+0.33)) *3)</f>
        <v>33.36</v>
      </c>
      <c r="H219" s="511"/>
      <c r="I219" s="155">
        <v>0.61699999999999999</v>
      </c>
      <c r="J219" s="99"/>
      <c r="K219" s="82">
        <f t="shared" si="14"/>
        <v>20.583120000000001</v>
      </c>
      <c r="L219" s="82"/>
      <c r="M219" s="82"/>
      <c r="N219" s="86"/>
    </row>
    <row r="220" spans="2:14" ht="22.5" x14ac:dyDescent="0.25">
      <c r="B220" s="49"/>
      <c r="C220" s="57"/>
      <c r="D220" s="144" t="s">
        <v>626</v>
      </c>
      <c r="E220" s="64"/>
      <c r="F220" s="94">
        <v>1</v>
      </c>
      <c r="G220" s="506">
        <f xml:space="preserve"> ((4*(0.2+0.25+2.01+0.33)) *7)</f>
        <v>78.12</v>
      </c>
      <c r="H220" s="511"/>
      <c r="I220" s="155">
        <v>0.61699999999999999</v>
      </c>
      <c r="J220" s="99"/>
      <c r="K220" s="82">
        <f t="shared" si="14"/>
        <v>48.200040000000001</v>
      </c>
      <c r="L220" s="82"/>
      <c r="M220" s="82"/>
      <c r="N220" s="86"/>
    </row>
    <row r="221" spans="2:14" ht="30.6" customHeight="1" x14ac:dyDescent="0.25">
      <c r="B221" s="49" t="s">
        <v>81</v>
      </c>
      <c r="C221" s="57">
        <v>96547</v>
      </c>
      <c r="D221" s="52" t="s">
        <v>83</v>
      </c>
      <c r="E221" s="64" t="s">
        <v>62</v>
      </c>
      <c r="F221" s="94"/>
      <c r="G221" s="104"/>
      <c r="H221" s="92"/>
      <c r="I221" s="105"/>
      <c r="J221" s="99">
        <f>'BOLETIM DE MEDIÇÃO 05'!O36-'MEMORIAL DE CALCULO 02'!K221</f>
        <v>52.34</v>
      </c>
      <c r="K221" s="81">
        <f>SUM(K223:K229)</f>
        <v>100.55646000000002</v>
      </c>
      <c r="L221" s="82">
        <f t="shared" si="0"/>
        <v>152.89646000000002</v>
      </c>
      <c r="M221" s="82">
        <f>'BOLETIM DE MEDIÇÃO 05'!G36</f>
        <v>152.9</v>
      </c>
      <c r="N221" s="86">
        <f t="shared" si="1"/>
        <v>3.5399999999867759E-3</v>
      </c>
    </row>
    <row r="222" spans="2:14" ht="72" customHeight="1" x14ac:dyDescent="0.25">
      <c r="B222" s="49"/>
      <c r="C222" s="57"/>
      <c r="D222" s="152" t="s">
        <v>627</v>
      </c>
      <c r="E222" s="64"/>
      <c r="F222" s="94"/>
      <c r="G222" s="509" t="s">
        <v>628</v>
      </c>
      <c r="H222" s="510"/>
      <c r="I222" s="122" t="s">
        <v>611</v>
      </c>
      <c r="J222" s="99"/>
      <c r="K222" s="82"/>
      <c r="L222" s="82"/>
      <c r="M222" s="82"/>
      <c r="N222" s="86"/>
    </row>
    <row r="223" spans="2:14" x14ac:dyDescent="0.25">
      <c r="B223" s="49"/>
      <c r="C223" s="57"/>
      <c r="D223" s="144" t="s">
        <v>639</v>
      </c>
      <c r="E223" s="64"/>
      <c r="F223" s="94">
        <v>1</v>
      </c>
      <c r="G223" s="506">
        <f>((8*(0.2+0.25+1.86+0.42)))</f>
        <v>21.84</v>
      </c>
      <c r="H223" s="511"/>
      <c r="I223" s="155">
        <v>0.96299999999999997</v>
      </c>
      <c r="J223" s="99"/>
      <c r="K223" s="82">
        <f t="shared" si="14"/>
        <v>21.03192</v>
      </c>
      <c r="L223" s="82"/>
      <c r="M223" s="82"/>
      <c r="N223" s="86"/>
    </row>
    <row r="224" spans="2:14" x14ac:dyDescent="0.25">
      <c r="B224" s="49"/>
      <c r="C224" s="57"/>
      <c r="D224" s="144" t="s">
        <v>640</v>
      </c>
      <c r="E224" s="64"/>
      <c r="F224" s="94">
        <v>1</v>
      </c>
      <c r="G224" s="506">
        <f>((6*(0.2+0.25+1.87+0.42)))</f>
        <v>16.440000000000001</v>
      </c>
      <c r="H224" s="511"/>
      <c r="I224" s="155">
        <v>0.96299999999999997</v>
      </c>
      <c r="J224" s="99"/>
      <c r="K224" s="82">
        <f t="shared" si="14"/>
        <v>15.831720000000001</v>
      </c>
      <c r="L224" s="82"/>
      <c r="M224" s="82"/>
      <c r="N224" s="86"/>
    </row>
    <row r="225" spans="2:14" x14ac:dyDescent="0.25">
      <c r="B225" s="49"/>
      <c r="C225" s="57"/>
      <c r="D225" s="144" t="s">
        <v>641</v>
      </c>
      <c r="E225" s="64"/>
      <c r="F225" s="94">
        <v>1</v>
      </c>
      <c r="G225" s="506">
        <f>((6*(0.2+0.25+1.89+0.42)))</f>
        <v>16.559999999999999</v>
      </c>
      <c r="H225" s="511"/>
      <c r="I225" s="155">
        <v>0.96299999999999997</v>
      </c>
      <c r="J225" s="99"/>
      <c r="K225" s="82">
        <f t="shared" si="14"/>
        <v>15.947279999999997</v>
      </c>
      <c r="L225" s="82"/>
      <c r="M225" s="82"/>
      <c r="N225" s="86"/>
    </row>
    <row r="226" spans="2:14" x14ac:dyDescent="0.25">
      <c r="B226" s="49"/>
      <c r="C226" s="57"/>
      <c r="D226" s="144" t="s">
        <v>642</v>
      </c>
      <c r="E226" s="64"/>
      <c r="F226" s="94">
        <v>1</v>
      </c>
      <c r="G226" s="506">
        <f>((4*(0.2+0.25+1.9+0.42)))</f>
        <v>11.08</v>
      </c>
      <c r="H226" s="511"/>
      <c r="I226" s="155">
        <v>0.96299999999999997</v>
      </c>
      <c r="J226" s="99"/>
      <c r="K226" s="82">
        <f t="shared" si="14"/>
        <v>10.67004</v>
      </c>
      <c r="L226" s="82"/>
      <c r="M226" s="82"/>
      <c r="N226" s="86"/>
    </row>
    <row r="227" spans="2:14" x14ac:dyDescent="0.25">
      <c r="B227" s="49"/>
      <c r="C227" s="57"/>
      <c r="D227" s="144" t="s">
        <v>643</v>
      </c>
      <c r="E227" s="64"/>
      <c r="F227" s="94">
        <v>1</v>
      </c>
      <c r="G227" s="506">
        <f>((4*(0.2+0.25+1.92+0.42)))</f>
        <v>11.16</v>
      </c>
      <c r="H227" s="511"/>
      <c r="I227" s="155">
        <v>0.96299999999999997</v>
      </c>
      <c r="J227" s="99"/>
      <c r="K227" s="82">
        <f t="shared" si="14"/>
        <v>10.74708</v>
      </c>
      <c r="L227" s="82"/>
      <c r="M227" s="82"/>
      <c r="N227" s="86"/>
    </row>
    <row r="228" spans="2:14" x14ac:dyDescent="0.25">
      <c r="B228" s="49"/>
      <c r="C228" s="57"/>
      <c r="D228" s="144" t="s">
        <v>644</v>
      </c>
      <c r="E228" s="64"/>
      <c r="F228" s="94">
        <v>1</v>
      </c>
      <c r="G228" s="506">
        <f>((4*(0.2+0.25+1.9+0.42)))</f>
        <v>11.08</v>
      </c>
      <c r="H228" s="511"/>
      <c r="I228" s="155">
        <v>0.96299999999999997</v>
      </c>
      <c r="J228" s="99"/>
      <c r="K228" s="82">
        <f t="shared" si="14"/>
        <v>10.67004</v>
      </c>
      <c r="L228" s="82"/>
      <c r="M228" s="82"/>
      <c r="N228" s="86"/>
    </row>
    <row r="229" spans="2:14" x14ac:dyDescent="0.25">
      <c r="B229" s="49"/>
      <c r="C229" s="57"/>
      <c r="D229" s="144" t="s">
        <v>645</v>
      </c>
      <c r="E229" s="64"/>
      <c r="F229" s="94">
        <v>1</v>
      </c>
      <c r="G229" s="506">
        <f>((4*(0.2+0.25+1.98+0.42)))+(2*(0.2+0.25+1.98))</f>
        <v>16.260000000000002</v>
      </c>
      <c r="H229" s="511"/>
      <c r="I229" s="155">
        <v>0.96299999999999997</v>
      </c>
      <c r="J229" s="99"/>
      <c r="K229" s="82">
        <f t="shared" si="14"/>
        <v>15.658380000000001</v>
      </c>
      <c r="L229" s="82"/>
      <c r="M229" s="82"/>
      <c r="N229" s="86"/>
    </row>
    <row r="230" spans="2:14" ht="30.6" hidden="1" customHeight="1" x14ac:dyDescent="0.25">
      <c r="B230" s="49"/>
      <c r="C230" s="57"/>
      <c r="D230" s="152" t="s">
        <v>610</v>
      </c>
      <c r="E230" s="64"/>
      <c r="F230" s="94"/>
      <c r="G230" s="509" t="s">
        <v>612</v>
      </c>
      <c r="H230" s="510"/>
      <c r="I230" s="122" t="s">
        <v>611</v>
      </c>
      <c r="J230" s="99"/>
      <c r="K230" s="81"/>
      <c r="L230" s="82"/>
      <c r="M230" s="82"/>
      <c r="N230" s="86"/>
    </row>
    <row r="231" spans="2:14" ht="14.45" hidden="1" customHeight="1" x14ac:dyDescent="0.25">
      <c r="B231" s="49"/>
      <c r="C231" s="57"/>
      <c r="D231" s="144" t="s">
        <v>601</v>
      </c>
      <c r="E231" s="64"/>
      <c r="F231" s="94">
        <v>1</v>
      </c>
      <c r="G231" s="506"/>
      <c r="H231" s="511"/>
      <c r="I231" s="155">
        <v>0.96299999999999997</v>
      </c>
      <c r="J231" s="99"/>
      <c r="K231" s="82"/>
      <c r="L231" s="82"/>
      <c r="M231" s="82"/>
      <c r="N231" s="86"/>
    </row>
    <row r="232" spans="2:14" ht="14.45" hidden="1" customHeight="1" x14ac:dyDescent="0.25">
      <c r="B232" s="49"/>
      <c r="C232" s="57"/>
      <c r="D232" s="144"/>
      <c r="E232" s="64"/>
      <c r="F232" s="94"/>
      <c r="G232" s="506"/>
      <c r="H232" s="511"/>
      <c r="I232" s="155">
        <v>0.96299999999999997</v>
      </c>
      <c r="J232" s="99"/>
      <c r="K232" s="82"/>
      <c r="L232" s="82"/>
      <c r="M232" s="82"/>
      <c r="N232" s="86"/>
    </row>
    <row r="233" spans="2:14" ht="14.45" hidden="1" customHeight="1" x14ac:dyDescent="0.25">
      <c r="B233" s="49"/>
      <c r="C233" s="57"/>
      <c r="D233" s="144"/>
      <c r="E233" s="64"/>
      <c r="F233" s="94"/>
      <c r="G233" s="506"/>
      <c r="H233" s="511"/>
      <c r="I233" s="155">
        <v>0.96299999999999997</v>
      </c>
      <c r="J233" s="99"/>
      <c r="K233" s="82"/>
      <c r="L233" s="82"/>
      <c r="M233" s="82"/>
      <c r="N233" s="86"/>
    </row>
    <row r="234" spans="2:14" ht="14.45" hidden="1" customHeight="1" x14ac:dyDescent="0.25">
      <c r="B234" s="49"/>
      <c r="C234" s="57"/>
      <c r="D234" s="144"/>
      <c r="E234" s="64"/>
      <c r="F234" s="94"/>
      <c r="G234" s="506"/>
      <c r="H234" s="511"/>
      <c r="I234" s="155">
        <v>0.96299999999999997</v>
      </c>
      <c r="J234" s="99"/>
      <c r="K234" s="82"/>
      <c r="L234" s="82"/>
      <c r="M234" s="82"/>
      <c r="N234" s="86"/>
    </row>
    <row r="235" spans="2:14" ht="14.45" hidden="1" customHeight="1" x14ac:dyDescent="0.25">
      <c r="B235" s="49"/>
      <c r="C235" s="57"/>
      <c r="D235" s="144"/>
      <c r="E235" s="64"/>
      <c r="F235" s="94"/>
      <c r="G235" s="506"/>
      <c r="H235" s="511"/>
      <c r="I235" s="155">
        <v>0.96299999999999997</v>
      </c>
      <c r="J235" s="99"/>
      <c r="K235" s="82"/>
      <c r="L235" s="82"/>
      <c r="M235" s="82"/>
      <c r="N235" s="86"/>
    </row>
    <row r="236" spans="2:14" ht="14.45" hidden="1" customHeight="1" x14ac:dyDescent="0.25">
      <c r="B236" s="49"/>
      <c r="C236" s="57"/>
      <c r="D236" s="144"/>
      <c r="E236" s="64"/>
      <c r="F236" s="94"/>
      <c r="G236" s="506"/>
      <c r="H236" s="511"/>
      <c r="I236" s="155">
        <v>0.96299999999999997</v>
      </c>
      <c r="J236" s="99"/>
      <c r="K236" s="82"/>
      <c r="L236" s="82"/>
      <c r="M236" s="82"/>
      <c r="N236" s="86"/>
    </row>
    <row r="237" spans="2:14" ht="14.45" hidden="1" customHeight="1" x14ac:dyDescent="0.25">
      <c r="B237" s="49"/>
      <c r="C237" s="57"/>
      <c r="D237" s="144"/>
      <c r="E237" s="64"/>
      <c r="F237" s="94"/>
      <c r="G237" s="506"/>
      <c r="H237" s="511"/>
      <c r="I237" s="155">
        <v>0.96299999999999997</v>
      </c>
      <c r="J237" s="99"/>
      <c r="K237" s="82"/>
      <c r="L237" s="82"/>
      <c r="M237" s="82"/>
      <c r="N237" s="86"/>
    </row>
    <row r="238" spans="2:14" ht="33.75" x14ac:dyDescent="0.25">
      <c r="B238" s="49" t="s">
        <v>84</v>
      </c>
      <c r="C238" s="57">
        <v>96536</v>
      </c>
      <c r="D238" s="52" t="s">
        <v>86</v>
      </c>
      <c r="E238" s="64" t="s">
        <v>17</v>
      </c>
      <c r="F238" s="94"/>
      <c r="G238" s="104"/>
      <c r="H238" s="92"/>
      <c r="I238" s="105"/>
      <c r="J238" s="99">
        <f>'BOLETIM DE MEDIÇÃO 05'!O37-'MEMORIAL DE CALCULO 02'!K238</f>
        <v>223.48999999999998</v>
      </c>
      <c r="K238" s="81">
        <f>SUM(K240:K277)</f>
        <v>206.33700000000002</v>
      </c>
      <c r="L238" s="82">
        <f t="shared" si="0"/>
        <v>429.827</v>
      </c>
      <c r="M238" s="82">
        <f>'BOLETIM DE MEDIÇÃO 05'!G37</f>
        <v>429.83</v>
      </c>
      <c r="N238" s="86">
        <f t="shared" si="1"/>
        <v>2.9999999999859028E-3</v>
      </c>
    </row>
    <row r="239" spans="2:14" ht="20.45" customHeight="1" x14ac:dyDescent="0.25">
      <c r="B239" s="49"/>
      <c r="C239" s="57"/>
      <c r="D239" s="152" t="s">
        <v>648</v>
      </c>
      <c r="E239" s="64"/>
      <c r="F239" s="94"/>
      <c r="G239" s="157" t="s">
        <v>649</v>
      </c>
      <c r="H239" s="158" t="s">
        <v>650</v>
      </c>
      <c r="I239" s="122" t="s">
        <v>651</v>
      </c>
      <c r="J239" s="99"/>
      <c r="K239" s="81"/>
      <c r="L239" s="82"/>
      <c r="M239" s="82"/>
      <c r="N239" s="86"/>
    </row>
    <row r="240" spans="2:14" ht="33.75" x14ac:dyDescent="0.25">
      <c r="B240" s="49"/>
      <c r="C240" s="57"/>
      <c r="D240" s="144" t="s">
        <v>569</v>
      </c>
      <c r="E240" s="64"/>
      <c r="F240" s="94">
        <v>32</v>
      </c>
      <c r="G240" s="104">
        <v>0.6</v>
      </c>
      <c r="H240" s="92">
        <v>0.7</v>
      </c>
      <c r="I240" s="105">
        <v>0.25</v>
      </c>
      <c r="J240" s="99"/>
      <c r="K240" s="82">
        <f xml:space="preserve"> (((G240+H240)*2)*I240)*F240</f>
        <v>20.799999999999997</v>
      </c>
      <c r="L240" s="82"/>
      <c r="M240" s="82"/>
      <c r="N240" s="86"/>
    </row>
    <row r="241" spans="2:14" ht="45" x14ac:dyDescent="0.25">
      <c r="B241" s="49"/>
      <c r="C241" s="57"/>
      <c r="D241" s="144" t="s">
        <v>570</v>
      </c>
      <c r="E241" s="64"/>
      <c r="F241" s="94">
        <v>41</v>
      </c>
      <c r="G241" s="104">
        <v>0.6</v>
      </c>
      <c r="H241" s="92">
        <v>0.7</v>
      </c>
      <c r="I241" s="105">
        <v>0.25</v>
      </c>
      <c r="J241" s="99"/>
      <c r="K241" s="82">
        <f t="shared" ref="K241:K246" si="15" xml:space="preserve"> (((G241+H241)*2)*I241)*F241</f>
        <v>26.649999999999995</v>
      </c>
      <c r="L241" s="82"/>
      <c r="M241" s="82"/>
      <c r="N241" s="86"/>
    </row>
    <row r="242" spans="2:14" x14ac:dyDescent="0.25">
      <c r="B242" s="49"/>
      <c r="C242" s="57"/>
      <c r="D242" s="144" t="s">
        <v>571</v>
      </c>
      <c r="E242" s="64"/>
      <c r="F242" s="94">
        <v>1</v>
      </c>
      <c r="G242" s="104">
        <v>0.6</v>
      </c>
      <c r="H242" s="92">
        <v>0.8</v>
      </c>
      <c r="I242" s="105">
        <v>0.25</v>
      </c>
      <c r="J242" s="99"/>
      <c r="K242" s="82">
        <f t="shared" si="15"/>
        <v>0.7</v>
      </c>
      <c r="L242" s="82"/>
      <c r="M242" s="82"/>
      <c r="N242" s="86"/>
    </row>
    <row r="243" spans="2:14" x14ac:dyDescent="0.25">
      <c r="B243" s="49"/>
      <c r="C243" s="57"/>
      <c r="D243" s="144" t="s">
        <v>572</v>
      </c>
      <c r="E243" s="64"/>
      <c r="F243" s="94">
        <v>2</v>
      </c>
      <c r="G243" s="104">
        <v>0.9</v>
      </c>
      <c r="H243" s="92">
        <v>0.9</v>
      </c>
      <c r="I243" s="105">
        <v>0.25</v>
      </c>
      <c r="J243" s="99"/>
      <c r="K243" s="82">
        <f t="shared" si="15"/>
        <v>1.8</v>
      </c>
      <c r="L243" s="82"/>
      <c r="M243" s="82"/>
      <c r="N243" s="86"/>
    </row>
    <row r="244" spans="2:14" x14ac:dyDescent="0.25">
      <c r="B244" s="49"/>
      <c r="C244" s="57"/>
      <c r="D244" s="144" t="s">
        <v>573</v>
      </c>
      <c r="E244" s="64"/>
      <c r="F244" s="94">
        <v>7</v>
      </c>
      <c r="G244" s="104">
        <v>0.65</v>
      </c>
      <c r="H244" s="92">
        <v>0.65</v>
      </c>
      <c r="I244" s="105">
        <v>0.25</v>
      </c>
      <c r="J244" s="99"/>
      <c r="K244" s="82">
        <f t="shared" si="15"/>
        <v>4.55</v>
      </c>
      <c r="L244" s="82"/>
      <c r="M244" s="82"/>
      <c r="N244" s="86"/>
    </row>
    <row r="245" spans="2:14" x14ac:dyDescent="0.25">
      <c r="B245" s="49"/>
      <c r="C245" s="57"/>
      <c r="D245" s="144" t="s">
        <v>574</v>
      </c>
      <c r="E245" s="64"/>
      <c r="F245" s="94">
        <v>3</v>
      </c>
      <c r="G245" s="104">
        <v>0.65</v>
      </c>
      <c r="H245" s="92">
        <v>0.75</v>
      </c>
      <c r="I245" s="105">
        <v>0.25</v>
      </c>
      <c r="J245" s="99"/>
      <c r="K245" s="82">
        <f t="shared" si="15"/>
        <v>2.0999999999999996</v>
      </c>
      <c r="L245" s="82"/>
      <c r="M245" s="82"/>
      <c r="N245" s="86"/>
    </row>
    <row r="246" spans="2:14" x14ac:dyDescent="0.25">
      <c r="B246" s="49"/>
      <c r="C246" s="57"/>
      <c r="D246" s="144" t="s">
        <v>575</v>
      </c>
      <c r="E246" s="64"/>
      <c r="F246" s="94">
        <v>2</v>
      </c>
      <c r="G246" s="104">
        <v>0.55000000000000004</v>
      </c>
      <c r="H246" s="92">
        <v>0.95</v>
      </c>
      <c r="I246" s="105">
        <v>0.25</v>
      </c>
      <c r="J246" s="99"/>
      <c r="K246" s="82">
        <f t="shared" si="15"/>
        <v>1.5</v>
      </c>
      <c r="L246" s="82"/>
      <c r="M246" s="82"/>
      <c r="N246" s="86"/>
    </row>
    <row r="247" spans="2:14" ht="27" customHeight="1" x14ac:dyDescent="0.25">
      <c r="B247" s="49"/>
      <c r="C247" s="57"/>
      <c r="D247" s="152" t="s">
        <v>627</v>
      </c>
      <c r="E247" s="64"/>
      <c r="F247" s="94"/>
      <c r="G247" s="509" t="s">
        <v>706</v>
      </c>
      <c r="H247" s="510"/>
      <c r="I247" s="105" t="s">
        <v>651</v>
      </c>
      <c r="J247" s="99"/>
      <c r="K247" s="81"/>
      <c r="L247" s="82"/>
      <c r="M247" s="82"/>
      <c r="N247" s="86"/>
    </row>
    <row r="248" spans="2:14" x14ac:dyDescent="0.25">
      <c r="B248" s="49"/>
      <c r="C248" s="57"/>
      <c r="D248" s="144" t="s">
        <v>614</v>
      </c>
      <c r="E248" s="64"/>
      <c r="F248" s="94">
        <v>1</v>
      </c>
      <c r="G248" s="506">
        <f xml:space="preserve"> ((0.15+0.25)*2) *2</f>
        <v>1.6</v>
      </c>
      <c r="H248" s="511"/>
      <c r="I248" s="105">
        <v>1.85</v>
      </c>
      <c r="J248" s="99"/>
      <c r="K248" s="82">
        <f>(F248*G248*I248)</f>
        <v>2.9600000000000004</v>
      </c>
      <c r="L248" s="82"/>
      <c r="M248" s="82"/>
      <c r="N248" s="86"/>
    </row>
    <row r="249" spans="2:14" x14ac:dyDescent="0.25">
      <c r="B249" s="49"/>
      <c r="C249" s="57"/>
      <c r="D249" s="144" t="s">
        <v>633</v>
      </c>
      <c r="E249" s="64"/>
      <c r="F249" s="94">
        <v>1</v>
      </c>
      <c r="G249" s="506">
        <f xml:space="preserve"> ((0.2+0.25)*2) + ((0.2+0.3)*2)</f>
        <v>1.9</v>
      </c>
      <c r="H249" s="511"/>
      <c r="I249" s="105">
        <v>1.87</v>
      </c>
      <c r="J249" s="99"/>
      <c r="K249" s="82">
        <f t="shared" ref="K249:K312" si="16">(F249*G249*I249)</f>
        <v>3.5529999999999999</v>
      </c>
      <c r="L249" s="82"/>
      <c r="M249" s="82"/>
      <c r="N249" s="86"/>
    </row>
    <row r="250" spans="2:14" ht="21.6" customHeight="1" x14ac:dyDescent="0.25">
      <c r="B250" s="49"/>
      <c r="C250" s="57"/>
      <c r="D250" s="144" t="s">
        <v>629</v>
      </c>
      <c r="E250" s="64"/>
      <c r="F250" s="94">
        <v>1</v>
      </c>
      <c r="G250" s="506">
        <f xml:space="preserve"> ((0.2+0.25)*2*3) + ((0.2+0.2)*2*1) + ((0.15+0.2)*2*1)</f>
        <v>4.2</v>
      </c>
      <c r="H250" s="511"/>
      <c r="I250" s="105">
        <v>1.9</v>
      </c>
      <c r="J250" s="99"/>
      <c r="K250" s="82">
        <f t="shared" si="16"/>
        <v>7.9799999999999995</v>
      </c>
      <c r="L250" s="82"/>
      <c r="M250" s="82"/>
      <c r="N250" s="86"/>
    </row>
    <row r="251" spans="2:14" x14ac:dyDescent="0.25">
      <c r="B251" s="49"/>
      <c r="C251" s="57"/>
      <c r="D251" s="144" t="s">
        <v>630</v>
      </c>
      <c r="E251" s="64"/>
      <c r="F251" s="94">
        <v>1</v>
      </c>
      <c r="G251" s="506">
        <f xml:space="preserve"> ((0.2+0.25)*2*1) + ((0.15+0.25)*2*2)</f>
        <v>2.5</v>
      </c>
      <c r="H251" s="511"/>
      <c r="I251" s="105">
        <v>1.92</v>
      </c>
      <c r="J251" s="99"/>
      <c r="K251" s="82">
        <f t="shared" si="16"/>
        <v>4.8</v>
      </c>
      <c r="L251" s="82"/>
      <c r="M251" s="82"/>
      <c r="N251" s="86"/>
    </row>
    <row r="252" spans="2:14" x14ac:dyDescent="0.25">
      <c r="B252" s="49"/>
      <c r="C252" s="57"/>
      <c r="D252" s="144" t="s">
        <v>615</v>
      </c>
      <c r="E252" s="64"/>
      <c r="F252" s="94">
        <v>1</v>
      </c>
      <c r="G252" s="506">
        <f xml:space="preserve"> ((0.15+0.3)*2*3)</f>
        <v>2.6999999999999997</v>
      </c>
      <c r="H252" s="511"/>
      <c r="I252" s="86">
        <v>1.94</v>
      </c>
      <c r="J252" s="99"/>
      <c r="K252" s="82">
        <f t="shared" si="16"/>
        <v>5.2379999999999995</v>
      </c>
      <c r="L252" s="82"/>
      <c r="M252" s="82"/>
      <c r="N252" s="86"/>
    </row>
    <row r="253" spans="2:14" ht="20.45" customHeight="1" x14ac:dyDescent="0.25">
      <c r="B253" s="49"/>
      <c r="C253" s="57"/>
      <c r="D253" s="144" t="s">
        <v>616</v>
      </c>
      <c r="E253" s="64"/>
      <c r="F253" s="94">
        <v>1</v>
      </c>
      <c r="G253" s="506">
        <f xml:space="preserve"> ((0.2+0.25)*2*3) + ((0.15+0.25)*2*2)</f>
        <v>4.3000000000000007</v>
      </c>
      <c r="H253" s="511"/>
      <c r="I253" s="86">
        <v>1.96</v>
      </c>
      <c r="J253" s="99"/>
      <c r="K253" s="82">
        <f t="shared" si="16"/>
        <v>8.4280000000000008</v>
      </c>
      <c r="L253" s="82"/>
      <c r="M253" s="82"/>
      <c r="N253" s="86"/>
    </row>
    <row r="254" spans="2:14" ht="20.45" customHeight="1" x14ac:dyDescent="0.25">
      <c r="B254" s="49"/>
      <c r="C254" s="57"/>
      <c r="D254" s="144" t="s">
        <v>617</v>
      </c>
      <c r="E254" s="64"/>
      <c r="F254" s="94">
        <v>1</v>
      </c>
      <c r="G254" s="506">
        <f xml:space="preserve"> ((0.2+0.25)*2*3) + ((0.15+0.25)*2*2) +  ((0.2+0.3)*2*1)</f>
        <v>5.3000000000000007</v>
      </c>
      <c r="H254" s="511"/>
      <c r="I254" s="86">
        <v>1.95</v>
      </c>
      <c r="J254" s="99"/>
      <c r="K254" s="82">
        <f t="shared" si="16"/>
        <v>10.335000000000001</v>
      </c>
      <c r="L254" s="82"/>
      <c r="M254" s="82"/>
      <c r="N254" s="86"/>
    </row>
    <row r="255" spans="2:14" x14ac:dyDescent="0.25">
      <c r="B255" s="49"/>
      <c r="C255" s="57"/>
      <c r="D255" s="144" t="s">
        <v>618</v>
      </c>
      <c r="E255" s="64"/>
      <c r="F255" s="94">
        <v>1</v>
      </c>
      <c r="G255" s="506">
        <f xml:space="preserve"> ((0.2+0.25)*2*2) + ((0.15+0.25)*2*1)</f>
        <v>2.6</v>
      </c>
      <c r="H255" s="511"/>
      <c r="I255" s="86">
        <v>1.97</v>
      </c>
      <c r="J255" s="99"/>
      <c r="K255" s="82">
        <f t="shared" si="16"/>
        <v>5.1219999999999999</v>
      </c>
      <c r="L255" s="82"/>
      <c r="M255" s="82"/>
      <c r="N255" s="86"/>
    </row>
    <row r="256" spans="2:14" x14ac:dyDescent="0.25">
      <c r="B256" s="49"/>
      <c r="C256" s="57"/>
      <c r="D256" s="144" t="s">
        <v>631</v>
      </c>
      <c r="E256" s="64"/>
      <c r="F256" s="94">
        <v>1</v>
      </c>
      <c r="G256" s="506">
        <f>((0.15+0.25)*2*3)</f>
        <v>2.4000000000000004</v>
      </c>
      <c r="H256" s="511"/>
      <c r="I256" s="86">
        <v>1.9</v>
      </c>
      <c r="J256" s="99"/>
      <c r="K256" s="82">
        <f t="shared" si="16"/>
        <v>4.5600000000000005</v>
      </c>
      <c r="L256" s="82"/>
      <c r="M256" s="82"/>
      <c r="N256" s="86"/>
    </row>
    <row r="257" spans="2:14" ht="23.45" customHeight="1" x14ac:dyDescent="0.25">
      <c r="B257" s="49"/>
      <c r="C257" s="57"/>
      <c r="D257" s="144" t="s">
        <v>632</v>
      </c>
      <c r="E257" s="64"/>
      <c r="F257" s="94">
        <v>1</v>
      </c>
      <c r="G257" s="506">
        <f xml:space="preserve"> ((0.2+0.25)*2*1) + ((0.15+0.25)*2*1) +  ((0.2+0.35)*2*1)</f>
        <v>2.8000000000000003</v>
      </c>
      <c r="H257" s="511"/>
      <c r="I257" s="86">
        <v>1.86</v>
      </c>
      <c r="J257" s="99"/>
      <c r="K257" s="82">
        <f t="shared" si="16"/>
        <v>5.2080000000000011</v>
      </c>
      <c r="L257" s="82"/>
      <c r="M257" s="82"/>
      <c r="N257" s="86"/>
    </row>
    <row r="258" spans="2:14" x14ac:dyDescent="0.25">
      <c r="B258" s="49"/>
      <c r="C258" s="57"/>
      <c r="D258" s="144" t="s">
        <v>634</v>
      </c>
      <c r="E258" s="64"/>
      <c r="F258" s="94">
        <v>1</v>
      </c>
      <c r="G258" s="506">
        <f xml:space="preserve"> ((0.2+0.25)*2*1) + ((0.15+0.3)*2*2)</f>
        <v>2.6999999999999997</v>
      </c>
      <c r="H258" s="511"/>
      <c r="I258" s="86">
        <v>1.87</v>
      </c>
      <c r="J258" s="99"/>
      <c r="K258" s="82">
        <f t="shared" si="16"/>
        <v>5.0489999999999995</v>
      </c>
      <c r="L258" s="82"/>
      <c r="M258" s="82"/>
      <c r="N258" s="86"/>
    </row>
    <row r="259" spans="2:14" ht="23.45" customHeight="1" x14ac:dyDescent="0.25">
      <c r="B259" s="49"/>
      <c r="C259" s="57"/>
      <c r="D259" s="144" t="s">
        <v>619</v>
      </c>
      <c r="E259" s="64"/>
      <c r="F259" s="94">
        <v>1</v>
      </c>
      <c r="G259" s="506">
        <f xml:space="preserve"> ((0.2+0.3)*2*1) + ((0.15+0.3)*2*1) +  ((0.15+0.25)*2*1) + ((0.15+0.35)*2*1)</f>
        <v>3.7</v>
      </c>
      <c r="H259" s="511"/>
      <c r="I259" s="86">
        <v>1.9</v>
      </c>
      <c r="J259" s="99"/>
      <c r="K259" s="82">
        <f t="shared" si="16"/>
        <v>7.03</v>
      </c>
      <c r="L259" s="82"/>
      <c r="M259" s="82"/>
      <c r="N259" s="86"/>
    </row>
    <row r="260" spans="2:14" x14ac:dyDescent="0.25">
      <c r="B260" s="49"/>
      <c r="C260" s="57"/>
      <c r="D260" s="144" t="s">
        <v>620</v>
      </c>
      <c r="E260" s="64"/>
      <c r="F260" s="94">
        <v>1</v>
      </c>
      <c r="G260" s="506">
        <f xml:space="preserve"> ((0.15+0.25)*2*1) + ((0.2+0.3)*2*1)</f>
        <v>1.8</v>
      </c>
      <c r="H260" s="511"/>
      <c r="I260" s="86">
        <v>1.91</v>
      </c>
      <c r="J260" s="99"/>
      <c r="K260" s="82">
        <f t="shared" si="16"/>
        <v>3.4379999999999997</v>
      </c>
      <c r="L260" s="82"/>
      <c r="M260" s="82"/>
      <c r="N260" s="86"/>
    </row>
    <row r="261" spans="2:14" ht="22.5" x14ac:dyDescent="0.25">
      <c r="B261" s="49"/>
      <c r="C261" s="57"/>
      <c r="D261" s="144" t="s">
        <v>621</v>
      </c>
      <c r="E261" s="64"/>
      <c r="F261" s="94">
        <v>1</v>
      </c>
      <c r="G261" s="506">
        <f xml:space="preserve"> ((0.15+0.25)*2*5) + ((0.25+0.25)*2*1)</f>
        <v>5</v>
      </c>
      <c r="H261" s="511"/>
      <c r="I261" s="86">
        <v>1.94</v>
      </c>
      <c r="J261" s="99"/>
      <c r="K261" s="82">
        <f t="shared" si="16"/>
        <v>9.6999999999999993</v>
      </c>
      <c r="L261" s="82"/>
      <c r="M261" s="82"/>
      <c r="N261" s="86"/>
    </row>
    <row r="262" spans="2:14" ht="26.45" customHeight="1" x14ac:dyDescent="0.25">
      <c r="B262" s="49"/>
      <c r="C262" s="57"/>
      <c r="D262" s="144" t="s">
        <v>622</v>
      </c>
      <c r="E262" s="64"/>
      <c r="F262" s="94">
        <v>1</v>
      </c>
      <c r="G262" s="506">
        <f xml:space="preserve"> ((0.2+0.25)*2*1) + ((0.15+0.25)*2*1) +  ((0.25+0.25)*2*1)</f>
        <v>2.7</v>
      </c>
      <c r="H262" s="511"/>
      <c r="I262" s="86">
        <v>1.93</v>
      </c>
      <c r="J262" s="99"/>
      <c r="K262" s="82">
        <f t="shared" si="16"/>
        <v>5.2110000000000003</v>
      </c>
      <c r="L262" s="82"/>
      <c r="M262" s="82"/>
      <c r="N262" s="86"/>
    </row>
    <row r="263" spans="2:14" x14ac:dyDescent="0.25">
      <c r="B263" s="49"/>
      <c r="C263" s="57"/>
      <c r="D263" s="144" t="s">
        <v>635</v>
      </c>
      <c r="E263" s="64"/>
      <c r="F263" s="94">
        <v>1</v>
      </c>
      <c r="G263" s="506">
        <f xml:space="preserve"> ((0.15+0.25)*2*2) + ((0.25+0.25)*2*1)</f>
        <v>2.6</v>
      </c>
      <c r="H263" s="511"/>
      <c r="I263" s="86">
        <v>1.92</v>
      </c>
      <c r="J263" s="99"/>
      <c r="K263" s="82">
        <f t="shared" si="16"/>
        <v>4.992</v>
      </c>
      <c r="L263" s="82"/>
      <c r="M263" s="82"/>
      <c r="N263" s="86"/>
    </row>
    <row r="264" spans="2:14" x14ac:dyDescent="0.25">
      <c r="B264" s="49"/>
      <c r="C264" s="57"/>
      <c r="D264" s="144" t="s">
        <v>623</v>
      </c>
      <c r="E264" s="64"/>
      <c r="F264" s="94">
        <v>1</v>
      </c>
      <c r="G264" s="506">
        <f xml:space="preserve"> ((0.15+0.25)*2*2) + ((0.2+0.25)*2*2)</f>
        <v>3.4000000000000004</v>
      </c>
      <c r="H264" s="511"/>
      <c r="I264" s="86">
        <v>1.87</v>
      </c>
      <c r="J264" s="99"/>
      <c r="K264" s="82">
        <f t="shared" si="16"/>
        <v>6.3580000000000014</v>
      </c>
      <c r="L264" s="82"/>
      <c r="M264" s="82"/>
      <c r="N264" s="144"/>
    </row>
    <row r="265" spans="2:14" x14ac:dyDescent="0.25">
      <c r="B265" s="49"/>
      <c r="C265" s="57"/>
      <c r="D265" s="144" t="s">
        <v>624</v>
      </c>
      <c r="E265" s="64"/>
      <c r="F265" s="94">
        <v>1</v>
      </c>
      <c r="G265" s="506">
        <f xml:space="preserve"> ((0.15+0.25)*2*3) + ((0.2+0.25)*2*1)</f>
        <v>3.3000000000000003</v>
      </c>
      <c r="H265" s="511"/>
      <c r="I265" s="86">
        <v>1.88</v>
      </c>
      <c r="J265" s="99"/>
      <c r="K265" s="82">
        <f t="shared" si="16"/>
        <v>6.2039999999999997</v>
      </c>
      <c r="L265" s="82"/>
      <c r="M265" s="82"/>
      <c r="N265" s="86"/>
    </row>
    <row r="266" spans="2:14" x14ac:dyDescent="0.25">
      <c r="B266" s="49"/>
      <c r="C266" s="57"/>
      <c r="D266" s="144" t="s">
        <v>625</v>
      </c>
      <c r="E266" s="64"/>
      <c r="F266" s="94">
        <v>1</v>
      </c>
      <c r="G266" s="506">
        <f>((0.2+0.25)*2*3) + ((0.25+0.25)*2*1)</f>
        <v>3.7</v>
      </c>
      <c r="H266" s="511"/>
      <c r="I266" s="86">
        <v>1.9</v>
      </c>
      <c r="J266" s="99"/>
      <c r="K266" s="82">
        <f t="shared" si="16"/>
        <v>7.03</v>
      </c>
      <c r="L266" s="82"/>
      <c r="M266" s="82"/>
      <c r="N266" s="86"/>
    </row>
    <row r="267" spans="2:14" x14ac:dyDescent="0.25">
      <c r="B267" s="49"/>
      <c r="C267" s="57"/>
      <c r="D267" s="144" t="s">
        <v>637</v>
      </c>
      <c r="E267" s="64"/>
      <c r="F267" s="94">
        <v>1</v>
      </c>
      <c r="G267" s="506">
        <f>((0.2+0.2)*2*1)</f>
        <v>0.8</v>
      </c>
      <c r="H267" s="511"/>
      <c r="I267" s="86">
        <v>1.9</v>
      </c>
      <c r="J267" s="99"/>
      <c r="K267" s="82">
        <f t="shared" si="16"/>
        <v>1.52</v>
      </c>
      <c r="L267" s="82"/>
      <c r="M267" s="82"/>
      <c r="N267" s="86"/>
    </row>
    <row r="268" spans="2:14" x14ac:dyDescent="0.25">
      <c r="B268" s="49"/>
      <c r="C268" s="57"/>
      <c r="D268" s="144" t="s">
        <v>636</v>
      </c>
      <c r="E268" s="64"/>
      <c r="F268" s="94">
        <v>1</v>
      </c>
      <c r="G268" s="506">
        <f>((0.2+0.25)*2*1) + ((0.15+0.25)*2*1)</f>
        <v>1.7000000000000002</v>
      </c>
      <c r="H268" s="511"/>
      <c r="I268" s="86">
        <v>1.97</v>
      </c>
      <c r="J268" s="99"/>
      <c r="K268" s="82">
        <f t="shared" si="16"/>
        <v>3.3490000000000002</v>
      </c>
      <c r="L268" s="82"/>
      <c r="M268" s="82"/>
      <c r="N268" s="86"/>
    </row>
    <row r="269" spans="2:14" x14ac:dyDescent="0.25">
      <c r="B269" s="49"/>
      <c r="C269" s="57"/>
      <c r="D269" s="144" t="s">
        <v>638</v>
      </c>
      <c r="E269" s="64"/>
      <c r="F269" s="94">
        <v>1</v>
      </c>
      <c r="G269" s="506">
        <f>((0.2+0.25)*2*1) + ((0.15+0.25)*2*2)</f>
        <v>2.5</v>
      </c>
      <c r="H269" s="511"/>
      <c r="I269" s="86">
        <v>2</v>
      </c>
      <c r="J269" s="99"/>
      <c r="K269" s="82">
        <f t="shared" si="16"/>
        <v>5</v>
      </c>
      <c r="L269" s="82"/>
      <c r="M269" s="82"/>
      <c r="N269" s="86"/>
    </row>
    <row r="270" spans="2:14" ht="20.45" customHeight="1" x14ac:dyDescent="0.25">
      <c r="B270" s="49"/>
      <c r="C270" s="57"/>
      <c r="D270" s="144" t="s">
        <v>626</v>
      </c>
      <c r="E270" s="64"/>
      <c r="F270" s="94">
        <v>1</v>
      </c>
      <c r="G270" s="506">
        <f xml:space="preserve"> ((0.2+0.3)*2*1) + ((0.15+0.25)*2*5) +  ((0.25+0.25)*2*1)</f>
        <v>6</v>
      </c>
      <c r="H270" s="511"/>
      <c r="I270" s="86">
        <v>2.0099999999999998</v>
      </c>
      <c r="J270" s="99"/>
      <c r="K270" s="82">
        <f t="shared" si="16"/>
        <v>12.059999999999999</v>
      </c>
      <c r="L270" s="82"/>
      <c r="M270" s="82"/>
      <c r="N270" s="86"/>
    </row>
    <row r="271" spans="2:14" x14ac:dyDescent="0.25">
      <c r="B271" s="49"/>
      <c r="C271" s="57"/>
      <c r="D271" s="144" t="s">
        <v>639</v>
      </c>
      <c r="E271" s="64"/>
      <c r="F271" s="94">
        <v>1</v>
      </c>
      <c r="G271" s="506">
        <f>((0.15+0.3)*2*1)</f>
        <v>0.89999999999999991</v>
      </c>
      <c r="H271" s="511"/>
      <c r="I271" s="86">
        <v>1.86</v>
      </c>
      <c r="J271" s="99"/>
      <c r="K271" s="82">
        <f t="shared" si="16"/>
        <v>1.6739999999999999</v>
      </c>
      <c r="L271" s="82"/>
      <c r="M271" s="82"/>
      <c r="N271" s="86"/>
    </row>
    <row r="272" spans="2:14" x14ac:dyDescent="0.25">
      <c r="B272" s="49"/>
      <c r="C272" s="57"/>
      <c r="D272" s="144" t="s">
        <v>640</v>
      </c>
      <c r="E272" s="64"/>
      <c r="F272" s="94">
        <v>1</v>
      </c>
      <c r="G272" s="506">
        <f>((0.15+0.5)*2*1)</f>
        <v>1.3</v>
      </c>
      <c r="H272" s="511"/>
      <c r="I272" s="86">
        <v>1.87</v>
      </c>
      <c r="J272" s="99"/>
      <c r="K272" s="82">
        <f t="shared" si="16"/>
        <v>2.431</v>
      </c>
      <c r="L272" s="82"/>
      <c r="M272" s="82"/>
      <c r="N272" s="86"/>
    </row>
    <row r="273" spans="2:14" x14ac:dyDescent="0.25">
      <c r="B273" s="49"/>
      <c r="C273" s="57"/>
      <c r="D273" s="144" t="s">
        <v>641</v>
      </c>
      <c r="E273" s="64"/>
      <c r="F273" s="94">
        <v>1</v>
      </c>
      <c r="G273" s="506">
        <f>((0.15+0.5)*2*1)</f>
        <v>1.3</v>
      </c>
      <c r="H273" s="511"/>
      <c r="I273" s="86">
        <v>1.89</v>
      </c>
      <c r="J273" s="99"/>
      <c r="K273" s="82">
        <f t="shared" si="16"/>
        <v>2.4569999999999999</v>
      </c>
      <c r="L273" s="82"/>
      <c r="M273" s="82"/>
      <c r="N273" s="86"/>
    </row>
    <row r="274" spans="2:14" x14ac:dyDescent="0.25">
      <c r="B274" s="49"/>
      <c r="C274" s="57"/>
      <c r="D274" s="144" t="s">
        <v>642</v>
      </c>
      <c r="E274" s="64"/>
      <c r="F274" s="94">
        <v>1</v>
      </c>
      <c r="G274" s="506">
        <f>((0.15+0.25)*2*1)</f>
        <v>0.8</v>
      </c>
      <c r="H274" s="511"/>
      <c r="I274" s="86">
        <v>1.9</v>
      </c>
      <c r="J274" s="99"/>
      <c r="K274" s="82">
        <f t="shared" si="16"/>
        <v>1.52</v>
      </c>
      <c r="L274" s="82"/>
      <c r="M274" s="82"/>
      <c r="N274" s="86"/>
    </row>
    <row r="275" spans="2:14" x14ac:dyDescent="0.25">
      <c r="B275" s="49"/>
      <c r="C275" s="57"/>
      <c r="D275" s="144" t="s">
        <v>643</v>
      </c>
      <c r="E275" s="64"/>
      <c r="F275" s="94">
        <v>1</v>
      </c>
      <c r="G275" s="506">
        <f t="shared" ref="G275" si="17">((0.15+0.3)*2*1)</f>
        <v>0.89999999999999991</v>
      </c>
      <c r="H275" s="511"/>
      <c r="I275" s="86">
        <v>1.92</v>
      </c>
      <c r="J275" s="99"/>
      <c r="K275" s="82">
        <f t="shared" si="16"/>
        <v>1.7279999999999998</v>
      </c>
      <c r="L275" s="82"/>
      <c r="M275" s="82"/>
      <c r="N275" s="86"/>
    </row>
    <row r="276" spans="2:14" x14ac:dyDescent="0.25">
      <c r="B276" s="49"/>
      <c r="C276" s="57"/>
      <c r="D276" s="144" t="s">
        <v>644</v>
      </c>
      <c r="E276" s="64"/>
      <c r="F276" s="94">
        <v>1</v>
      </c>
      <c r="G276" s="506">
        <f>((0.15+0.25)*2*1)</f>
        <v>0.8</v>
      </c>
      <c r="H276" s="511"/>
      <c r="I276" s="86">
        <v>1.9</v>
      </c>
      <c r="J276" s="99"/>
      <c r="K276" s="82">
        <f t="shared" si="16"/>
        <v>1.52</v>
      </c>
      <c r="L276" s="82"/>
      <c r="M276" s="82"/>
      <c r="N276" s="86"/>
    </row>
    <row r="277" spans="2:14" x14ac:dyDescent="0.25">
      <c r="B277" s="49"/>
      <c r="C277" s="57"/>
      <c r="D277" s="144" t="s">
        <v>645</v>
      </c>
      <c r="E277" s="64"/>
      <c r="F277" s="94">
        <v>1</v>
      </c>
      <c r="G277" s="506">
        <f>((0.15+0.3)*2*1)</f>
        <v>0.89999999999999991</v>
      </c>
      <c r="H277" s="511"/>
      <c r="I277" s="86">
        <v>1.98</v>
      </c>
      <c r="J277" s="99"/>
      <c r="K277" s="82">
        <f t="shared" si="16"/>
        <v>1.7819999999999998</v>
      </c>
      <c r="L277" s="82"/>
      <c r="M277" s="82"/>
      <c r="N277" s="86"/>
    </row>
    <row r="278" spans="2:14" ht="20.45" hidden="1" customHeight="1" x14ac:dyDescent="0.25">
      <c r="B278" s="49" t="s">
        <v>87</v>
      </c>
      <c r="C278" s="58">
        <v>98557</v>
      </c>
      <c r="D278" s="52" t="s">
        <v>89</v>
      </c>
      <c r="E278" s="64" t="s">
        <v>17</v>
      </c>
      <c r="F278" s="94"/>
      <c r="G278" s="104"/>
      <c r="H278" s="92"/>
      <c r="I278" s="105"/>
      <c r="J278" s="99">
        <f>'BOLETIM DE MEDIÇÃO 05'!O38-'MEMORIAL DE CALCULO 02'!K278</f>
        <v>253.95000000000002</v>
      </c>
      <c r="K278" s="82">
        <f t="shared" si="16"/>
        <v>0</v>
      </c>
      <c r="L278" s="82">
        <f t="shared" si="0"/>
        <v>253.95000000000002</v>
      </c>
      <c r="M278" s="82">
        <f>'BOLETIM DE MEDIÇÃO 05'!G38</f>
        <v>253.95</v>
      </c>
      <c r="N278" s="86">
        <f t="shared" si="1"/>
        <v>0</v>
      </c>
    </row>
    <row r="279" spans="2:14" ht="14.45" hidden="1" customHeight="1" x14ac:dyDescent="0.25">
      <c r="B279" s="56" t="s">
        <v>90</v>
      </c>
      <c r="C279" s="60" t="s">
        <v>91</v>
      </c>
      <c r="D279" s="52"/>
      <c r="E279" s="64"/>
      <c r="F279" s="94"/>
      <c r="G279" s="104"/>
      <c r="H279" s="92"/>
      <c r="I279" s="105"/>
      <c r="J279" s="99"/>
      <c r="K279" s="82">
        <f t="shared" si="16"/>
        <v>0</v>
      </c>
      <c r="L279" s="82"/>
      <c r="M279" s="82"/>
      <c r="N279" s="86"/>
    </row>
    <row r="280" spans="2:14" ht="40.9" hidden="1" customHeight="1" x14ac:dyDescent="0.25">
      <c r="B280" s="49" t="s">
        <v>92</v>
      </c>
      <c r="C280" s="57">
        <v>92443</v>
      </c>
      <c r="D280" s="52" t="s">
        <v>94</v>
      </c>
      <c r="E280" s="64" t="s">
        <v>17</v>
      </c>
      <c r="F280" s="94"/>
      <c r="G280" s="104"/>
      <c r="H280" s="92"/>
      <c r="I280" s="105"/>
      <c r="J280" s="99">
        <f>'BOLETIM DE MEDIÇÃO 05'!O40-'MEMORIAL DE CALCULO 02'!K280</f>
        <v>399.86</v>
      </c>
      <c r="K280" s="82">
        <f t="shared" si="16"/>
        <v>0</v>
      </c>
      <c r="L280" s="82">
        <f t="shared" si="0"/>
        <v>399.86</v>
      </c>
      <c r="M280" s="82">
        <f>'BOLETIM DE MEDIÇÃO 05'!G40</f>
        <v>408.7</v>
      </c>
      <c r="N280" s="86">
        <f t="shared" si="1"/>
        <v>8.839999999999975</v>
      </c>
    </row>
    <row r="281" spans="2:14" ht="30.6" hidden="1" customHeight="1" x14ac:dyDescent="0.25">
      <c r="B281" s="49" t="s">
        <v>95</v>
      </c>
      <c r="C281" s="63">
        <v>92480</v>
      </c>
      <c r="D281" s="61" t="s">
        <v>97</v>
      </c>
      <c r="E281" s="64" t="s">
        <v>17</v>
      </c>
      <c r="F281" s="94"/>
      <c r="G281" s="104"/>
      <c r="H281" s="43"/>
      <c r="I281" s="105"/>
      <c r="J281" s="99">
        <f>'BOLETIM DE MEDIÇÃO 05'!O41-'MEMORIAL DE CALCULO 02'!K281</f>
        <v>0</v>
      </c>
      <c r="K281" s="82">
        <f t="shared" si="16"/>
        <v>0</v>
      </c>
      <c r="L281" s="82">
        <f t="shared" si="0"/>
        <v>0</v>
      </c>
      <c r="M281" s="82">
        <f>'BOLETIM DE MEDIÇÃO 05'!G41</f>
        <v>435.33</v>
      </c>
      <c r="N281" s="86">
        <f t="shared" si="1"/>
        <v>435.33</v>
      </c>
    </row>
    <row r="282" spans="2:14" ht="20.45" hidden="1" customHeight="1" x14ac:dyDescent="0.25">
      <c r="B282" s="49" t="s">
        <v>98</v>
      </c>
      <c r="C282" s="57">
        <v>92267</v>
      </c>
      <c r="D282" s="52" t="s">
        <v>100</v>
      </c>
      <c r="E282" s="64" t="s">
        <v>17</v>
      </c>
      <c r="F282" s="94"/>
      <c r="G282" s="104"/>
      <c r="H282" s="64"/>
      <c r="I282" s="105"/>
      <c r="J282" s="99">
        <f>'BOLETIM DE MEDIÇÃO 05'!O42-'MEMORIAL DE CALCULO 02'!K282</f>
        <v>0</v>
      </c>
      <c r="K282" s="82">
        <f t="shared" si="16"/>
        <v>0</v>
      </c>
      <c r="L282" s="82">
        <f t="shared" si="0"/>
        <v>0</v>
      </c>
      <c r="M282" s="82">
        <f>'BOLETIM DE MEDIÇÃO 05'!G42</f>
        <v>111.15</v>
      </c>
      <c r="N282" s="86">
        <f t="shared" si="1"/>
        <v>111.15</v>
      </c>
    </row>
    <row r="283" spans="2:14" ht="30.6" hidden="1" customHeight="1" x14ac:dyDescent="0.25">
      <c r="B283" s="49" t="s">
        <v>101</v>
      </c>
      <c r="C283" s="57">
        <v>92759</v>
      </c>
      <c r="D283" s="52" t="s">
        <v>103</v>
      </c>
      <c r="E283" s="64" t="s">
        <v>62</v>
      </c>
      <c r="F283" s="94"/>
      <c r="G283" s="104"/>
      <c r="H283" s="64"/>
      <c r="I283" s="105"/>
      <c r="J283" s="99">
        <f>'BOLETIM DE MEDIÇÃO 05'!O43-'MEMORIAL DE CALCULO 02'!K283</f>
        <v>682.7</v>
      </c>
      <c r="K283" s="82">
        <f t="shared" si="16"/>
        <v>0</v>
      </c>
      <c r="L283" s="82">
        <f t="shared" si="0"/>
        <v>682.7</v>
      </c>
      <c r="M283" s="82">
        <f>'BOLETIM DE MEDIÇÃO 05'!G43</f>
        <v>1027.8</v>
      </c>
      <c r="N283" s="86">
        <f t="shared" si="1"/>
        <v>345.09999999999991</v>
      </c>
    </row>
    <row r="284" spans="2:14" ht="30.6" hidden="1" customHeight="1" x14ac:dyDescent="0.25">
      <c r="B284" s="49" t="s">
        <v>104</v>
      </c>
      <c r="C284" s="57">
        <v>92760</v>
      </c>
      <c r="D284" s="52" t="s">
        <v>106</v>
      </c>
      <c r="E284" s="64" t="s">
        <v>62</v>
      </c>
      <c r="F284" s="94"/>
      <c r="G284" s="104"/>
      <c r="H284" s="64"/>
      <c r="I284" s="105"/>
      <c r="J284" s="99">
        <f>'BOLETIM DE MEDIÇÃO 05'!O44-'MEMORIAL DE CALCULO 02'!K284</f>
        <v>23.46</v>
      </c>
      <c r="K284" s="82">
        <f t="shared" si="16"/>
        <v>0</v>
      </c>
      <c r="L284" s="82">
        <f t="shared" si="0"/>
        <v>23.46</v>
      </c>
      <c r="M284" s="82">
        <f>'BOLETIM DE MEDIÇÃO 05'!G44</f>
        <v>39.1</v>
      </c>
      <c r="N284" s="86">
        <f t="shared" si="1"/>
        <v>15.64</v>
      </c>
    </row>
    <row r="285" spans="2:14" ht="30.6" hidden="1" customHeight="1" x14ac:dyDescent="0.25">
      <c r="B285" s="49" t="s">
        <v>107</v>
      </c>
      <c r="C285" s="57">
        <v>92761</v>
      </c>
      <c r="D285" s="52" t="s">
        <v>109</v>
      </c>
      <c r="E285" s="64" t="s">
        <v>62</v>
      </c>
      <c r="F285" s="94"/>
      <c r="G285" s="104"/>
      <c r="H285" s="64"/>
      <c r="I285" s="105"/>
      <c r="J285" s="99">
        <f>'BOLETIM DE MEDIÇÃO 05'!O45-'MEMORIAL DE CALCULO 02'!K285</f>
        <v>415.67999999999995</v>
      </c>
      <c r="K285" s="82">
        <f t="shared" si="16"/>
        <v>0</v>
      </c>
      <c r="L285" s="82">
        <f t="shared" si="0"/>
        <v>415.67999999999995</v>
      </c>
      <c r="M285" s="82">
        <f>'BOLETIM DE MEDIÇÃO 05'!G45</f>
        <v>1000</v>
      </c>
      <c r="N285" s="86">
        <f t="shared" si="1"/>
        <v>584.32000000000005</v>
      </c>
    </row>
    <row r="286" spans="2:14" ht="30.6" hidden="1" customHeight="1" x14ac:dyDescent="0.25">
      <c r="B286" s="49" t="s">
        <v>110</v>
      </c>
      <c r="C286" s="57">
        <v>92762</v>
      </c>
      <c r="D286" s="52" t="s">
        <v>112</v>
      </c>
      <c r="E286" s="64" t="s">
        <v>62</v>
      </c>
      <c r="F286" s="94"/>
      <c r="G286" s="104"/>
      <c r="H286" s="64"/>
      <c r="I286" s="105"/>
      <c r="J286" s="99">
        <f>'BOLETIM DE MEDIÇÃO 05'!O46-'MEMORIAL DE CALCULO 02'!K286</f>
        <v>1237.4000000000001</v>
      </c>
      <c r="K286" s="82">
        <f t="shared" si="16"/>
        <v>0</v>
      </c>
      <c r="L286" s="82">
        <f t="shared" si="0"/>
        <v>1237.4000000000001</v>
      </c>
      <c r="M286" s="82">
        <f>'BOLETIM DE MEDIÇÃO 05'!G46</f>
        <v>1306.0999999999999</v>
      </c>
      <c r="N286" s="86">
        <f t="shared" si="1"/>
        <v>68.699999999999818</v>
      </c>
    </row>
    <row r="287" spans="2:14" ht="33.75" hidden="1" x14ac:dyDescent="0.25">
      <c r="B287" s="49" t="s">
        <v>113</v>
      </c>
      <c r="C287" s="57">
        <v>92763</v>
      </c>
      <c r="D287" s="52" t="s">
        <v>115</v>
      </c>
      <c r="E287" s="64" t="s">
        <v>62</v>
      </c>
      <c r="F287" s="94"/>
      <c r="G287" s="104"/>
      <c r="H287" s="64"/>
      <c r="I287" s="105"/>
      <c r="J287" s="99">
        <f>'BOLETIM DE MEDIÇÃO 05'!O47-'MEMORIAL DE CALCULO 02'!K287</f>
        <v>161.6</v>
      </c>
      <c r="K287" s="82">
        <f t="shared" si="16"/>
        <v>0</v>
      </c>
      <c r="L287" s="82">
        <f t="shared" si="0"/>
        <v>161.6</v>
      </c>
      <c r="M287" s="82">
        <f>'BOLETIM DE MEDIÇÃO 05'!G47</f>
        <v>168.2</v>
      </c>
      <c r="N287" s="86">
        <f t="shared" si="1"/>
        <v>6.5999999999999943</v>
      </c>
    </row>
    <row r="288" spans="2:14" ht="33.75" hidden="1" x14ac:dyDescent="0.25">
      <c r="B288" s="49" t="s">
        <v>116</v>
      </c>
      <c r="C288" s="57">
        <v>92768</v>
      </c>
      <c r="D288" s="52" t="s">
        <v>118</v>
      </c>
      <c r="E288" s="64" t="s">
        <v>62</v>
      </c>
      <c r="F288" s="94"/>
      <c r="G288" s="104"/>
      <c r="H288" s="64"/>
      <c r="I288" s="105"/>
      <c r="J288" s="99">
        <f>'BOLETIM DE MEDIÇÃO 05'!O48-'MEMORIAL DE CALCULO 02'!K288</f>
        <v>0</v>
      </c>
      <c r="K288" s="82">
        <f t="shared" si="16"/>
        <v>0</v>
      </c>
      <c r="L288" s="82">
        <f t="shared" si="0"/>
        <v>0</v>
      </c>
      <c r="M288" s="82">
        <f>'BOLETIM DE MEDIÇÃO 05'!G48</f>
        <v>158.69999999999999</v>
      </c>
      <c r="N288" s="86">
        <f t="shared" si="1"/>
        <v>158.69999999999999</v>
      </c>
    </row>
    <row r="289" spans="2:14" ht="33.75" hidden="1" x14ac:dyDescent="0.25">
      <c r="B289" s="49" t="s">
        <v>119</v>
      </c>
      <c r="C289" s="57">
        <v>92769</v>
      </c>
      <c r="D289" s="52" t="s">
        <v>121</v>
      </c>
      <c r="E289" s="64" t="s">
        <v>62</v>
      </c>
      <c r="F289" s="94"/>
      <c r="G289" s="104"/>
      <c r="H289" s="64"/>
      <c r="I289" s="105"/>
      <c r="J289" s="99">
        <f>'BOLETIM DE MEDIÇÃO 05'!O49-'MEMORIAL DE CALCULO 02'!K289</f>
        <v>0</v>
      </c>
      <c r="K289" s="82">
        <f t="shared" si="16"/>
        <v>0</v>
      </c>
      <c r="L289" s="82">
        <f t="shared" si="0"/>
        <v>0</v>
      </c>
      <c r="M289" s="82">
        <f>'BOLETIM DE MEDIÇÃO 05'!G49</f>
        <v>170.5</v>
      </c>
      <c r="N289" s="86">
        <f t="shared" si="1"/>
        <v>170.5</v>
      </c>
    </row>
    <row r="290" spans="2:14" ht="33.75" hidden="1" x14ac:dyDescent="0.25">
      <c r="B290" s="49" t="s">
        <v>122</v>
      </c>
      <c r="C290" s="57">
        <v>92770</v>
      </c>
      <c r="D290" s="52" t="s">
        <v>124</v>
      </c>
      <c r="E290" s="64" t="s">
        <v>62</v>
      </c>
      <c r="F290" s="94"/>
      <c r="G290" s="104"/>
      <c r="H290" s="64"/>
      <c r="I290" s="105"/>
      <c r="J290" s="99">
        <f>'BOLETIM DE MEDIÇÃO 05'!O50-'MEMORIAL DE CALCULO 02'!K290</f>
        <v>0</v>
      </c>
      <c r="K290" s="82">
        <f t="shared" si="16"/>
        <v>0</v>
      </c>
      <c r="L290" s="82">
        <f t="shared" si="0"/>
        <v>0</v>
      </c>
      <c r="M290" s="82">
        <f>'BOLETIM DE MEDIÇÃO 05'!G50</f>
        <v>279.10000000000002</v>
      </c>
      <c r="N290" s="86">
        <f t="shared" si="1"/>
        <v>279.10000000000002</v>
      </c>
    </row>
    <row r="291" spans="2:14" ht="33.75" hidden="1" x14ac:dyDescent="0.25">
      <c r="B291" s="49" t="s">
        <v>125</v>
      </c>
      <c r="C291" s="57">
        <v>94966</v>
      </c>
      <c r="D291" s="52" t="s">
        <v>65</v>
      </c>
      <c r="E291" s="64" t="s">
        <v>41</v>
      </c>
      <c r="F291" s="94"/>
      <c r="G291" s="104"/>
      <c r="H291" s="64"/>
      <c r="I291" s="105"/>
      <c r="J291" s="99">
        <f>'BOLETIM DE MEDIÇÃO 05'!O51-'MEMORIAL DE CALCULO 02'!K291</f>
        <v>19.43</v>
      </c>
      <c r="K291" s="82">
        <f t="shared" si="16"/>
        <v>0</v>
      </c>
      <c r="L291" s="82">
        <f t="shared" si="0"/>
        <v>19.43</v>
      </c>
      <c r="M291" s="82">
        <f>'BOLETIM DE MEDIÇÃO 05'!G51</f>
        <v>61.56</v>
      </c>
      <c r="N291" s="86">
        <f t="shared" si="1"/>
        <v>42.13</v>
      </c>
    </row>
    <row r="292" spans="2:14" ht="22.5" hidden="1" x14ac:dyDescent="0.25">
      <c r="B292" s="49" t="s">
        <v>126</v>
      </c>
      <c r="C292" s="63">
        <v>103670</v>
      </c>
      <c r="D292" s="61" t="s">
        <v>71</v>
      </c>
      <c r="E292" s="64" t="s">
        <v>41</v>
      </c>
      <c r="F292" s="94"/>
      <c r="G292" s="104"/>
      <c r="H292" s="43"/>
      <c r="I292" s="105"/>
      <c r="J292" s="99">
        <f>'BOLETIM DE MEDIÇÃO 05'!O52-'MEMORIAL DE CALCULO 02'!K292</f>
        <v>19.43</v>
      </c>
      <c r="K292" s="82">
        <f t="shared" si="16"/>
        <v>0</v>
      </c>
      <c r="L292" s="82">
        <f t="shared" si="0"/>
        <v>19.43</v>
      </c>
      <c r="M292" s="82">
        <f>'BOLETIM DE MEDIÇÃO 05'!G52</f>
        <v>61.56</v>
      </c>
      <c r="N292" s="86">
        <f t="shared" si="1"/>
        <v>42.13</v>
      </c>
    </row>
    <row r="293" spans="2:14" ht="33.75" hidden="1" x14ac:dyDescent="0.25">
      <c r="B293" s="49" t="s">
        <v>127</v>
      </c>
      <c r="C293" s="63">
        <v>92771</v>
      </c>
      <c r="D293" s="61" t="s">
        <v>129</v>
      </c>
      <c r="E293" s="64" t="s">
        <v>62</v>
      </c>
      <c r="F293" s="94"/>
      <c r="G293" s="104"/>
      <c r="H293" s="43"/>
      <c r="I293" s="105"/>
      <c r="J293" s="99">
        <f>'BOLETIM DE MEDIÇÃO 05'!O53-'MEMORIAL DE CALCULO 02'!K293</f>
        <v>0</v>
      </c>
      <c r="K293" s="82">
        <f t="shared" si="16"/>
        <v>0</v>
      </c>
      <c r="L293" s="82">
        <f t="shared" si="0"/>
        <v>0</v>
      </c>
      <c r="M293" s="82">
        <f>'BOLETIM DE MEDIÇÃO 05'!G53</f>
        <v>312.3</v>
      </c>
      <c r="N293" s="86">
        <f t="shared" si="1"/>
        <v>312.3</v>
      </c>
    </row>
    <row r="294" spans="2:14" ht="33.75" hidden="1" x14ac:dyDescent="0.25">
      <c r="B294" s="49" t="s">
        <v>130</v>
      </c>
      <c r="C294" s="57">
        <v>92772</v>
      </c>
      <c r="D294" s="52" t="s">
        <v>132</v>
      </c>
      <c r="E294" s="64" t="s">
        <v>62</v>
      </c>
      <c r="F294" s="94"/>
      <c r="G294" s="104"/>
      <c r="H294" s="64"/>
      <c r="I294" s="105"/>
      <c r="J294" s="99">
        <f>'BOLETIM DE MEDIÇÃO 05'!O54-'MEMORIAL DE CALCULO 02'!K294</f>
        <v>0</v>
      </c>
      <c r="K294" s="82">
        <f t="shared" si="16"/>
        <v>0</v>
      </c>
      <c r="L294" s="82">
        <f t="shared" si="0"/>
        <v>0</v>
      </c>
      <c r="M294" s="82">
        <f>'BOLETIM DE MEDIÇÃO 05'!G54</f>
        <v>154.80000000000001</v>
      </c>
      <c r="N294" s="86">
        <f t="shared" si="1"/>
        <v>154.80000000000001</v>
      </c>
    </row>
    <row r="295" spans="2:14" hidden="1" x14ac:dyDescent="0.25">
      <c r="B295" s="56">
        <v>1.5</v>
      </c>
      <c r="C295" s="60" t="s">
        <v>134</v>
      </c>
      <c r="D295" s="52"/>
      <c r="E295" s="64"/>
      <c r="F295" s="94"/>
      <c r="G295" s="104"/>
      <c r="H295" s="64"/>
      <c r="I295" s="105"/>
      <c r="J295" s="99"/>
      <c r="K295" s="82">
        <f t="shared" si="16"/>
        <v>0</v>
      </c>
      <c r="L295" s="82"/>
      <c r="M295" s="82"/>
      <c r="N295" s="86"/>
    </row>
    <row r="296" spans="2:14" ht="45" hidden="1" x14ac:dyDescent="0.25">
      <c r="B296" s="49" t="s">
        <v>135</v>
      </c>
      <c r="C296" s="57">
        <v>103356</v>
      </c>
      <c r="D296" s="52" t="s">
        <v>137</v>
      </c>
      <c r="E296" s="64" t="s">
        <v>17</v>
      </c>
      <c r="F296" s="94"/>
      <c r="G296" s="104"/>
      <c r="H296" s="64"/>
      <c r="I296" s="105"/>
      <c r="J296" s="99">
        <f>'BOLETIM DE MEDIÇÃO 05'!O56-'MEMORIAL DE CALCULO 02'!K296</f>
        <v>846.84500000000003</v>
      </c>
      <c r="K296" s="82">
        <f t="shared" si="16"/>
        <v>0</v>
      </c>
      <c r="L296" s="82">
        <f t="shared" si="0"/>
        <v>846.84500000000003</v>
      </c>
      <c r="M296" s="82">
        <f>'BOLETIM DE MEDIÇÃO 05'!G56</f>
        <v>1131.99</v>
      </c>
      <c r="N296" s="86">
        <f t="shared" si="1"/>
        <v>285.14499999999998</v>
      </c>
    </row>
    <row r="297" spans="2:14" ht="22.5" hidden="1" x14ac:dyDescent="0.25">
      <c r="B297" s="49" t="s">
        <v>138</v>
      </c>
      <c r="C297" s="63">
        <v>93189</v>
      </c>
      <c r="D297" s="61" t="s">
        <v>140</v>
      </c>
      <c r="E297" s="64" t="s">
        <v>37</v>
      </c>
      <c r="F297" s="94"/>
      <c r="G297" s="104"/>
      <c r="H297" s="43"/>
      <c r="I297" s="105"/>
      <c r="J297" s="99">
        <f>'BOLETIM DE MEDIÇÃO 05'!O57-'MEMORIAL DE CALCULO 02'!K297</f>
        <v>64.100000000000009</v>
      </c>
      <c r="K297" s="82">
        <f t="shared" si="16"/>
        <v>0</v>
      </c>
      <c r="L297" s="82">
        <f t="shared" si="0"/>
        <v>64.100000000000009</v>
      </c>
      <c r="M297" s="82">
        <f>'BOLETIM DE MEDIÇÃO 05'!G57</f>
        <v>64.099999999999994</v>
      </c>
      <c r="N297" s="86">
        <f t="shared" si="1"/>
        <v>0</v>
      </c>
    </row>
    <row r="298" spans="2:14" ht="33.75" hidden="1" x14ac:dyDescent="0.25">
      <c r="B298" s="49" t="s">
        <v>141</v>
      </c>
      <c r="C298" s="57">
        <v>93191</v>
      </c>
      <c r="D298" s="52" t="s">
        <v>143</v>
      </c>
      <c r="E298" s="64" t="s">
        <v>37</v>
      </c>
      <c r="F298" s="94"/>
      <c r="G298" s="104"/>
      <c r="H298" s="64"/>
      <c r="I298" s="105"/>
      <c r="J298" s="99">
        <f>'BOLETIM DE MEDIÇÃO 05'!O58-'MEMORIAL DE CALCULO 02'!K298</f>
        <v>72.2</v>
      </c>
      <c r="K298" s="82">
        <f t="shared" si="16"/>
        <v>0</v>
      </c>
      <c r="L298" s="82">
        <f t="shared" si="0"/>
        <v>72.2</v>
      </c>
      <c r="M298" s="82">
        <f>'BOLETIM DE MEDIÇÃO 05'!G58</f>
        <v>72.2</v>
      </c>
      <c r="N298" s="86">
        <f t="shared" si="1"/>
        <v>0</v>
      </c>
    </row>
    <row r="299" spans="2:14" ht="22.5" hidden="1" x14ac:dyDescent="0.25">
      <c r="B299" s="49" t="s">
        <v>144</v>
      </c>
      <c r="C299" s="57">
        <v>93197</v>
      </c>
      <c r="D299" s="52" t="s">
        <v>146</v>
      </c>
      <c r="E299" s="64" t="s">
        <v>37</v>
      </c>
      <c r="F299" s="94"/>
      <c r="G299" s="104"/>
      <c r="H299" s="64"/>
      <c r="I299" s="105"/>
      <c r="J299" s="99">
        <f>'BOLETIM DE MEDIÇÃO 05'!O59-'MEMORIAL DE CALCULO 02'!K299</f>
        <v>72.2</v>
      </c>
      <c r="K299" s="82">
        <f t="shared" si="16"/>
        <v>0</v>
      </c>
      <c r="L299" s="82">
        <f t="shared" si="0"/>
        <v>72.2</v>
      </c>
      <c r="M299" s="82">
        <f>'BOLETIM DE MEDIÇÃO 05'!G59</f>
        <v>72.2</v>
      </c>
      <c r="N299" s="86">
        <f t="shared" si="1"/>
        <v>0</v>
      </c>
    </row>
    <row r="300" spans="2:14" ht="14.45" hidden="1" customHeight="1" x14ac:dyDescent="0.25">
      <c r="B300" s="56">
        <v>1.6</v>
      </c>
      <c r="C300" s="60" t="s">
        <v>148</v>
      </c>
      <c r="D300" s="52"/>
      <c r="E300" s="64"/>
      <c r="F300" s="94"/>
      <c r="G300" s="104"/>
      <c r="H300" s="64"/>
      <c r="I300" s="105"/>
      <c r="J300" s="99"/>
      <c r="K300" s="82">
        <f t="shared" si="16"/>
        <v>0</v>
      </c>
      <c r="L300" s="82"/>
      <c r="M300" s="82"/>
      <c r="N300" s="86"/>
    </row>
    <row r="301" spans="2:14" ht="45" hidden="1" x14ac:dyDescent="0.25">
      <c r="B301" s="49" t="s">
        <v>149</v>
      </c>
      <c r="C301" s="57">
        <v>87893</v>
      </c>
      <c r="D301" s="52" t="s">
        <v>151</v>
      </c>
      <c r="E301" s="64" t="s">
        <v>17</v>
      </c>
      <c r="F301" s="94"/>
      <c r="G301" s="104"/>
      <c r="H301" s="64"/>
      <c r="I301" s="105"/>
      <c r="J301" s="99">
        <f>'BOLETIM DE MEDIÇÃO 05'!O61-'MEMORIAL DE CALCULO 02'!K301</f>
        <v>1348.98</v>
      </c>
      <c r="K301" s="82">
        <f t="shared" si="16"/>
        <v>0</v>
      </c>
      <c r="L301" s="82">
        <f t="shared" si="0"/>
        <v>1348.98</v>
      </c>
      <c r="M301" s="82">
        <f>'BOLETIM DE MEDIÇÃO 05'!G61</f>
        <v>1348.98</v>
      </c>
      <c r="N301" s="86">
        <f t="shared" si="1"/>
        <v>0</v>
      </c>
    </row>
    <row r="302" spans="2:14" ht="56.25" hidden="1" x14ac:dyDescent="0.25">
      <c r="B302" s="49" t="s">
        <v>152</v>
      </c>
      <c r="C302" s="57">
        <v>87548</v>
      </c>
      <c r="D302" s="52" t="s">
        <v>154</v>
      </c>
      <c r="E302" s="64" t="s">
        <v>17</v>
      </c>
      <c r="F302" s="94"/>
      <c r="G302" s="104"/>
      <c r="H302" s="64"/>
      <c r="I302" s="105"/>
      <c r="J302" s="99">
        <f>'BOLETIM DE MEDIÇÃO 05'!O62-'MEMORIAL DE CALCULO 02'!K302</f>
        <v>0</v>
      </c>
      <c r="K302" s="82">
        <f t="shared" si="16"/>
        <v>0</v>
      </c>
      <c r="L302" s="82">
        <f t="shared" si="0"/>
        <v>0</v>
      </c>
      <c r="M302" s="82">
        <f>'BOLETIM DE MEDIÇÃO 05'!G62</f>
        <v>997.11</v>
      </c>
      <c r="N302" s="86">
        <f t="shared" si="1"/>
        <v>997.11</v>
      </c>
    </row>
    <row r="303" spans="2:14" ht="56.25" hidden="1" x14ac:dyDescent="0.25">
      <c r="B303" s="49" t="s">
        <v>155</v>
      </c>
      <c r="C303" s="57">
        <v>87536</v>
      </c>
      <c r="D303" s="52" t="s">
        <v>157</v>
      </c>
      <c r="E303" s="64" t="s">
        <v>17</v>
      </c>
      <c r="F303" s="94"/>
      <c r="G303" s="104"/>
      <c r="H303" s="64"/>
      <c r="I303" s="105"/>
      <c r="J303" s="99">
        <f>'BOLETIM DE MEDIÇÃO 05'!O63-'MEMORIAL DE CALCULO 02'!K303</f>
        <v>0</v>
      </c>
      <c r="K303" s="82">
        <f t="shared" si="16"/>
        <v>0</v>
      </c>
      <c r="L303" s="82">
        <f t="shared" si="0"/>
        <v>0</v>
      </c>
      <c r="M303" s="82">
        <f>'BOLETIM DE MEDIÇÃO 05'!G63</f>
        <v>351.87</v>
      </c>
      <c r="N303" s="86">
        <f t="shared" si="1"/>
        <v>351.87</v>
      </c>
    </row>
    <row r="304" spans="2:14" ht="33.75" hidden="1" x14ac:dyDescent="0.25">
      <c r="B304" s="49" t="s">
        <v>158</v>
      </c>
      <c r="C304" s="57">
        <v>87275</v>
      </c>
      <c r="D304" s="52" t="s">
        <v>160</v>
      </c>
      <c r="E304" s="64" t="s">
        <v>17</v>
      </c>
      <c r="F304" s="94"/>
      <c r="G304" s="104"/>
      <c r="H304" s="64"/>
      <c r="I304" s="105"/>
      <c r="J304" s="99">
        <f>'BOLETIM DE MEDIÇÃO 05'!O64-'MEMORIAL DE CALCULO 02'!K304</f>
        <v>0</v>
      </c>
      <c r="K304" s="82">
        <f t="shared" si="16"/>
        <v>0</v>
      </c>
      <c r="L304" s="82">
        <f t="shared" si="0"/>
        <v>0</v>
      </c>
      <c r="M304" s="82">
        <f>'BOLETIM DE MEDIÇÃO 05'!G64</f>
        <v>351.87</v>
      </c>
      <c r="N304" s="86">
        <f t="shared" si="1"/>
        <v>351.87</v>
      </c>
    </row>
    <row r="305" spans="2:14" hidden="1" x14ac:dyDescent="0.25">
      <c r="B305" s="56">
        <v>1.7</v>
      </c>
      <c r="C305" s="60" t="s">
        <v>162</v>
      </c>
      <c r="D305" s="52"/>
      <c r="E305" s="64"/>
      <c r="F305" s="94"/>
      <c r="G305" s="104"/>
      <c r="H305" s="64"/>
      <c r="I305" s="105"/>
      <c r="J305" s="99"/>
      <c r="K305" s="82">
        <f t="shared" si="16"/>
        <v>0</v>
      </c>
      <c r="L305" s="82"/>
      <c r="M305" s="82"/>
      <c r="N305" s="86"/>
    </row>
    <row r="306" spans="2:14" ht="56.25" hidden="1" x14ac:dyDescent="0.25">
      <c r="B306" s="49" t="s">
        <v>163</v>
      </c>
      <c r="C306" s="63">
        <v>91315</v>
      </c>
      <c r="D306" s="61" t="s">
        <v>165</v>
      </c>
      <c r="E306" s="64" t="s">
        <v>166</v>
      </c>
      <c r="F306" s="94"/>
      <c r="G306" s="104"/>
      <c r="H306" s="43"/>
      <c r="I306" s="105"/>
      <c r="J306" s="99">
        <f>'BOLETIM DE MEDIÇÃO 05'!O66-'MEMORIAL DE CALCULO 02'!K306</f>
        <v>0</v>
      </c>
      <c r="K306" s="82">
        <f t="shared" si="16"/>
        <v>0</v>
      </c>
      <c r="L306" s="82">
        <f t="shared" si="0"/>
        <v>0</v>
      </c>
      <c r="M306" s="82">
        <f>'BOLETIM DE MEDIÇÃO 05'!G66</f>
        <v>18</v>
      </c>
      <c r="N306" s="86">
        <f t="shared" si="1"/>
        <v>18</v>
      </c>
    </row>
    <row r="307" spans="2:14" ht="56.25" hidden="1" x14ac:dyDescent="0.25">
      <c r="B307" s="49" t="s">
        <v>167</v>
      </c>
      <c r="C307" s="57">
        <v>94570</v>
      </c>
      <c r="D307" s="52" t="s">
        <v>169</v>
      </c>
      <c r="E307" s="64" t="s">
        <v>17</v>
      </c>
      <c r="F307" s="94"/>
      <c r="G307" s="104"/>
      <c r="H307" s="64"/>
      <c r="I307" s="105"/>
      <c r="J307" s="99">
        <f>'BOLETIM DE MEDIÇÃO 05'!O67-'MEMORIAL DE CALCULO 02'!K307</f>
        <v>0</v>
      </c>
      <c r="K307" s="82">
        <f t="shared" si="16"/>
        <v>0</v>
      </c>
      <c r="L307" s="82">
        <f t="shared" si="0"/>
        <v>0</v>
      </c>
      <c r="M307" s="82">
        <f>'BOLETIM DE MEDIÇÃO 05'!G67</f>
        <v>49.7</v>
      </c>
      <c r="N307" s="86">
        <f t="shared" si="1"/>
        <v>49.7</v>
      </c>
    </row>
    <row r="308" spans="2:14" ht="56.25" hidden="1" x14ac:dyDescent="0.25">
      <c r="B308" s="49" t="s">
        <v>170</v>
      </c>
      <c r="C308" s="57">
        <v>100689</v>
      </c>
      <c r="D308" s="52" t="s">
        <v>172</v>
      </c>
      <c r="E308" s="64" t="s">
        <v>166</v>
      </c>
      <c r="F308" s="94"/>
      <c r="G308" s="104"/>
      <c r="H308" s="64"/>
      <c r="I308" s="105"/>
      <c r="J308" s="99">
        <f>'BOLETIM DE MEDIÇÃO 05'!O68-'MEMORIAL DE CALCULO 02'!K308</f>
        <v>0</v>
      </c>
      <c r="K308" s="82">
        <f t="shared" si="16"/>
        <v>0</v>
      </c>
      <c r="L308" s="82">
        <f t="shared" si="0"/>
        <v>0</v>
      </c>
      <c r="M308" s="82">
        <f>'BOLETIM DE MEDIÇÃO 05'!G68</f>
        <v>5</v>
      </c>
      <c r="N308" s="86">
        <f t="shared" si="1"/>
        <v>5</v>
      </c>
    </row>
    <row r="309" spans="2:14" ht="33.75" hidden="1" x14ac:dyDescent="0.25">
      <c r="B309" s="49" t="s">
        <v>173</v>
      </c>
      <c r="C309" s="58" t="s">
        <v>174</v>
      </c>
      <c r="D309" s="52" t="s">
        <v>175</v>
      </c>
      <c r="E309" s="64" t="s">
        <v>5</v>
      </c>
      <c r="F309" s="94"/>
      <c r="G309" s="104"/>
      <c r="H309" s="64"/>
      <c r="I309" s="105"/>
      <c r="J309" s="99">
        <f>'BOLETIM DE MEDIÇÃO 05'!O69-'MEMORIAL DE CALCULO 02'!K309</f>
        <v>0</v>
      </c>
      <c r="K309" s="82">
        <f t="shared" si="16"/>
        <v>0</v>
      </c>
      <c r="L309" s="82">
        <f t="shared" si="0"/>
        <v>0</v>
      </c>
      <c r="M309" s="82">
        <f>'BOLETIM DE MEDIÇÃO 05'!G69</f>
        <v>1</v>
      </c>
      <c r="N309" s="86">
        <f t="shared" si="1"/>
        <v>1</v>
      </c>
    </row>
    <row r="310" spans="2:14" ht="33.75" hidden="1" x14ac:dyDescent="0.25">
      <c r="B310" s="49" t="s">
        <v>176</v>
      </c>
      <c r="C310" s="58" t="s">
        <v>177</v>
      </c>
      <c r="D310" s="52" t="s">
        <v>178</v>
      </c>
      <c r="E310" s="64" t="s">
        <v>5</v>
      </c>
      <c r="F310" s="94"/>
      <c r="G310" s="104"/>
      <c r="H310" s="64"/>
      <c r="I310" s="105"/>
      <c r="J310" s="99">
        <f>'BOLETIM DE MEDIÇÃO 05'!O70-'MEMORIAL DE CALCULO 02'!K310</f>
        <v>0</v>
      </c>
      <c r="K310" s="82">
        <f t="shared" si="16"/>
        <v>0</v>
      </c>
      <c r="L310" s="82">
        <f t="shared" si="0"/>
        <v>0</v>
      </c>
      <c r="M310" s="82">
        <f>'BOLETIM DE MEDIÇÃO 05'!G70</f>
        <v>3</v>
      </c>
      <c r="N310" s="86">
        <f t="shared" si="1"/>
        <v>3</v>
      </c>
    </row>
    <row r="311" spans="2:14" ht="33.75" hidden="1" x14ac:dyDescent="0.25">
      <c r="B311" s="49" t="s">
        <v>179</v>
      </c>
      <c r="C311" s="57">
        <v>91341</v>
      </c>
      <c r="D311" s="52" t="s">
        <v>181</v>
      </c>
      <c r="E311" s="64" t="s">
        <v>17</v>
      </c>
      <c r="F311" s="94"/>
      <c r="G311" s="104"/>
      <c r="H311" s="64"/>
      <c r="I311" s="105"/>
      <c r="J311" s="99">
        <f>'BOLETIM DE MEDIÇÃO 05'!O71-'MEMORIAL DE CALCULO 02'!K311</f>
        <v>0</v>
      </c>
      <c r="K311" s="82">
        <f t="shared" si="16"/>
        <v>0</v>
      </c>
      <c r="L311" s="82">
        <f t="shared" si="0"/>
        <v>0</v>
      </c>
      <c r="M311" s="82">
        <f>'BOLETIM DE MEDIÇÃO 05'!G71</f>
        <v>12.96</v>
      </c>
      <c r="N311" s="86">
        <f t="shared" si="1"/>
        <v>12.96</v>
      </c>
    </row>
    <row r="312" spans="2:14" ht="33.75" hidden="1" x14ac:dyDescent="0.25">
      <c r="B312" s="49" t="s">
        <v>182</v>
      </c>
      <c r="C312" s="57">
        <v>100702</v>
      </c>
      <c r="D312" s="52" t="s">
        <v>184</v>
      </c>
      <c r="E312" s="64" t="s">
        <v>17</v>
      </c>
      <c r="F312" s="94"/>
      <c r="G312" s="104"/>
      <c r="H312" s="64"/>
      <c r="I312" s="105"/>
      <c r="J312" s="99">
        <f>'BOLETIM DE MEDIÇÃO 05'!O72-'MEMORIAL DE CALCULO 02'!K312</f>
        <v>0</v>
      </c>
      <c r="K312" s="82">
        <f t="shared" si="16"/>
        <v>0</v>
      </c>
      <c r="L312" s="82">
        <f t="shared" si="0"/>
        <v>0</v>
      </c>
      <c r="M312" s="82">
        <f>'BOLETIM DE MEDIÇÃO 05'!G72</f>
        <v>19.96</v>
      </c>
      <c r="N312" s="86">
        <f t="shared" si="1"/>
        <v>19.96</v>
      </c>
    </row>
    <row r="313" spans="2:14" ht="45" hidden="1" x14ac:dyDescent="0.25">
      <c r="B313" s="49" t="s">
        <v>185</v>
      </c>
      <c r="C313" s="57">
        <v>90831</v>
      </c>
      <c r="D313" s="52" t="s">
        <v>187</v>
      </c>
      <c r="E313" s="64" t="s">
        <v>166</v>
      </c>
      <c r="F313" s="94"/>
      <c r="G313" s="104"/>
      <c r="H313" s="64"/>
      <c r="I313" s="105"/>
      <c r="J313" s="99">
        <f>'BOLETIM DE MEDIÇÃO 05'!O73-'MEMORIAL DE CALCULO 02'!K313</f>
        <v>0</v>
      </c>
      <c r="K313" s="82">
        <f t="shared" ref="K313:K376" si="18">(F313*G313*I313)</f>
        <v>0</v>
      </c>
      <c r="L313" s="82">
        <f t="shared" si="0"/>
        <v>0</v>
      </c>
      <c r="M313" s="82">
        <f>'BOLETIM DE MEDIÇÃO 05'!G73</f>
        <v>8</v>
      </c>
      <c r="N313" s="86">
        <f t="shared" si="1"/>
        <v>8</v>
      </c>
    </row>
    <row r="314" spans="2:14" hidden="1" x14ac:dyDescent="0.25">
      <c r="B314" s="56">
        <v>1.8</v>
      </c>
      <c r="C314" s="60" t="s">
        <v>189</v>
      </c>
      <c r="D314" s="52"/>
      <c r="E314" s="43"/>
      <c r="F314" s="94"/>
      <c r="G314" s="104"/>
      <c r="H314" s="64"/>
      <c r="I314" s="105"/>
      <c r="J314" s="99"/>
      <c r="K314" s="82">
        <f t="shared" si="18"/>
        <v>0</v>
      </c>
      <c r="L314" s="82"/>
      <c r="M314" s="82"/>
      <c r="N314" s="86"/>
    </row>
    <row r="315" spans="2:14" ht="22.5" hidden="1" x14ac:dyDescent="0.25">
      <c r="B315" s="49" t="s">
        <v>190</v>
      </c>
      <c r="C315" s="57">
        <v>88485</v>
      </c>
      <c r="D315" s="52" t="s">
        <v>192</v>
      </c>
      <c r="E315" s="43" t="s">
        <v>17</v>
      </c>
      <c r="F315" s="94"/>
      <c r="G315" s="104"/>
      <c r="H315" s="64"/>
      <c r="I315" s="105"/>
      <c r="J315" s="99">
        <f>'BOLETIM DE MEDIÇÃO 05'!O75-'MEMORIAL DE CALCULO 02'!K315</f>
        <v>0</v>
      </c>
      <c r="K315" s="82">
        <f t="shared" si="18"/>
        <v>0</v>
      </c>
      <c r="L315" s="82">
        <f t="shared" si="0"/>
        <v>0</v>
      </c>
      <c r="M315" s="82">
        <f>'BOLETIM DE MEDIÇÃO 05'!G75</f>
        <v>997.11</v>
      </c>
      <c r="N315" s="86">
        <f t="shared" si="1"/>
        <v>997.11</v>
      </c>
    </row>
    <row r="316" spans="2:14" ht="22.5" hidden="1" x14ac:dyDescent="0.25">
      <c r="B316" s="49" t="s">
        <v>193</v>
      </c>
      <c r="C316" s="57">
        <v>88495</v>
      </c>
      <c r="D316" s="52" t="s">
        <v>195</v>
      </c>
      <c r="E316" s="43" t="s">
        <v>17</v>
      </c>
      <c r="F316" s="94"/>
      <c r="G316" s="104"/>
      <c r="H316" s="64"/>
      <c r="I316" s="105"/>
      <c r="J316" s="99">
        <f>'BOLETIM DE MEDIÇÃO 05'!O76-'MEMORIAL DE CALCULO 02'!K316</f>
        <v>0</v>
      </c>
      <c r="K316" s="82">
        <f t="shared" si="18"/>
        <v>0</v>
      </c>
      <c r="L316" s="82">
        <f t="shared" si="0"/>
        <v>0</v>
      </c>
      <c r="M316" s="82">
        <f>'BOLETIM DE MEDIÇÃO 05'!G76</f>
        <v>997.11</v>
      </c>
      <c r="N316" s="86">
        <f t="shared" si="1"/>
        <v>997.11</v>
      </c>
    </row>
    <row r="317" spans="2:14" ht="22.5" hidden="1" x14ac:dyDescent="0.25">
      <c r="B317" s="49" t="s">
        <v>196</v>
      </c>
      <c r="C317" s="57">
        <v>88489</v>
      </c>
      <c r="D317" s="52" t="s">
        <v>198</v>
      </c>
      <c r="E317" s="43" t="s">
        <v>17</v>
      </c>
      <c r="F317" s="94"/>
      <c r="G317" s="104"/>
      <c r="H317" s="64"/>
      <c r="I317" s="105"/>
      <c r="J317" s="99">
        <f>'BOLETIM DE MEDIÇÃO 05'!O77-'MEMORIAL DE CALCULO 02'!K317</f>
        <v>0</v>
      </c>
      <c r="K317" s="82">
        <f t="shared" si="18"/>
        <v>0</v>
      </c>
      <c r="L317" s="82">
        <f t="shared" si="0"/>
        <v>0</v>
      </c>
      <c r="M317" s="82">
        <f>'BOLETIM DE MEDIÇÃO 05'!G77</f>
        <v>997.11</v>
      </c>
      <c r="N317" s="86">
        <f t="shared" si="1"/>
        <v>997.11</v>
      </c>
    </row>
    <row r="318" spans="2:14" ht="22.5" hidden="1" x14ac:dyDescent="0.25">
      <c r="B318" s="49" t="s">
        <v>199</v>
      </c>
      <c r="C318" s="57">
        <v>88484</v>
      </c>
      <c r="D318" s="52" t="s">
        <v>201</v>
      </c>
      <c r="E318" s="43" t="s">
        <v>17</v>
      </c>
      <c r="F318" s="94"/>
      <c r="G318" s="104"/>
      <c r="H318" s="64"/>
      <c r="I318" s="105"/>
      <c r="J318" s="99">
        <f>'BOLETIM DE MEDIÇÃO 05'!O78-'MEMORIAL DE CALCULO 02'!K318</f>
        <v>0</v>
      </c>
      <c r="K318" s="82">
        <f t="shared" si="18"/>
        <v>0</v>
      </c>
      <c r="L318" s="82">
        <f t="shared" si="0"/>
        <v>0</v>
      </c>
      <c r="M318" s="82">
        <f>'BOLETIM DE MEDIÇÃO 05'!G78</f>
        <v>634.5</v>
      </c>
      <c r="N318" s="86">
        <f t="shared" si="1"/>
        <v>634.5</v>
      </c>
    </row>
    <row r="319" spans="2:14" ht="22.5" hidden="1" x14ac:dyDescent="0.25">
      <c r="B319" s="49" t="s">
        <v>202</v>
      </c>
      <c r="C319" s="57">
        <v>88494</v>
      </c>
      <c r="D319" s="52" t="s">
        <v>204</v>
      </c>
      <c r="E319" s="43" t="s">
        <v>17</v>
      </c>
      <c r="F319" s="94"/>
      <c r="G319" s="104"/>
      <c r="H319" s="64"/>
      <c r="I319" s="105"/>
      <c r="J319" s="99">
        <f>'BOLETIM DE MEDIÇÃO 05'!O79-'MEMORIAL DE CALCULO 02'!K319</f>
        <v>0</v>
      </c>
      <c r="K319" s="82">
        <f t="shared" si="18"/>
        <v>0</v>
      </c>
      <c r="L319" s="82">
        <f t="shared" ref="L319:L382" si="19">J319+K319</f>
        <v>0</v>
      </c>
      <c r="M319" s="82">
        <f>'BOLETIM DE MEDIÇÃO 05'!G79</f>
        <v>634.5</v>
      </c>
      <c r="N319" s="86">
        <f t="shared" ref="N319:N382" si="20">M319-L319</f>
        <v>634.5</v>
      </c>
    </row>
    <row r="320" spans="2:14" ht="22.5" hidden="1" x14ac:dyDescent="0.25">
      <c r="B320" s="49" t="s">
        <v>205</v>
      </c>
      <c r="C320" s="57">
        <v>88488</v>
      </c>
      <c r="D320" s="52" t="s">
        <v>207</v>
      </c>
      <c r="E320" s="43" t="s">
        <v>17</v>
      </c>
      <c r="F320" s="94"/>
      <c r="G320" s="104"/>
      <c r="H320" s="64"/>
      <c r="I320" s="105"/>
      <c r="J320" s="99">
        <f>'BOLETIM DE MEDIÇÃO 05'!O80-'MEMORIAL DE CALCULO 02'!K320</f>
        <v>0</v>
      </c>
      <c r="K320" s="82">
        <f t="shared" si="18"/>
        <v>0</v>
      </c>
      <c r="L320" s="82">
        <f t="shared" si="19"/>
        <v>0</v>
      </c>
      <c r="M320" s="82">
        <f>'BOLETIM DE MEDIÇÃO 05'!G80</f>
        <v>634.5</v>
      </c>
      <c r="N320" s="86">
        <f t="shared" si="20"/>
        <v>634.5</v>
      </c>
    </row>
    <row r="321" spans="2:14" ht="14.45" hidden="1" customHeight="1" x14ac:dyDescent="0.25">
      <c r="B321" s="51" t="s">
        <v>208</v>
      </c>
      <c r="C321" s="65" t="s">
        <v>209</v>
      </c>
      <c r="D321" s="53"/>
      <c r="E321" s="44"/>
      <c r="F321" s="95"/>
      <c r="G321" s="106"/>
      <c r="H321" s="70"/>
      <c r="I321" s="105"/>
      <c r="J321" s="99"/>
      <c r="K321" s="82">
        <f t="shared" si="18"/>
        <v>0</v>
      </c>
      <c r="L321" s="82"/>
      <c r="M321" s="82"/>
      <c r="N321" s="86"/>
    </row>
    <row r="322" spans="2:14" ht="45" hidden="1" x14ac:dyDescent="0.25">
      <c r="B322" s="49" t="s">
        <v>210</v>
      </c>
      <c r="C322" s="57">
        <v>87894</v>
      </c>
      <c r="D322" s="52" t="s">
        <v>212</v>
      </c>
      <c r="E322" s="43" t="s">
        <v>17</v>
      </c>
      <c r="F322" s="94"/>
      <c r="G322" s="104"/>
      <c r="H322" s="64"/>
      <c r="I322" s="105"/>
      <c r="J322" s="99">
        <f>'BOLETIM DE MEDIÇÃO 05'!O82-'MEMORIAL DE CALCULO 02'!K322</f>
        <v>0</v>
      </c>
      <c r="K322" s="82">
        <f t="shared" si="18"/>
        <v>0</v>
      </c>
      <c r="L322" s="82">
        <f t="shared" si="19"/>
        <v>0</v>
      </c>
      <c r="M322" s="82">
        <f>'BOLETIM DE MEDIÇÃO 05'!G82</f>
        <v>466.37</v>
      </c>
      <c r="N322" s="86">
        <f t="shared" si="20"/>
        <v>466.37</v>
      </c>
    </row>
    <row r="323" spans="2:14" ht="56.25" hidden="1" x14ac:dyDescent="0.25">
      <c r="B323" s="49" t="s">
        <v>213</v>
      </c>
      <c r="C323" s="57">
        <v>104233</v>
      </c>
      <c r="D323" s="52" t="s">
        <v>215</v>
      </c>
      <c r="E323" s="43" t="s">
        <v>17</v>
      </c>
      <c r="F323" s="94"/>
      <c r="G323" s="104"/>
      <c r="H323" s="64"/>
      <c r="I323" s="105"/>
      <c r="J323" s="99">
        <f>'BOLETIM DE MEDIÇÃO 05'!O83-'MEMORIAL DE CALCULO 02'!K323</f>
        <v>0</v>
      </c>
      <c r="K323" s="82">
        <f t="shared" si="18"/>
        <v>0</v>
      </c>
      <c r="L323" s="82">
        <f t="shared" si="19"/>
        <v>0</v>
      </c>
      <c r="M323" s="82">
        <f>'BOLETIM DE MEDIÇÃO 05'!G83</f>
        <v>466.37</v>
      </c>
      <c r="N323" s="86">
        <f t="shared" si="20"/>
        <v>466.37</v>
      </c>
    </row>
    <row r="324" spans="2:14" ht="33.75" hidden="1" x14ac:dyDescent="0.25">
      <c r="B324" s="49" t="s">
        <v>216</v>
      </c>
      <c r="C324" s="62" t="s">
        <v>217</v>
      </c>
      <c r="D324" s="61" t="s">
        <v>218</v>
      </c>
      <c r="E324" s="43" t="s">
        <v>17</v>
      </c>
      <c r="F324" s="96"/>
      <c r="G324" s="104"/>
      <c r="H324" s="43"/>
      <c r="I324" s="105"/>
      <c r="J324" s="99">
        <f>'BOLETIM DE MEDIÇÃO 05'!O84-'MEMORIAL DE CALCULO 02'!K324</f>
        <v>0</v>
      </c>
      <c r="K324" s="82">
        <f t="shared" si="18"/>
        <v>0</v>
      </c>
      <c r="L324" s="82">
        <f t="shared" si="19"/>
        <v>0</v>
      </c>
      <c r="M324" s="82">
        <f>'BOLETIM DE MEDIÇÃO 05'!G84</f>
        <v>32.5</v>
      </c>
      <c r="N324" s="86">
        <f t="shared" si="20"/>
        <v>32.5</v>
      </c>
    </row>
    <row r="325" spans="2:14" ht="33.75" hidden="1" x14ac:dyDescent="0.25">
      <c r="B325" s="50" t="s">
        <v>219</v>
      </c>
      <c r="C325" s="59" t="s">
        <v>220</v>
      </c>
      <c r="D325" s="53" t="s">
        <v>221</v>
      </c>
      <c r="E325" s="44" t="s">
        <v>222</v>
      </c>
      <c r="F325" s="95"/>
      <c r="G325" s="106"/>
      <c r="H325" s="70"/>
      <c r="I325" s="105"/>
      <c r="J325" s="99">
        <f>'BOLETIM DE MEDIÇÃO 05'!O85-'MEMORIAL DE CALCULO 02'!K325</f>
        <v>0</v>
      </c>
      <c r="K325" s="82">
        <f t="shared" si="18"/>
        <v>0</v>
      </c>
      <c r="L325" s="82">
        <f t="shared" si="19"/>
        <v>0</v>
      </c>
      <c r="M325" s="82">
        <f>'BOLETIM DE MEDIÇÃO 05'!G85</f>
        <v>29.5</v>
      </c>
      <c r="N325" s="86">
        <f t="shared" si="20"/>
        <v>29.5</v>
      </c>
    </row>
    <row r="326" spans="2:14" ht="22.5" hidden="1" x14ac:dyDescent="0.25">
      <c r="B326" s="50" t="s">
        <v>223</v>
      </c>
      <c r="C326" s="66">
        <v>88485</v>
      </c>
      <c r="D326" s="53" t="s">
        <v>192</v>
      </c>
      <c r="E326" s="44" t="s">
        <v>17</v>
      </c>
      <c r="F326" s="95"/>
      <c r="G326" s="106"/>
      <c r="H326" s="70"/>
      <c r="I326" s="105"/>
      <c r="J326" s="99">
        <f>'BOLETIM DE MEDIÇÃO 05'!O86-'MEMORIAL DE CALCULO 02'!K326</f>
        <v>0</v>
      </c>
      <c r="K326" s="82">
        <f t="shared" si="18"/>
        <v>0</v>
      </c>
      <c r="L326" s="82">
        <f t="shared" si="19"/>
        <v>0</v>
      </c>
      <c r="M326" s="82">
        <f>'BOLETIM DE MEDIÇÃO 05'!G86</f>
        <v>404.37</v>
      </c>
      <c r="N326" s="86">
        <f t="shared" si="20"/>
        <v>404.37</v>
      </c>
    </row>
    <row r="327" spans="2:14" ht="22.5" hidden="1" x14ac:dyDescent="0.25">
      <c r="B327" s="50" t="s">
        <v>224</v>
      </c>
      <c r="C327" s="66">
        <v>96130</v>
      </c>
      <c r="D327" s="53" t="s">
        <v>226</v>
      </c>
      <c r="E327" s="44" t="s">
        <v>17</v>
      </c>
      <c r="F327" s="95"/>
      <c r="G327" s="106"/>
      <c r="H327" s="70"/>
      <c r="I327" s="105"/>
      <c r="J327" s="99">
        <f>'BOLETIM DE MEDIÇÃO 05'!O87-'MEMORIAL DE CALCULO 02'!K327</f>
        <v>0</v>
      </c>
      <c r="K327" s="82">
        <f t="shared" si="18"/>
        <v>0</v>
      </c>
      <c r="L327" s="82">
        <f t="shared" si="19"/>
        <v>0</v>
      </c>
      <c r="M327" s="82">
        <f>'BOLETIM DE MEDIÇÃO 05'!G87</f>
        <v>404.37</v>
      </c>
      <c r="N327" s="86">
        <f t="shared" si="20"/>
        <v>404.37</v>
      </c>
    </row>
    <row r="328" spans="2:14" ht="22.5" hidden="1" x14ac:dyDescent="0.25">
      <c r="B328" s="50" t="s">
        <v>227</v>
      </c>
      <c r="C328" s="66">
        <v>88489</v>
      </c>
      <c r="D328" s="53" t="s">
        <v>198</v>
      </c>
      <c r="E328" s="44" t="s">
        <v>17</v>
      </c>
      <c r="F328" s="95"/>
      <c r="G328" s="106"/>
      <c r="H328" s="70"/>
      <c r="I328" s="105"/>
      <c r="J328" s="99">
        <f>'BOLETIM DE MEDIÇÃO 05'!O88-'MEMORIAL DE CALCULO 02'!K328</f>
        <v>0</v>
      </c>
      <c r="K328" s="82">
        <f t="shared" si="18"/>
        <v>0</v>
      </c>
      <c r="L328" s="82">
        <f t="shared" si="19"/>
        <v>0</v>
      </c>
      <c r="M328" s="82">
        <f>'BOLETIM DE MEDIÇÃO 05'!G88</f>
        <v>404.37</v>
      </c>
      <c r="N328" s="86">
        <f t="shared" si="20"/>
        <v>404.37</v>
      </c>
    </row>
    <row r="329" spans="2:14" ht="14.45" hidden="1" customHeight="1" x14ac:dyDescent="0.25">
      <c r="B329" s="65">
        <v>1.1000000000000001</v>
      </c>
      <c r="C329" s="65" t="s">
        <v>229</v>
      </c>
      <c r="D329" s="53"/>
      <c r="E329" s="44"/>
      <c r="F329" s="95"/>
      <c r="G329" s="106"/>
      <c r="H329" s="70"/>
      <c r="I329" s="105"/>
      <c r="J329" s="99"/>
      <c r="K329" s="82">
        <f t="shared" si="18"/>
        <v>0</v>
      </c>
      <c r="L329" s="82"/>
      <c r="M329" s="82"/>
      <c r="N329" s="86"/>
    </row>
    <row r="330" spans="2:14" ht="33.75" hidden="1" x14ac:dyDescent="0.25">
      <c r="B330" s="50" t="s">
        <v>230</v>
      </c>
      <c r="C330" s="66">
        <v>92868</v>
      </c>
      <c r="D330" s="53" t="s">
        <v>232</v>
      </c>
      <c r="E330" s="69" t="s">
        <v>166</v>
      </c>
      <c r="F330" s="97"/>
      <c r="G330" s="106"/>
      <c r="H330" s="70"/>
      <c r="I330" s="105"/>
      <c r="J330" s="99">
        <f>'BOLETIM DE MEDIÇÃO 05'!O90-'MEMORIAL DE CALCULO 02'!K330</f>
        <v>0</v>
      </c>
      <c r="K330" s="82">
        <f t="shared" si="18"/>
        <v>0</v>
      </c>
      <c r="L330" s="82">
        <f t="shared" si="19"/>
        <v>0</v>
      </c>
      <c r="M330" s="82">
        <f>'BOLETIM DE MEDIÇÃO 05'!G90</f>
        <v>117</v>
      </c>
      <c r="N330" s="86">
        <f t="shared" si="20"/>
        <v>117</v>
      </c>
    </row>
    <row r="331" spans="2:14" ht="22.5" hidden="1" x14ac:dyDescent="0.25">
      <c r="B331" s="50" t="s">
        <v>233</v>
      </c>
      <c r="C331" s="66">
        <v>91937</v>
      </c>
      <c r="D331" s="53" t="s">
        <v>235</v>
      </c>
      <c r="E331" s="69" t="s">
        <v>166</v>
      </c>
      <c r="F331" s="97"/>
      <c r="G331" s="106"/>
      <c r="H331" s="70"/>
      <c r="I331" s="105"/>
      <c r="J331" s="99">
        <f>'BOLETIM DE MEDIÇÃO 05'!O91-'MEMORIAL DE CALCULO 02'!K331</f>
        <v>0</v>
      </c>
      <c r="K331" s="82">
        <f t="shared" si="18"/>
        <v>0</v>
      </c>
      <c r="L331" s="82">
        <f t="shared" si="19"/>
        <v>0</v>
      </c>
      <c r="M331" s="82">
        <f>'BOLETIM DE MEDIÇÃO 05'!G91</f>
        <v>76</v>
      </c>
      <c r="N331" s="86">
        <f t="shared" si="20"/>
        <v>76</v>
      </c>
    </row>
    <row r="332" spans="2:14" ht="33.75" hidden="1" x14ac:dyDescent="0.25">
      <c r="B332" s="50" t="s">
        <v>236</v>
      </c>
      <c r="C332" s="66">
        <v>91924</v>
      </c>
      <c r="D332" s="53" t="s">
        <v>238</v>
      </c>
      <c r="E332" s="69" t="s">
        <v>37</v>
      </c>
      <c r="F332" s="97"/>
      <c r="G332" s="106"/>
      <c r="H332" s="70"/>
      <c r="I332" s="105"/>
      <c r="J332" s="99">
        <f>'BOLETIM DE MEDIÇÃO 05'!O92-'MEMORIAL DE CALCULO 02'!K332</f>
        <v>0</v>
      </c>
      <c r="K332" s="82">
        <f t="shared" si="18"/>
        <v>0</v>
      </c>
      <c r="L332" s="82">
        <f t="shared" si="19"/>
        <v>0</v>
      </c>
      <c r="M332" s="82">
        <f>'BOLETIM DE MEDIÇÃO 05'!G92</f>
        <v>1253.8</v>
      </c>
      <c r="N332" s="86">
        <f t="shared" si="20"/>
        <v>1253.8</v>
      </c>
    </row>
    <row r="333" spans="2:14" ht="33.75" hidden="1" x14ac:dyDescent="0.25">
      <c r="B333" s="50" t="s">
        <v>239</v>
      </c>
      <c r="C333" s="66">
        <v>91926</v>
      </c>
      <c r="D333" s="53" t="s">
        <v>241</v>
      </c>
      <c r="E333" s="69" t="s">
        <v>37</v>
      </c>
      <c r="F333" s="97"/>
      <c r="G333" s="106"/>
      <c r="H333" s="70"/>
      <c r="I333" s="105"/>
      <c r="J333" s="99">
        <f>'BOLETIM DE MEDIÇÃO 05'!O93-'MEMORIAL DE CALCULO 02'!K333</f>
        <v>0</v>
      </c>
      <c r="K333" s="82">
        <f t="shared" si="18"/>
        <v>0</v>
      </c>
      <c r="L333" s="82">
        <f t="shared" si="19"/>
        <v>0</v>
      </c>
      <c r="M333" s="82">
        <f>'BOLETIM DE MEDIÇÃO 05'!G93</f>
        <v>1496.3</v>
      </c>
      <c r="N333" s="86">
        <f t="shared" si="20"/>
        <v>1496.3</v>
      </c>
    </row>
    <row r="334" spans="2:14" ht="33.75" hidden="1" x14ac:dyDescent="0.25">
      <c r="B334" s="50" t="s">
        <v>242</v>
      </c>
      <c r="C334" s="68">
        <v>91928</v>
      </c>
      <c r="D334" s="67" t="s">
        <v>244</v>
      </c>
      <c r="E334" s="69" t="s">
        <v>37</v>
      </c>
      <c r="F334" s="97"/>
      <c r="G334" s="106"/>
      <c r="H334" s="44"/>
      <c r="I334" s="105"/>
      <c r="J334" s="99">
        <f>'BOLETIM DE MEDIÇÃO 05'!O94-'MEMORIAL DE CALCULO 02'!K334</f>
        <v>0</v>
      </c>
      <c r="K334" s="82">
        <f t="shared" si="18"/>
        <v>0</v>
      </c>
      <c r="L334" s="82">
        <f t="shared" si="19"/>
        <v>0</v>
      </c>
      <c r="M334" s="82">
        <f>'BOLETIM DE MEDIÇÃO 05'!G94</f>
        <v>284.60000000000002</v>
      </c>
      <c r="N334" s="86">
        <f t="shared" si="20"/>
        <v>284.60000000000002</v>
      </c>
    </row>
    <row r="335" spans="2:14" ht="33.75" hidden="1" x14ac:dyDescent="0.25">
      <c r="B335" s="50" t="s">
        <v>245</v>
      </c>
      <c r="C335" s="66">
        <v>91931</v>
      </c>
      <c r="D335" s="53" t="s">
        <v>247</v>
      </c>
      <c r="E335" s="69" t="s">
        <v>37</v>
      </c>
      <c r="F335" s="97"/>
      <c r="G335" s="106"/>
      <c r="H335" s="70"/>
      <c r="I335" s="105"/>
      <c r="J335" s="99">
        <f>'BOLETIM DE MEDIÇÃO 05'!O95-'MEMORIAL DE CALCULO 02'!K335</f>
        <v>0</v>
      </c>
      <c r="K335" s="82">
        <f t="shared" si="18"/>
        <v>0</v>
      </c>
      <c r="L335" s="82">
        <f t="shared" si="19"/>
        <v>0</v>
      </c>
      <c r="M335" s="82">
        <f>'BOLETIM DE MEDIÇÃO 05'!G95</f>
        <v>224</v>
      </c>
      <c r="N335" s="86">
        <f t="shared" si="20"/>
        <v>224</v>
      </c>
    </row>
    <row r="336" spans="2:14" ht="22.5" hidden="1" x14ac:dyDescent="0.25">
      <c r="B336" s="50" t="s">
        <v>248</v>
      </c>
      <c r="C336" s="66">
        <v>39773</v>
      </c>
      <c r="D336" s="53" t="s">
        <v>250</v>
      </c>
      <c r="E336" s="69" t="s">
        <v>166</v>
      </c>
      <c r="F336" s="97"/>
      <c r="G336" s="106"/>
      <c r="H336" s="70"/>
      <c r="I336" s="105"/>
      <c r="J336" s="99">
        <f>'BOLETIM DE MEDIÇÃO 05'!O96-'MEMORIAL DE CALCULO 02'!K336</f>
        <v>0</v>
      </c>
      <c r="K336" s="82">
        <f t="shared" si="18"/>
        <v>0</v>
      </c>
      <c r="L336" s="82">
        <f t="shared" si="19"/>
        <v>0</v>
      </c>
      <c r="M336" s="82">
        <f>'BOLETIM DE MEDIÇÃO 05'!G96</f>
        <v>2</v>
      </c>
      <c r="N336" s="86">
        <f t="shared" si="20"/>
        <v>2</v>
      </c>
    </row>
    <row r="337" spans="2:14" ht="33.75" hidden="1" x14ac:dyDescent="0.25">
      <c r="B337" s="50" t="s">
        <v>251</v>
      </c>
      <c r="C337" s="66">
        <v>101890</v>
      </c>
      <c r="D337" s="53" t="s">
        <v>253</v>
      </c>
      <c r="E337" s="69" t="s">
        <v>166</v>
      </c>
      <c r="F337" s="97"/>
      <c r="G337" s="106"/>
      <c r="H337" s="70"/>
      <c r="I337" s="105"/>
      <c r="J337" s="99">
        <f>'BOLETIM DE MEDIÇÃO 05'!O97-'MEMORIAL DE CALCULO 02'!K337</f>
        <v>0</v>
      </c>
      <c r="K337" s="82">
        <f t="shared" si="18"/>
        <v>0</v>
      </c>
      <c r="L337" s="82">
        <f t="shared" si="19"/>
        <v>0</v>
      </c>
      <c r="M337" s="82">
        <f>'BOLETIM DE MEDIÇÃO 05'!G97</f>
        <v>19</v>
      </c>
      <c r="N337" s="86">
        <f t="shared" si="20"/>
        <v>19</v>
      </c>
    </row>
    <row r="338" spans="2:14" ht="22.5" hidden="1" x14ac:dyDescent="0.25">
      <c r="B338" s="50" t="s">
        <v>254</v>
      </c>
      <c r="C338" s="66">
        <v>93670</v>
      </c>
      <c r="D338" s="53" t="s">
        <v>256</v>
      </c>
      <c r="E338" s="69" t="s">
        <v>166</v>
      </c>
      <c r="F338" s="97"/>
      <c r="G338" s="106"/>
      <c r="H338" s="70"/>
      <c r="I338" s="105"/>
      <c r="J338" s="99">
        <f>'BOLETIM DE MEDIÇÃO 05'!O98-'MEMORIAL DE CALCULO 02'!K338</f>
        <v>0</v>
      </c>
      <c r="K338" s="82">
        <f t="shared" si="18"/>
        <v>0</v>
      </c>
      <c r="L338" s="82">
        <f t="shared" si="19"/>
        <v>0</v>
      </c>
      <c r="M338" s="82">
        <f>'BOLETIM DE MEDIÇÃO 05'!G98</f>
        <v>1</v>
      </c>
      <c r="N338" s="86">
        <f t="shared" si="20"/>
        <v>1</v>
      </c>
    </row>
    <row r="339" spans="2:14" ht="22.5" hidden="1" x14ac:dyDescent="0.25">
      <c r="B339" s="50" t="s">
        <v>257</v>
      </c>
      <c r="C339" s="66">
        <v>93671</v>
      </c>
      <c r="D339" s="53" t="s">
        <v>259</v>
      </c>
      <c r="E339" s="69" t="s">
        <v>166</v>
      </c>
      <c r="F339" s="97"/>
      <c r="G339" s="106"/>
      <c r="H339" s="70"/>
      <c r="I339" s="105"/>
      <c r="J339" s="99">
        <f>'BOLETIM DE MEDIÇÃO 05'!O99-'MEMORIAL DE CALCULO 02'!K339</f>
        <v>0</v>
      </c>
      <c r="K339" s="82">
        <f t="shared" si="18"/>
        <v>0</v>
      </c>
      <c r="L339" s="82">
        <f t="shared" si="19"/>
        <v>0</v>
      </c>
      <c r="M339" s="82">
        <f>'BOLETIM DE MEDIÇÃO 05'!G99</f>
        <v>1</v>
      </c>
      <c r="N339" s="86">
        <f t="shared" si="20"/>
        <v>1</v>
      </c>
    </row>
    <row r="340" spans="2:14" ht="22.5" hidden="1" x14ac:dyDescent="0.25">
      <c r="B340" s="50" t="s">
        <v>260</v>
      </c>
      <c r="C340" s="66">
        <v>39466</v>
      </c>
      <c r="D340" s="53" t="s">
        <v>262</v>
      </c>
      <c r="E340" s="69" t="s">
        <v>166</v>
      </c>
      <c r="F340" s="97"/>
      <c r="G340" s="106"/>
      <c r="H340" s="70"/>
      <c r="I340" s="105"/>
      <c r="J340" s="99">
        <f>'BOLETIM DE MEDIÇÃO 05'!O100-'MEMORIAL DE CALCULO 02'!K340</f>
        <v>0</v>
      </c>
      <c r="K340" s="82">
        <f t="shared" si="18"/>
        <v>0</v>
      </c>
      <c r="L340" s="82">
        <f t="shared" si="19"/>
        <v>0</v>
      </c>
      <c r="M340" s="82">
        <f>'BOLETIM DE MEDIÇÃO 05'!G100</f>
        <v>6</v>
      </c>
      <c r="N340" s="86">
        <f t="shared" si="20"/>
        <v>6</v>
      </c>
    </row>
    <row r="341" spans="2:14" ht="22.5" hidden="1" x14ac:dyDescent="0.25">
      <c r="B341" s="50" t="s">
        <v>263</v>
      </c>
      <c r="C341" s="66">
        <v>39445</v>
      </c>
      <c r="D341" s="53" t="s">
        <v>265</v>
      </c>
      <c r="E341" s="69" t="s">
        <v>166</v>
      </c>
      <c r="F341" s="97"/>
      <c r="G341" s="106"/>
      <c r="H341" s="70"/>
      <c r="I341" s="105"/>
      <c r="J341" s="99">
        <f>'BOLETIM DE MEDIÇÃO 05'!O101-'MEMORIAL DE CALCULO 02'!K341</f>
        <v>0</v>
      </c>
      <c r="K341" s="82">
        <f t="shared" si="18"/>
        <v>0</v>
      </c>
      <c r="L341" s="82">
        <f t="shared" si="19"/>
        <v>0</v>
      </c>
      <c r="M341" s="82">
        <f>'BOLETIM DE MEDIÇÃO 05'!G101</f>
        <v>1</v>
      </c>
      <c r="N341" s="86">
        <f t="shared" si="20"/>
        <v>1</v>
      </c>
    </row>
    <row r="342" spans="2:14" ht="22.5" hidden="1" x14ac:dyDescent="0.25">
      <c r="B342" s="50" t="s">
        <v>266</v>
      </c>
      <c r="C342" s="66">
        <v>39446</v>
      </c>
      <c r="D342" s="53" t="s">
        <v>268</v>
      </c>
      <c r="E342" s="69" t="s">
        <v>166</v>
      </c>
      <c r="F342" s="97"/>
      <c r="G342" s="106"/>
      <c r="H342" s="70"/>
      <c r="I342" s="105"/>
      <c r="J342" s="99">
        <f>'BOLETIM DE MEDIÇÃO 05'!O102-'MEMORIAL DE CALCULO 02'!K342</f>
        <v>0</v>
      </c>
      <c r="K342" s="82">
        <f t="shared" si="18"/>
        <v>0</v>
      </c>
      <c r="L342" s="82">
        <f t="shared" si="19"/>
        <v>0</v>
      </c>
      <c r="M342" s="82">
        <f>'BOLETIM DE MEDIÇÃO 05'!G102</f>
        <v>1</v>
      </c>
      <c r="N342" s="86">
        <f t="shared" si="20"/>
        <v>1</v>
      </c>
    </row>
    <row r="343" spans="2:14" ht="33.75" hidden="1" x14ac:dyDescent="0.25">
      <c r="B343" s="50" t="s">
        <v>269</v>
      </c>
      <c r="C343" s="66">
        <v>91953</v>
      </c>
      <c r="D343" s="53" t="s">
        <v>271</v>
      </c>
      <c r="E343" s="69" t="s">
        <v>166</v>
      </c>
      <c r="F343" s="97"/>
      <c r="G343" s="106"/>
      <c r="H343" s="70"/>
      <c r="I343" s="105"/>
      <c r="J343" s="99">
        <f>'BOLETIM DE MEDIÇÃO 05'!O103-'MEMORIAL DE CALCULO 02'!K343</f>
        <v>0</v>
      </c>
      <c r="K343" s="82">
        <f t="shared" si="18"/>
        <v>0</v>
      </c>
      <c r="L343" s="82">
        <f t="shared" si="19"/>
        <v>0</v>
      </c>
      <c r="M343" s="82">
        <f>'BOLETIM DE MEDIÇÃO 05'!G103</f>
        <v>23</v>
      </c>
      <c r="N343" s="86">
        <f t="shared" si="20"/>
        <v>23</v>
      </c>
    </row>
    <row r="344" spans="2:14" ht="33.75" hidden="1" x14ac:dyDescent="0.25">
      <c r="B344" s="50" t="s">
        <v>272</v>
      </c>
      <c r="C344" s="66">
        <v>91967</v>
      </c>
      <c r="D344" s="53" t="s">
        <v>274</v>
      </c>
      <c r="E344" s="69" t="s">
        <v>166</v>
      </c>
      <c r="F344" s="97"/>
      <c r="G344" s="106"/>
      <c r="H344" s="70"/>
      <c r="I344" s="105"/>
      <c r="J344" s="99">
        <f>'BOLETIM DE MEDIÇÃO 05'!O104-'MEMORIAL DE CALCULO 02'!K344</f>
        <v>0</v>
      </c>
      <c r="K344" s="82">
        <f t="shared" si="18"/>
        <v>0</v>
      </c>
      <c r="L344" s="82">
        <f t="shared" si="19"/>
        <v>0</v>
      </c>
      <c r="M344" s="82">
        <f>'BOLETIM DE MEDIÇÃO 05'!G104</f>
        <v>1</v>
      </c>
      <c r="N344" s="86">
        <f t="shared" si="20"/>
        <v>1</v>
      </c>
    </row>
    <row r="345" spans="2:14" ht="33.75" hidden="1" x14ac:dyDescent="0.25">
      <c r="B345" s="50" t="s">
        <v>275</v>
      </c>
      <c r="C345" s="66">
        <v>92000</v>
      </c>
      <c r="D345" s="53" t="s">
        <v>277</v>
      </c>
      <c r="E345" s="69" t="s">
        <v>166</v>
      </c>
      <c r="F345" s="97"/>
      <c r="G345" s="106"/>
      <c r="H345" s="70"/>
      <c r="I345" s="105"/>
      <c r="J345" s="99">
        <f>'BOLETIM DE MEDIÇÃO 05'!O105-'MEMORIAL DE CALCULO 02'!K345</f>
        <v>0</v>
      </c>
      <c r="K345" s="82">
        <f t="shared" si="18"/>
        <v>0</v>
      </c>
      <c r="L345" s="82">
        <f t="shared" si="19"/>
        <v>0</v>
      </c>
      <c r="M345" s="82">
        <f>'BOLETIM DE MEDIÇÃO 05'!G105</f>
        <v>54</v>
      </c>
      <c r="N345" s="86">
        <f t="shared" si="20"/>
        <v>54</v>
      </c>
    </row>
    <row r="346" spans="2:14" ht="33.75" hidden="1" x14ac:dyDescent="0.25">
      <c r="B346" s="50" t="s">
        <v>278</v>
      </c>
      <c r="C346" s="66">
        <v>92008</v>
      </c>
      <c r="D346" s="53" t="s">
        <v>280</v>
      </c>
      <c r="E346" s="69" t="s">
        <v>166</v>
      </c>
      <c r="F346" s="97"/>
      <c r="G346" s="106"/>
      <c r="H346" s="70"/>
      <c r="I346" s="105"/>
      <c r="J346" s="99">
        <f>'BOLETIM DE MEDIÇÃO 05'!O106-'MEMORIAL DE CALCULO 02'!K346</f>
        <v>0</v>
      </c>
      <c r="K346" s="82">
        <f t="shared" si="18"/>
        <v>0</v>
      </c>
      <c r="L346" s="82">
        <f t="shared" si="19"/>
        <v>0</v>
      </c>
      <c r="M346" s="82">
        <f>'BOLETIM DE MEDIÇÃO 05'!G106</f>
        <v>8</v>
      </c>
      <c r="N346" s="86">
        <f t="shared" si="20"/>
        <v>8</v>
      </c>
    </row>
    <row r="347" spans="2:14" ht="33.75" hidden="1" x14ac:dyDescent="0.25">
      <c r="B347" s="50" t="s">
        <v>281</v>
      </c>
      <c r="C347" s="68">
        <v>91959</v>
      </c>
      <c r="D347" s="67" t="s">
        <v>283</v>
      </c>
      <c r="E347" s="69" t="s">
        <v>166</v>
      </c>
      <c r="F347" s="97"/>
      <c r="G347" s="106"/>
      <c r="H347" s="44"/>
      <c r="I347" s="105"/>
      <c r="J347" s="99">
        <f>'BOLETIM DE MEDIÇÃO 05'!O107-'MEMORIAL DE CALCULO 02'!K347</f>
        <v>0</v>
      </c>
      <c r="K347" s="82">
        <f t="shared" si="18"/>
        <v>0</v>
      </c>
      <c r="L347" s="82">
        <f t="shared" si="19"/>
        <v>0</v>
      </c>
      <c r="M347" s="82">
        <f>'BOLETIM DE MEDIÇÃO 05'!G107</f>
        <v>2</v>
      </c>
      <c r="N347" s="86">
        <f t="shared" si="20"/>
        <v>2</v>
      </c>
    </row>
    <row r="348" spans="2:14" ht="33.75" hidden="1" x14ac:dyDescent="0.25">
      <c r="B348" s="50" t="s">
        <v>284</v>
      </c>
      <c r="C348" s="68">
        <v>91834</v>
      </c>
      <c r="D348" s="67" t="s">
        <v>286</v>
      </c>
      <c r="E348" s="69" t="s">
        <v>37</v>
      </c>
      <c r="F348" s="97"/>
      <c r="G348" s="106"/>
      <c r="H348" s="44"/>
      <c r="I348" s="105"/>
      <c r="J348" s="99">
        <f>'BOLETIM DE MEDIÇÃO 05'!O108-'MEMORIAL DE CALCULO 02'!K348</f>
        <v>0</v>
      </c>
      <c r="K348" s="82">
        <f t="shared" si="18"/>
        <v>0</v>
      </c>
      <c r="L348" s="82">
        <f t="shared" si="19"/>
        <v>0</v>
      </c>
      <c r="M348" s="82">
        <f>'BOLETIM DE MEDIÇÃO 05'!G108</f>
        <v>830.48</v>
      </c>
      <c r="N348" s="86">
        <f t="shared" si="20"/>
        <v>830.48</v>
      </c>
    </row>
    <row r="349" spans="2:14" ht="33.75" hidden="1" x14ac:dyDescent="0.25">
      <c r="B349" s="50" t="s">
        <v>287</v>
      </c>
      <c r="C349" s="66">
        <v>91868</v>
      </c>
      <c r="D349" s="53" t="s">
        <v>289</v>
      </c>
      <c r="E349" s="69" t="s">
        <v>37</v>
      </c>
      <c r="F349" s="97"/>
      <c r="G349" s="106"/>
      <c r="H349" s="70"/>
      <c r="I349" s="105"/>
      <c r="J349" s="99">
        <f>'BOLETIM DE MEDIÇÃO 05'!O109-'MEMORIAL DE CALCULO 02'!K349</f>
        <v>0</v>
      </c>
      <c r="K349" s="82">
        <f t="shared" si="18"/>
        <v>0</v>
      </c>
      <c r="L349" s="82">
        <f t="shared" si="19"/>
        <v>0</v>
      </c>
      <c r="M349" s="82">
        <f>'BOLETIM DE MEDIÇÃO 05'!G109</f>
        <v>55.97</v>
      </c>
      <c r="N349" s="86">
        <f t="shared" si="20"/>
        <v>55.97</v>
      </c>
    </row>
    <row r="350" spans="2:14" ht="33.75" hidden="1" x14ac:dyDescent="0.25">
      <c r="B350" s="50" t="s">
        <v>290</v>
      </c>
      <c r="C350" s="66">
        <v>91867</v>
      </c>
      <c r="D350" s="53" t="s">
        <v>292</v>
      </c>
      <c r="E350" s="69" t="s">
        <v>37</v>
      </c>
      <c r="F350" s="97"/>
      <c r="G350" s="106"/>
      <c r="H350" s="70"/>
      <c r="I350" s="105"/>
      <c r="J350" s="99">
        <f>'BOLETIM DE MEDIÇÃO 05'!O110-'MEMORIAL DE CALCULO 02'!K350</f>
        <v>0</v>
      </c>
      <c r="K350" s="82">
        <f t="shared" si="18"/>
        <v>0</v>
      </c>
      <c r="L350" s="82">
        <f t="shared" si="19"/>
        <v>0</v>
      </c>
      <c r="M350" s="82">
        <f>'BOLETIM DE MEDIÇÃO 05'!G110</f>
        <v>36.19</v>
      </c>
      <c r="N350" s="86">
        <f t="shared" si="20"/>
        <v>36.19</v>
      </c>
    </row>
    <row r="351" spans="2:14" ht="22.5" hidden="1" x14ac:dyDescent="0.25">
      <c r="B351" s="50" t="s">
        <v>293</v>
      </c>
      <c r="C351" s="66">
        <v>101654</v>
      </c>
      <c r="D351" s="53" t="s">
        <v>295</v>
      </c>
      <c r="E351" s="69" t="s">
        <v>166</v>
      </c>
      <c r="F351" s="97"/>
      <c r="G351" s="106"/>
      <c r="H351" s="70"/>
      <c r="I351" s="105"/>
      <c r="J351" s="99">
        <f>'BOLETIM DE MEDIÇÃO 05'!O111-'MEMORIAL DE CALCULO 02'!K351</f>
        <v>0</v>
      </c>
      <c r="K351" s="82">
        <f t="shared" si="18"/>
        <v>0</v>
      </c>
      <c r="L351" s="82">
        <f t="shared" si="19"/>
        <v>0</v>
      </c>
      <c r="M351" s="82">
        <f>'BOLETIM DE MEDIÇÃO 05'!G111</f>
        <v>15</v>
      </c>
      <c r="N351" s="86">
        <f t="shared" si="20"/>
        <v>15</v>
      </c>
    </row>
    <row r="352" spans="2:14" ht="33.75" hidden="1" x14ac:dyDescent="0.25">
      <c r="B352" s="50" t="s">
        <v>296</v>
      </c>
      <c r="C352" s="66">
        <v>103782</v>
      </c>
      <c r="D352" s="53" t="s">
        <v>298</v>
      </c>
      <c r="E352" s="69" t="s">
        <v>166</v>
      </c>
      <c r="F352" s="97"/>
      <c r="G352" s="106"/>
      <c r="H352" s="70"/>
      <c r="I352" s="105"/>
      <c r="J352" s="99">
        <f>'BOLETIM DE MEDIÇÃO 05'!O112-'MEMORIAL DE CALCULO 02'!K352</f>
        <v>0</v>
      </c>
      <c r="K352" s="82">
        <f t="shared" si="18"/>
        <v>0</v>
      </c>
      <c r="L352" s="82">
        <f t="shared" si="19"/>
        <v>0</v>
      </c>
      <c r="M352" s="82">
        <f>'BOLETIM DE MEDIÇÃO 05'!G112</f>
        <v>76</v>
      </c>
      <c r="N352" s="86">
        <f t="shared" si="20"/>
        <v>76</v>
      </c>
    </row>
    <row r="353" spans="2:14" ht="33.75" hidden="1" x14ac:dyDescent="0.25">
      <c r="B353" s="50" t="s">
        <v>299</v>
      </c>
      <c r="C353" s="66">
        <v>101509</v>
      </c>
      <c r="D353" s="53" t="s">
        <v>301</v>
      </c>
      <c r="E353" s="69" t="s">
        <v>166</v>
      </c>
      <c r="F353" s="97"/>
      <c r="G353" s="106"/>
      <c r="H353" s="70"/>
      <c r="I353" s="105"/>
      <c r="J353" s="99">
        <f>'BOLETIM DE MEDIÇÃO 05'!O113-'MEMORIAL DE CALCULO 02'!K353</f>
        <v>0</v>
      </c>
      <c r="K353" s="82">
        <f t="shared" si="18"/>
        <v>0</v>
      </c>
      <c r="L353" s="82">
        <f t="shared" si="19"/>
        <v>0</v>
      </c>
      <c r="M353" s="82">
        <f>'BOLETIM DE MEDIÇÃO 05'!G113</f>
        <v>1</v>
      </c>
      <c r="N353" s="86">
        <f t="shared" si="20"/>
        <v>1</v>
      </c>
    </row>
    <row r="354" spans="2:14" ht="33.75" hidden="1" x14ac:dyDescent="0.25">
      <c r="B354" s="50" t="s">
        <v>302</v>
      </c>
      <c r="C354" s="66">
        <v>5044</v>
      </c>
      <c r="D354" s="53" t="s">
        <v>304</v>
      </c>
      <c r="E354" s="69" t="s">
        <v>166</v>
      </c>
      <c r="F354" s="97"/>
      <c r="G354" s="106"/>
      <c r="H354" s="70"/>
      <c r="I354" s="105"/>
      <c r="J354" s="99">
        <f>'BOLETIM DE MEDIÇÃO 05'!O114-'MEMORIAL DE CALCULO 02'!K354</f>
        <v>0</v>
      </c>
      <c r="K354" s="82">
        <f t="shared" si="18"/>
        <v>0</v>
      </c>
      <c r="L354" s="82">
        <f t="shared" si="19"/>
        <v>0</v>
      </c>
      <c r="M354" s="82">
        <f>'BOLETIM DE MEDIÇÃO 05'!G114</f>
        <v>1</v>
      </c>
      <c r="N354" s="86">
        <f t="shared" si="20"/>
        <v>1</v>
      </c>
    </row>
    <row r="355" spans="2:14" ht="45" hidden="1" x14ac:dyDescent="0.25">
      <c r="B355" s="50" t="s">
        <v>305</v>
      </c>
      <c r="C355" s="66">
        <v>101879</v>
      </c>
      <c r="D355" s="53" t="s">
        <v>307</v>
      </c>
      <c r="E355" s="69" t="s">
        <v>166</v>
      </c>
      <c r="F355" s="97"/>
      <c r="G355" s="106"/>
      <c r="H355" s="70"/>
      <c r="I355" s="105"/>
      <c r="J355" s="99">
        <f>'BOLETIM DE MEDIÇÃO 05'!O115-'MEMORIAL DE CALCULO 02'!K355</f>
        <v>0</v>
      </c>
      <c r="K355" s="82">
        <f t="shared" si="18"/>
        <v>0</v>
      </c>
      <c r="L355" s="82">
        <f t="shared" si="19"/>
        <v>0</v>
      </c>
      <c r="M355" s="82">
        <f>'BOLETIM DE MEDIÇÃO 05'!G115</f>
        <v>1</v>
      </c>
      <c r="N355" s="86">
        <f t="shared" si="20"/>
        <v>1</v>
      </c>
    </row>
    <row r="356" spans="2:14" ht="33.75" hidden="1" x14ac:dyDescent="0.25">
      <c r="B356" s="50" t="s">
        <v>308</v>
      </c>
      <c r="C356" s="66">
        <v>5044</v>
      </c>
      <c r="D356" s="53" t="s">
        <v>304</v>
      </c>
      <c r="E356" s="69" t="s">
        <v>166</v>
      </c>
      <c r="F356" s="97"/>
      <c r="G356" s="106"/>
      <c r="H356" s="70"/>
      <c r="I356" s="105"/>
      <c r="J356" s="99">
        <f>'BOLETIM DE MEDIÇÃO 05'!O116-'MEMORIAL DE CALCULO 02'!K356</f>
        <v>0</v>
      </c>
      <c r="K356" s="82">
        <f t="shared" si="18"/>
        <v>0</v>
      </c>
      <c r="L356" s="82">
        <f t="shared" si="19"/>
        <v>0</v>
      </c>
      <c r="M356" s="82">
        <f>'BOLETIM DE MEDIÇÃO 05'!G116</f>
        <v>1</v>
      </c>
      <c r="N356" s="86">
        <f t="shared" si="20"/>
        <v>1</v>
      </c>
    </row>
    <row r="357" spans="2:14" ht="33.75" hidden="1" x14ac:dyDescent="0.25">
      <c r="B357" s="50" t="s">
        <v>309</v>
      </c>
      <c r="C357" s="66">
        <v>92023</v>
      </c>
      <c r="D357" s="53" t="s">
        <v>311</v>
      </c>
      <c r="E357" s="69" t="s">
        <v>166</v>
      </c>
      <c r="F357" s="97"/>
      <c r="G357" s="106"/>
      <c r="H357" s="70"/>
      <c r="I357" s="105"/>
      <c r="J357" s="99">
        <f>'BOLETIM DE MEDIÇÃO 05'!O117-'MEMORIAL DE CALCULO 02'!K357</f>
        <v>0</v>
      </c>
      <c r="K357" s="82">
        <f t="shared" si="18"/>
        <v>0</v>
      </c>
      <c r="L357" s="82">
        <f t="shared" si="19"/>
        <v>0</v>
      </c>
      <c r="M357" s="82">
        <f>'BOLETIM DE MEDIÇÃO 05'!G117</f>
        <v>5</v>
      </c>
      <c r="N357" s="86">
        <f t="shared" si="20"/>
        <v>5</v>
      </c>
    </row>
    <row r="358" spans="2:14" hidden="1" x14ac:dyDescent="0.25">
      <c r="B358" s="51" t="s">
        <v>312</v>
      </c>
      <c r="C358" s="71" t="s">
        <v>313</v>
      </c>
      <c r="D358" s="53"/>
      <c r="E358" s="69"/>
      <c r="F358" s="97"/>
      <c r="G358" s="106"/>
      <c r="H358" s="70"/>
      <c r="I358" s="105"/>
      <c r="J358" s="99"/>
      <c r="K358" s="82">
        <f t="shared" si="18"/>
        <v>0</v>
      </c>
      <c r="L358" s="82"/>
      <c r="M358" s="82"/>
      <c r="N358" s="86"/>
    </row>
    <row r="359" spans="2:14" ht="22.5" hidden="1" x14ac:dyDescent="0.25">
      <c r="B359" s="50" t="s">
        <v>314</v>
      </c>
      <c r="C359" s="66">
        <v>96620</v>
      </c>
      <c r="D359" s="53" t="s">
        <v>316</v>
      </c>
      <c r="E359" s="44" t="s">
        <v>41</v>
      </c>
      <c r="F359" s="97"/>
      <c r="G359" s="106"/>
      <c r="H359" s="70"/>
      <c r="I359" s="105"/>
      <c r="J359" s="99">
        <f>'BOLETIM DE MEDIÇÃO 05'!O119-'MEMORIAL DE CALCULO 02'!K359</f>
        <v>0</v>
      </c>
      <c r="K359" s="82">
        <f t="shared" si="18"/>
        <v>0</v>
      </c>
      <c r="L359" s="82">
        <f t="shared" si="19"/>
        <v>0</v>
      </c>
      <c r="M359" s="82">
        <f>'BOLETIM DE MEDIÇÃO 05'!G119</f>
        <v>31.73</v>
      </c>
      <c r="N359" s="86">
        <f t="shared" si="20"/>
        <v>31.73</v>
      </c>
    </row>
    <row r="360" spans="2:14" ht="67.5" hidden="1" x14ac:dyDescent="0.25">
      <c r="B360" s="50" t="s">
        <v>317</v>
      </c>
      <c r="C360" s="66">
        <v>94439</v>
      </c>
      <c r="D360" s="53" t="s">
        <v>319</v>
      </c>
      <c r="E360" s="44" t="s">
        <v>17</v>
      </c>
      <c r="F360" s="97"/>
      <c r="G360" s="106"/>
      <c r="H360" s="70"/>
      <c r="I360" s="105"/>
      <c r="J360" s="99">
        <f>'BOLETIM DE MEDIÇÃO 05'!O120-'MEMORIAL DE CALCULO 02'!K360</f>
        <v>0</v>
      </c>
      <c r="K360" s="82">
        <f t="shared" si="18"/>
        <v>0</v>
      </c>
      <c r="L360" s="82">
        <f t="shared" si="19"/>
        <v>0</v>
      </c>
      <c r="M360" s="82">
        <f>'BOLETIM DE MEDIÇÃO 05'!G120</f>
        <v>634.5</v>
      </c>
      <c r="N360" s="86">
        <f t="shared" si="20"/>
        <v>634.5</v>
      </c>
    </row>
    <row r="361" spans="2:14" ht="33.75" hidden="1" x14ac:dyDescent="0.25">
      <c r="B361" s="50" t="s">
        <v>320</v>
      </c>
      <c r="C361" s="66">
        <v>87257</v>
      </c>
      <c r="D361" s="53" t="s">
        <v>322</v>
      </c>
      <c r="E361" s="44" t="s">
        <v>17</v>
      </c>
      <c r="F361" s="97"/>
      <c r="G361" s="106"/>
      <c r="H361" s="70"/>
      <c r="I361" s="105"/>
      <c r="J361" s="99">
        <f>'BOLETIM DE MEDIÇÃO 05'!O121-'MEMORIAL DE CALCULO 02'!K361</f>
        <v>0</v>
      </c>
      <c r="K361" s="82">
        <f t="shared" si="18"/>
        <v>0</v>
      </c>
      <c r="L361" s="82">
        <f t="shared" si="19"/>
        <v>0</v>
      </c>
      <c r="M361" s="82">
        <f>'BOLETIM DE MEDIÇÃO 05'!G121</f>
        <v>634.5</v>
      </c>
      <c r="N361" s="86">
        <f t="shared" si="20"/>
        <v>634.5</v>
      </c>
    </row>
    <row r="362" spans="2:14" ht="33.75" hidden="1" x14ac:dyDescent="0.25">
      <c r="B362" s="50" t="s">
        <v>323</v>
      </c>
      <c r="C362" s="66">
        <v>92403</v>
      </c>
      <c r="D362" s="53" t="s">
        <v>325</v>
      </c>
      <c r="E362" s="44" t="s">
        <v>17</v>
      </c>
      <c r="F362" s="97"/>
      <c r="G362" s="106"/>
      <c r="H362" s="70"/>
      <c r="I362" s="105"/>
      <c r="J362" s="99">
        <f>'BOLETIM DE MEDIÇÃO 05'!O122-'MEMORIAL DE CALCULO 02'!K362</f>
        <v>0</v>
      </c>
      <c r="K362" s="82">
        <f t="shared" si="18"/>
        <v>0</v>
      </c>
      <c r="L362" s="82">
        <f t="shared" si="19"/>
        <v>0</v>
      </c>
      <c r="M362" s="82">
        <f>'BOLETIM DE MEDIÇÃO 05'!G122</f>
        <v>629.38</v>
      </c>
      <c r="N362" s="86">
        <f t="shared" si="20"/>
        <v>629.38</v>
      </c>
    </row>
    <row r="363" spans="2:14" ht="56.25" hidden="1" x14ac:dyDescent="0.25">
      <c r="B363" s="50" t="s">
        <v>326</v>
      </c>
      <c r="C363" s="66">
        <v>94273</v>
      </c>
      <c r="D363" s="53" t="s">
        <v>328</v>
      </c>
      <c r="E363" s="44" t="s">
        <v>37</v>
      </c>
      <c r="F363" s="97"/>
      <c r="G363" s="106"/>
      <c r="H363" s="70"/>
      <c r="I363" s="105"/>
      <c r="J363" s="99">
        <f>'BOLETIM DE MEDIÇÃO 05'!O123-'MEMORIAL DE CALCULO 02'!K363</f>
        <v>0</v>
      </c>
      <c r="K363" s="82">
        <f t="shared" si="18"/>
        <v>0</v>
      </c>
      <c r="L363" s="82">
        <f t="shared" si="19"/>
        <v>0</v>
      </c>
      <c r="M363" s="82">
        <f>'BOLETIM DE MEDIÇÃO 05'!G123</f>
        <v>126.37</v>
      </c>
      <c r="N363" s="86">
        <f t="shared" si="20"/>
        <v>126.37</v>
      </c>
    </row>
    <row r="364" spans="2:14" ht="22.5" hidden="1" x14ac:dyDescent="0.25">
      <c r="B364" s="50" t="s">
        <v>329</v>
      </c>
      <c r="C364" s="66">
        <v>368</v>
      </c>
      <c r="D364" s="53" t="s">
        <v>331</v>
      </c>
      <c r="E364" s="44" t="s">
        <v>41</v>
      </c>
      <c r="F364" s="97"/>
      <c r="G364" s="106"/>
      <c r="H364" s="70"/>
      <c r="I364" s="105"/>
      <c r="J364" s="99">
        <f>'BOLETIM DE MEDIÇÃO 05'!O124-'MEMORIAL DE CALCULO 02'!K364</f>
        <v>0</v>
      </c>
      <c r="K364" s="82">
        <f t="shared" si="18"/>
        <v>0</v>
      </c>
      <c r="L364" s="82">
        <f t="shared" si="19"/>
        <v>0</v>
      </c>
      <c r="M364" s="82">
        <f>'BOLETIM DE MEDIÇÃO 05'!G124</f>
        <v>7.46</v>
      </c>
      <c r="N364" s="86">
        <f t="shared" si="20"/>
        <v>7.46</v>
      </c>
    </row>
    <row r="365" spans="2:14" hidden="1" x14ac:dyDescent="0.25">
      <c r="B365" s="50" t="s">
        <v>332</v>
      </c>
      <c r="C365" s="66">
        <v>98504</v>
      </c>
      <c r="D365" s="53" t="s">
        <v>334</v>
      </c>
      <c r="E365" s="44" t="s">
        <v>17</v>
      </c>
      <c r="F365" s="97"/>
      <c r="G365" s="106"/>
      <c r="H365" s="70"/>
      <c r="I365" s="105"/>
      <c r="J365" s="99">
        <f>'BOLETIM DE MEDIÇÃO 05'!O125-'MEMORIAL DE CALCULO 02'!K365</f>
        <v>0</v>
      </c>
      <c r="K365" s="82">
        <f t="shared" si="18"/>
        <v>0</v>
      </c>
      <c r="L365" s="82">
        <f t="shared" si="19"/>
        <v>0</v>
      </c>
      <c r="M365" s="82">
        <f>'BOLETIM DE MEDIÇÃO 05'!G125</f>
        <v>25.6</v>
      </c>
      <c r="N365" s="86">
        <f t="shared" si="20"/>
        <v>25.6</v>
      </c>
    </row>
    <row r="366" spans="2:14" ht="22.5" hidden="1" x14ac:dyDescent="0.25">
      <c r="B366" s="50" t="s">
        <v>335</v>
      </c>
      <c r="C366" s="66">
        <v>103913</v>
      </c>
      <c r="D366" s="53" t="s">
        <v>337</v>
      </c>
      <c r="E366" s="44" t="s">
        <v>17</v>
      </c>
      <c r="F366" s="97"/>
      <c r="G366" s="106"/>
      <c r="H366" s="70"/>
      <c r="I366" s="105"/>
      <c r="J366" s="99">
        <f>'BOLETIM DE MEDIÇÃO 05'!O126-'MEMORIAL DE CALCULO 02'!K366</f>
        <v>0</v>
      </c>
      <c r="K366" s="82">
        <f t="shared" si="18"/>
        <v>0</v>
      </c>
      <c r="L366" s="82">
        <f t="shared" si="19"/>
        <v>0</v>
      </c>
      <c r="M366" s="82">
        <f>'BOLETIM DE MEDIÇÃO 05'!G126</f>
        <v>39.6</v>
      </c>
      <c r="N366" s="86">
        <f t="shared" si="20"/>
        <v>39.6</v>
      </c>
    </row>
    <row r="367" spans="2:14" hidden="1" x14ac:dyDescent="0.25">
      <c r="B367" s="51" t="s">
        <v>338</v>
      </c>
      <c r="C367" s="71" t="s">
        <v>339</v>
      </c>
      <c r="D367" s="53"/>
      <c r="E367" s="44"/>
      <c r="F367" s="97"/>
      <c r="G367" s="106"/>
      <c r="H367" s="70"/>
      <c r="I367" s="105"/>
      <c r="J367" s="99"/>
      <c r="K367" s="82">
        <f t="shared" si="18"/>
        <v>0</v>
      </c>
      <c r="L367" s="82"/>
      <c r="M367" s="82"/>
      <c r="N367" s="86"/>
    </row>
    <row r="368" spans="2:14" ht="45" hidden="1" x14ac:dyDescent="0.25">
      <c r="B368" s="50" t="s">
        <v>340</v>
      </c>
      <c r="C368" s="66">
        <v>94207</v>
      </c>
      <c r="D368" s="53" t="s">
        <v>342</v>
      </c>
      <c r="E368" s="44" t="s">
        <v>17</v>
      </c>
      <c r="F368" s="97"/>
      <c r="G368" s="106"/>
      <c r="H368" s="70"/>
      <c r="I368" s="105"/>
      <c r="J368" s="99">
        <f>'BOLETIM DE MEDIÇÃO 05'!O128-'MEMORIAL DE CALCULO 02'!K368</f>
        <v>0</v>
      </c>
      <c r="K368" s="82">
        <f t="shared" si="18"/>
        <v>0</v>
      </c>
      <c r="L368" s="82">
        <f t="shared" si="19"/>
        <v>0</v>
      </c>
      <c r="M368" s="82">
        <f>'BOLETIM DE MEDIÇÃO 05'!G128</f>
        <v>610.20000000000005</v>
      </c>
      <c r="N368" s="86">
        <f t="shared" si="20"/>
        <v>610.20000000000005</v>
      </c>
    </row>
    <row r="369" spans="2:14" ht="33.75" hidden="1" x14ac:dyDescent="0.25">
      <c r="B369" s="50" t="s">
        <v>343</v>
      </c>
      <c r="C369" s="66">
        <v>98546</v>
      </c>
      <c r="D369" s="53" t="s">
        <v>345</v>
      </c>
      <c r="E369" s="44" t="s">
        <v>17</v>
      </c>
      <c r="F369" s="97"/>
      <c r="G369" s="106"/>
      <c r="H369" s="70"/>
      <c r="I369" s="105"/>
      <c r="J369" s="99">
        <f>'BOLETIM DE MEDIÇÃO 05'!O129-'MEMORIAL DE CALCULO 02'!K369</f>
        <v>0</v>
      </c>
      <c r="K369" s="82">
        <f t="shared" si="18"/>
        <v>0</v>
      </c>
      <c r="L369" s="82">
        <f t="shared" si="19"/>
        <v>0</v>
      </c>
      <c r="M369" s="82">
        <f>'BOLETIM DE MEDIÇÃO 05'!G129</f>
        <v>181.61</v>
      </c>
      <c r="N369" s="86">
        <f t="shared" si="20"/>
        <v>181.61</v>
      </c>
    </row>
    <row r="370" spans="2:14" ht="33.75" hidden="1" x14ac:dyDescent="0.25">
      <c r="B370" s="50" t="s">
        <v>346</v>
      </c>
      <c r="C370" s="66">
        <v>98565</v>
      </c>
      <c r="D370" s="53" t="s">
        <v>348</v>
      </c>
      <c r="E370" s="44" t="s">
        <v>17</v>
      </c>
      <c r="F370" s="97"/>
      <c r="G370" s="106"/>
      <c r="H370" s="70"/>
      <c r="I370" s="105"/>
      <c r="J370" s="99">
        <f>'BOLETIM DE MEDIÇÃO 05'!O130-'MEMORIAL DE CALCULO 02'!K370</f>
        <v>0</v>
      </c>
      <c r="K370" s="82">
        <f t="shared" si="18"/>
        <v>0</v>
      </c>
      <c r="L370" s="82">
        <f t="shared" si="19"/>
        <v>0</v>
      </c>
      <c r="M370" s="82">
        <f>'BOLETIM DE MEDIÇÃO 05'!G130</f>
        <v>181.61</v>
      </c>
      <c r="N370" s="86">
        <f t="shared" si="20"/>
        <v>181.61</v>
      </c>
    </row>
    <row r="371" spans="2:14" ht="45" hidden="1" x14ac:dyDescent="0.25">
      <c r="B371" s="50" t="s">
        <v>349</v>
      </c>
      <c r="C371" s="66">
        <v>100374</v>
      </c>
      <c r="D371" s="53" t="s">
        <v>351</v>
      </c>
      <c r="E371" s="44" t="s">
        <v>166</v>
      </c>
      <c r="F371" s="97"/>
      <c r="G371" s="106"/>
      <c r="H371" s="70"/>
      <c r="I371" s="105"/>
      <c r="J371" s="99">
        <f>'BOLETIM DE MEDIÇÃO 05'!O131-'MEMORIAL DE CALCULO 02'!K371</f>
        <v>0</v>
      </c>
      <c r="K371" s="82">
        <f t="shared" si="18"/>
        <v>0</v>
      </c>
      <c r="L371" s="82">
        <f t="shared" si="19"/>
        <v>0</v>
      </c>
      <c r="M371" s="82">
        <f>'BOLETIM DE MEDIÇÃO 05'!G131</f>
        <v>10</v>
      </c>
      <c r="N371" s="86">
        <f t="shared" si="20"/>
        <v>10</v>
      </c>
    </row>
    <row r="372" spans="2:14" ht="45" hidden="1" x14ac:dyDescent="0.25">
      <c r="B372" s="50" t="s">
        <v>352</v>
      </c>
      <c r="C372" s="66">
        <v>100375</v>
      </c>
      <c r="D372" s="53" t="s">
        <v>354</v>
      </c>
      <c r="E372" s="44" t="s">
        <v>166</v>
      </c>
      <c r="F372" s="97"/>
      <c r="G372" s="106"/>
      <c r="H372" s="70"/>
      <c r="I372" s="105"/>
      <c r="J372" s="99">
        <f>'BOLETIM DE MEDIÇÃO 05'!O132-'MEMORIAL DE CALCULO 02'!K372</f>
        <v>0</v>
      </c>
      <c r="K372" s="82">
        <f t="shared" si="18"/>
        <v>0</v>
      </c>
      <c r="L372" s="82">
        <f t="shared" si="19"/>
        <v>0</v>
      </c>
      <c r="M372" s="82">
        <f>'BOLETIM DE MEDIÇÃO 05'!G132</f>
        <v>10</v>
      </c>
      <c r="N372" s="86">
        <f t="shared" si="20"/>
        <v>10</v>
      </c>
    </row>
    <row r="373" spans="2:14" ht="45" hidden="1" x14ac:dyDescent="0.25">
      <c r="B373" s="50" t="s">
        <v>355</v>
      </c>
      <c r="C373" s="66">
        <v>92544</v>
      </c>
      <c r="D373" s="53" t="s">
        <v>357</v>
      </c>
      <c r="E373" s="44" t="s">
        <v>17</v>
      </c>
      <c r="F373" s="97"/>
      <c r="G373" s="106"/>
      <c r="H373" s="70"/>
      <c r="I373" s="105"/>
      <c r="J373" s="99">
        <f>'BOLETIM DE MEDIÇÃO 05'!O133-'MEMORIAL DE CALCULO 02'!K373</f>
        <v>0</v>
      </c>
      <c r="K373" s="82">
        <f t="shared" si="18"/>
        <v>0</v>
      </c>
      <c r="L373" s="82">
        <f t="shared" si="19"/>
        <v>0</v>
      </c>
      <c r="M373" s="82">
        <f>'BOLETIM DE MEDIÇÃO 05'!G133</f>
        <v>610.20000000000005</v>
      </c>
      <c r="N373" s="86">
        <f t="shared" si="20"/>
        <v>610.20000000000005</v>
      </c>
    </row>
    <row r="374" spans="2:14" ht="33.75" hidden="1" x14ac:dyDescent="0.25">
      <c r="B374" s="50" t="s">
        <v>358</v>
      </c>
      <c r="C374" s="66">
        <v>100435</v>
      </c>
      <c r="D374" s="53" t="s">
        <v>360</v>
      </c>
      <c r="E374" s="44" t="s">
        <v>37</v>
      </c>
      <c r="F374" s="97"/>
      <c r="G374" s="106"/>
      <c r="H374" s="70"/>
      <c r="I374" s="105"/>
      <c r="J374" s="99">
        <f>'BOLETIM DE MEDIÇÃO 05'!O134-'MEMORIAL DE CALCULO 02'!K374</f>
        <v>0</v>
      </c>
      <c r="K374" s="82">
        <f t="shared" si="18"/>
        <v>0</v>
      </c>
      <c r="L374" s="82">
        <f t="shared" si="19"/>
        <v>0</v>
      </c>
      <c r="M374" s="82">
        <f>'BOLETIM DE MEDIÇÃO 05'!G134</f>
        <v>113.1</v>
      </c>
      <c r="N374" s="86">
        <f t="shared" si="20"/>
        <v>113.1</v>
      </c>
    </row>
    <row r="375" spans="2:14" ht="33.75" hidden="1" x14ac:dyDescent="0.25">
      <c r="B375" s="50" t="s">
        <v>361</v>
      </c>
      <c r="C375" s="66">
        <v>94229</v>
      </c>
      <c r="D375" s="53" t="s">
        <v>363</v>
      </c>
      <c r="E375" s="44" t="s">
        <v>37</v>
      </c>
      <c r="F375" s="97"/>
      <c r="G375" s="106"/>
      <c r="H375" s="70"/>
      <c r="I375" s="105"/>
      <c r="J375" s="99">
        <f>'BOLETIM DE MEDIÇÃO 05'!O135-'MEMORIAL DE CALCULO 02'!K375</f>
        <v>0</v>
      </c>
      <c r="K375" s="82">
        <f t="shared" si="18"/>
        <v>0</v>
      </c>
      <c r="L375" s="82">
        <f t="shared" si="19"/>
        <v>0</v>
      </c>
      <c r="M375" s="82">
        <f>'BOLETIM DE MEDIÇÃO 05'!G135</f>
        <v>52.64</v>
      </c>
      <c r="N375" s="86">
        <f t="shared" si="20"/>
        <v>52.64</v>
      </c>
    </row>
    <row r="376" spans="2:14" ht="22.5" hidden="1" x14ac:dyDescent="0.25">
      <c r="B376" s="50" t="s">
        <v>364</v>
      </c>
      <c r="C376" s="66">
        <v>96113</v>
      </c>
      <c r="D376" s="53" t="s">
        <v>366</v>
      </c>
      <c r="E376" s="44" t="s">
        <v>17</v>
      </c>
      <c r="F376" s="97"/>
      <c r="G376" s="106"/>
      <c r="H376" s="70"/>
      <c r="I376" s="105"/>
      <c r="J376" s="99">
        <f>'BOLETIM DE MEDIÇÃO 05'!O136-'MEMORIAL DE CALCULO 02'!K376</f>
        <v>0</v>
      </c>
      <c r="K376" s="82">
        <f t="shared" si="18"/>
        <v>0</v>
      </c>
      <c r="L376" s="82">
        <f t="shared" si="19"/>
        <v>0</v>
      </c>
      <c r="M376" s="82">
        <f>'BOLETIM DE MEDIÇÃO 05'!G136</f>
        <v>634.5</v>
      </c>
      <c r="N376" s="86">
        <f t="shared" si="20"/>
        <v>634.5</v>
      </c>
    </row>
    <row r="377" spans="2:14" ht="14.45" hidden="1" customHeight="1" x14ac:dyDescent="0.25">
      <c r="B377" s="51">
        <v>1.1299999999999999</v>
      </c>
      <c r="C377" s="65" t="s">
        <v>368</v>
      </c>
      <c r="D377" s="53"/>
      <c r="E377" s="44"/>
      <c r="F377" s="97"/>
      <c r="G377" s="106"/>
      <c r="H377" s="70"/>
      <c r="I377" s="105"/>
      <c r="J377" s="99"/>
      <c r="K377" s="82">
        <f t="shared" ref="K377:K412" si="21">(F377*G377*I377)</f>
        <v>0</v>
      </c>
      <c r="L377" s="82"/>
      <c r="M377" s="82"/>
      <c r="N377" s="86"/>
    </row>
    <row r="378" spans="2:14" ht="56.25" hidden="1" x14ac:dyDescent="0.25">
      <c r="B378" s="50" t="s">
        <v>369</v>
      </c>
      <c r="C378" s="66">
        <v>91785</v>
      </c>
      <c r="D378" s="53" t="s">
        <v>371</v>
      </c>
      <c r="E378" s="44" t="s">
        <v>37</v>
      </c>
      <c r="F378" s="97"/>
      <c r="G378" s="106"/>
      <c r="H378" s="69"/>
      <c r="I378" s="105"/>
      <c r="J378" s="99">
        <f>'BOLETIM DE MEDIÇÃO 05'!O138-'MEMORIAL DE CALCULO 02'!K378</f>
        <v>0</v>
      </c>
      <c r="K378" s="82">
        <f t="shared" si="21"/>
        <v>0</v>
      </c>
      <c r="L378" s="82">
        <f t="shared" si="19"/>
        <v>0</v>
      </c>
      <c r="M378" s="82">
        <f>'BOLETIM DE MEDIÇÃO 05'!G138</f>
        <v>98.77</v>
      </c>
      <c r="N378" s="86">
        <f t="shared" si="20"/>
        <v>98.77</v>
      </c>
    </row>
    <row r="379" spans="2:14" ht="56.25" hidden="1" x14ac:dyDescent="0.25">
      <c r="B379" s="50" t="s">
        <v>372</v>
      </c>
      <c r="C379" s="66">
        <v>91784</v>
      </c>
      <c r="D379" s="53" t="s">
        <v>374</v>
      </c>
      <c r="E379" s="44" t="s">
        <v>37</v>
      </c>
      <c r="F379" s="97"/>
      <c r="G379" s="106"/>
      <c r="H379" s="69"/>
      <c r="I379" s="105"/>
      <c r="J379" s="99">
        <f>'BOLETIM DE MEDIÇÃO 05'!O139-'MEMORIAL DE CALCULO 02'!K379</f>
        <v>0</v>
      </c>
      <c r="K379" s="82">
        <f t="shared" si="21"/>
        <v>0</v>
      </c>
      <c r="L379" s="82">
        <f t="shared" si="19"/>
        <v>0</v>
      </c>
      <c r="M379" s="82">
        <f>'BOLETIM DE MEDIÇÃO 05'!G139</f>
        <v>62.17</v>
      </c>
      <c r="N379" s="86">
        <f t="shared" si="20"/>
        <v>62.17</v>
      </c>
    </row>
    <row r="380" spans="2:14" ht="56.25" hidden="1" x14ac:dyDescent="0.25">
      <c r="B380" s="50" t="s">
        <v>375</v>
      </c>
      <c r="C380" s="66">
        <v>91786</v>
      </c>
      <c r="D380" s="53" t="s">
        <v>377</v>
      </c>
      <c r="E380" s="44" t="s">
        <v>37</v>
      </c>
      <c r="F380" s="97"/>
      <c r="G380" s="106"/>
      <c r="H380" s="69"/>
      <c r="I380" s="105"/>
      <c r="J380" s="99">
        <f>'BOLETIM DE MEDIÇÃO 05'!O140-'MEMORIAL DE CALCULO 02'!K380</f>
        <v>0</v>
      </c>
      <c r="K380" s="82">
        <f t="shared" si="21"/>
        <v>0</v>
      </c>
      <c r="L380" s="82">
        <f t="shared" si="19"/>
        <v>0</v>
      </c>
      <c r="M380" s="82">
        <f>'BOLETIM DE MEDIÇÃO 05'!G140</f>
        <v>24.75</v>
      </c>
      <c r="N380" s="86">
        <f t="shared" si="20"/>
        <v>24.75</v>
      </c>
    </row>
    <row r="381" spans="2:14" ht="56.25" hidden="1" x14ac:dyDescent="0.25">
      <c r="B381" s="50" t="s">
        <v>378</v>
      </c>
      <c r="C381" s="66">
        <v>91787</v>
      </c>
      <c r="D381" s="53" t="s">
        <v>380</v>
      </c>
      <c r="E381" s="44" t="s">
        <v>37</v>
      </c>
      <c r="F381" s="97"/>
      <c r="G381" s="106"/>
      <c r="H381" s="69"/>
      <c r="I381" s="105"/>
      <c r="J381" s="99">
        <f>'BOLETIM DE MEDIÇÃO 05'!O141-'MEMORIAL DE CALCULO 02'!K381</f>
        <v>0</v>
      </c>
      <c r="K381" s="82">
        <f t="shared" si="21"/>
        <v>0</v>
      </c>
      <c r="L381" s="82">
        <f t="shared" si="19"/>
        <v>0</v>
      </c>
      <c r="M381" s="82">
        <f>'BOLETIM DE MEDIÇÃO 05'!G141</f>
        <v>25.92</v>
      </c>
      <c r="N381" s="86">
        <f t="shared" si="20"/>
        <v>25.92</v>
      </c>
    </row>
    <row r="382" spans="2:14" ht="33.75" hidden="1" x14ac:dyDescent="0.25">
      <c r="B382" s="50" t="s">
        <v>381</v>
      </c>
      <c r="C382" s="66">
        <v>89987</v>
      </c>
      <c r="D382" s="53" t="s">
        <v>383</v>
      </c>
      <c r="E382" s="44" t="s">
        <v>166</v>
      </c>
      <c r="F382" s="97"/>
      <c r="G382" s="106"/>
      <c r="H382" s="69"/>
      <c r="I382" s="105"/>
      <c r="J382" s="99">
        <f>'BOLETIM DE MEDIÇÃO 05'!O142-'MEMORIAL DE CALCULO 02'!K382</f>
        <v>0</v>
      </c>
      <c r="K382" s="82">
        <f t="shared" si="21"/>
        <v>0</v>
      </c>
      <c r="L382" s="82">
        <f t="shared" si="19"/>
        <v>0</v>
      </c>
      <c r="M382" s="82">
        <f>'BOLETIM DE MEDIÇÃO 05'!G142</f>
        <v>10</v>
      </c>
      <c r="N382" s="86">
        <f t="shared" si="20"/>
        <v>10</v>
      </c>
    </row>
    <row r="383" spans="2:14" ht="22.5" hidden="1" x14ac:dyDescent="0.25">
      <c r="B383" s="50" t="s">
        <v>384</v>
      </c>
      <c r="C383" s="66">
        <v>94490</v>
      </c>
      <c r="D383" s="53" t="s">
        <v>386</v>
      </c>
      <c r="E383" s="44" t="s">
        <v>166</v>
      </c>
      <c r="F383" s="97"/>
      <c r="G383" s="106"/>
      <c r="H383" s="69"/>
      <c r="I383" s="105"/>
      <c r="J383" s="99">
        <f>'BOLETIM DE MEDIÇÃO 05'!O143-'MEMORIAL DE CALCULO 02'!K383</f>
        <v>0</v>
      </c>
      <c r="K383" s="82">
        <f t="shared" si="21"/>
        <v>0</v>
      </c>
      <c r="L383" s="82">
        <f t="shared" ref="L383:L448" si="22">J383+K383</f>
        <v>0</v>
      </c>
      <c r="M383" s="82">
        <f>'BOLETIM DE MEDIÇÃO 05'!G143</f>
        <v>2</v>
      </c>
      <c r="N383" s="86">
        <f t="shared" ref="N383:N448" si="23">M383-L383</f>
        <v>2</v>
      </c>
    </row>
    <row r="384" spans="2:14" ht="33.75" hidden="1" x14ac:dyDescent="0.25">
      <c r="B384" s="50" t="s">
        <v>387</v>
      </c>
      <c r="C384" s="66">
        <v>89985</v>
      </c>
      <c r="D384" s="53" t="s">
        <v>389</v>
      </c>
      <c r="E384" s="44" t="s">
        <v>166</v>
      </c>
      <c r="F384" s="97"/>
      <c r="G384" s="106"/>
      <c r="H384" s="69"/>
      <c r="I384" s="105"/>
      <c r="J384" s="99">
        <f>'BOLETIM DE MEDIÇÃO 05'!O144-'MEMORIAL DE CALCULO 02'!K384</f>
        <v>0</v>
      </c>
      <c r="K384" s="82">
        <f t="shared" si="21"/>
        <v>0</v>
      </c>
      <c r="L384" s="82">
        <f t="shared" si="22"/>
        <v>0</v>
      </c>
      <c r="M384" s="82">
        <f>'BOLETIM DE MEDIÇÃO 05'!G144</f>
        <v>6</v>
      </c>
      <c r="N384" s="86">
        <f t="shared" si="23"/>
        <v>6</v>
      </c>
    </row>
    <row r="385" spans="2:14" ht="33.75" hidden="1" x14ac:dyDescent="0.25">
      <c r="B385" s="50" t="s">
        <v>390</v>
      </c>
      <c r="C385" s="66">
        <v>102613</v>
      </c>
      <c r="D385" s="53" t="s">
        <v>392</v>
      </c>
      <c r="E385" s="44" t="s">
        <v>166</v>
      </c>
      <c r="F385" s="97"/>
      <c r="G385" s="106"/>
      <c r="H385" s="69"/>
      <c r="I385" s="105"/>
      <c r="J385" s="99">
        <f>'BOLETIM DE MEDIÇÃO 05'!O145-'MEMORIAL DE CALCULO 02'!K385</f>
        <v>0</v>
      </c>
      <c r="K385" s="82">
        <f t="shared" si="21"/>
        <v>0</v>
      </c>
      <c r="L385" s="82">
        <f t="shared" si="22"/>
        <v>0</v>
      </c>
      <c r="M385" s="82">
        <f>'BOLETIM DE MEDIÇÃO 05'!G145</f>
        <v>2</v>
      </c>
      <c r="N385" s="86">
        <f t="shared" si="23"/>
        <v>2</v>
      </c>
    </row>
    <row r="386" spans="2:14" ht="22.5" hidden="1" x14ac:dyDescent="0.25">
      <c r="B386" s="50" t="s">
        <v>393</v>
      </c>
      <c r="C386" s="66">
        <v>102609</v>
      </c>
      <c r="D386" s="53" t="s">
        <v>395</v>
      </c>
      <c r="E386" s="44" t="s">
        <v>166</v>
      </c>
      <c r="F386" s="97"/>
      <c r="G386" s="106"/>
      <c r="H386" s="69"/>
      <c r="I386" s="105"/>
      <c r="J386" s="99">
        <f>'BOLETIM DE MEDIÇÃO 05'!O146-'MEMORIAL DE CALCULO 02'!K386</f>
        <v>0</v>
      </c>
      <c r="K386" s="82">
        <f t="shared" si="21"/>
        <v>0</v>
      </c>
      <c r="L386" s="82">
        <f t="shared" si="22"/>
        <v>0</v>
      </c>
      <c r="M386" s="82">
        <f>'BOLETIM DE MEDIÇÃO 05'!G146</f>
        <v>2</v>
      </c>
      <c r="N386" s="86">
        <f t="shared" si="23"/>
        <v>2</v>
      </c>
    </row>
    <row r="387" spans="2:14" ht="22.5" hidden="1" x14ac:dyDescent="0.25">
      <c r="B387" s="50" t="s">
        <v>396</v>
      </c>
      <c r="C387" s="66">
        <v>94796</v>
      </c>
      <c r="D387" s="53" t="s">
        <v>398</v>
      </c>
      <c r="E387" s="44" t="s">
        <v>166</v>
      </c>
      <c r="F387" s="97"/>
      <c r="G387" s="106"/>
      <c r="H387" s="69"/>
      <c r="I387" s="105"/>
      <c r="J387" s="99">
        <f>'BOLETIM DE MEDIÇÃO 05'!O147-'MEMORIAL DE CALCULO 02'!K387</f>
        <v>0</v>
      </c>
      <c r="K387" s="82">
        <f t="shared" si="21"/>
        <v>0</v>
      </c>
      <c r="L387" s="82">
        <f t="shared" si="22"/>
        <v>0</v>
      </c>
      <c r="M387" s="82">
        <f>'BOLETIM DE MEDIÇÃO 05'!G147</f>
        <v>4</v>
      </c>
      <c r="N387" s="86">
        <f t="shared" si="23"/>
        <v>4</v>
      </c>
    </row>
    <row r="388" spans="2:14" ht="22.5" hidden="1" x14ac:dyDescent="0.25">
      <c r="B388" s="50" t="s">
        <v>399</v>
      </c>
      <c r="C388" s="66">
        <v>94491</v>
      </c>
      <c r="D388" s="53" t="s">
        <v>401</v>
      </c>
      <c r="E388" s="44" t="s">
        <v>166</v>
      </c>
      <c r="F388" s="97"/>
      <c r="G388" s="106"/>
      <c r="H388" s="69"/>
      <c r="I388" s="105"/>
      <c r="J388" s="99">
        <f>'BOLETIM DE MEDIÇÃO 05'!O148-'MEMORIAL DE CALCULO 02'!K388</f>
        <v>0</v>
      </c>
      <c r="K388" s="82">
        <f t="shared" si="21"/>
        <v>0</v>
      </c>
      <c r="L388" s="82">
        <f t="shared" si="22"/>
        <v>0</v>
      </c>
      <c r="M388" s="82">
        <f>'BOLETIM DE MEDIÇÃO 05'!G148</f>
        <v>4</v>
      </c>
      <c r="N388" s="86">
        <f t="shared" si="23"/>
        <v>4</v>
      </c>
    </row>
    <row r="389" spans="2:14" ht="22.5" hidden="1" x14ac:dyDescent="0.25">
      <c r="B389" s="50" t="s">
        <v>402</v>
      </c>
      <c r="C389" s="66">
        <v>94492</v>
      </c>
      <c r="D389" s="53" t="s">
        <v>404</v>
      </c>
      <c r="E389" s="44" t="s">
        <v>166</v>
      </c>
      <c r="F389" s="97"/>
      <c r="G389" s="106"/>
      <c r="H389" s="69"/>
      <c r="I389" s="105"/>
      <c r="J389" s="99">
        <f>'BOLETIM DE MEDIÇÃO 05'!O149-'MEMORIAL DE CALCULO 02'!K389</f>
        <v>0</v>
      </c>
      <c r="K389" s="82">
        <f t="shared" si="21"/>
        <v>0</v>
      </c>
      <c r="L389" s="82">
        <f t="shared" si="22"/>
        <v>0</v>
      </c>
      <c r="M389" s="82">
        <f>'BOLETIM DE MEDIÇÃO 05'!G149</f>
        <v>2</v>
      </c>
      <c r="N389" s="86">
        <f t="shared" si="23"/>
        <v>2</v>
      </c>
    </row>
    <row r="390" spans="2:14" ht="22.5" hidden="1" x14ac:dyDescent="0.25">
      <c r="B390" s="50" t="s">
        <v>405</v>
      </c>
      <c r="C390" s="66">
        <v>95675</v>
      </c>
      <c r="D390" s="53" t="s">
        <v>407</v>
      </c>
      <c r="E390" s="44" t="s">
        <v>166</v>
      </c>
      <c r="F390" s="97"/>
      <c r="G390" s="106"/>
      <c r="H390" s="69"/>
      <c r="I390" s="105"/>
      <c r="J390" s="99">
        <f>'BOLETIM DE MEDIÇÃO 05'!O150-'MEMORIAL DE CALCULO 02'!K390</f>
        <v>0</v>
      </c>
      <c r="K390" s="82">
        <f t="shared" si="21"/>
        <v>0</v>
      </c>
      <c r="L390" s="82">
        <f t="shared" si="22"/>
        <v>0</v>
      </c>
      <c r="M390" s="82">
        <f>'BOLETIM DE MEDIÇÃO 05'!G150</f>
        <v>1</v>
      </c>
      <c r="N390" s="86">
        <f t="shared" si="23"/>
        <v>1</v>
      </c>
    </row>
    <row r="391" spans="2:14" ht="45" hidden="1" x14ac:dyDescent="0.25">
      <c r="B391" s="50" t="s">
        <v>408</v>
      </c>
      <c r="C391" s="66">
        <v>97902</v>
      </c>
      <c r="D391" s="53" t="s">
        <v>410</v>
      </c>
      <c r="E391" s="44" t="s">
        <v>166</v>
      </c>
      <c r="F391" s="97"/>
      <c r="G391" s="106"/>
      <c r="H391" s="69"/>
      <c r="I391" s="105"/>
      <c r="J391" s="99">
        <f>'BOLETIM DE MEDIÇÃO 05'!O151-'MEMORIAL DE CALCULO 02'!K391</f>
        <v>0</v>
      </c>
      <c r="K391" s="82">
        <f t="shared" si="21"/>
        <v>0</v>
      </c>
      <c r="L391" s="82">
        <f t="shared" si="22"/>
        <v>0</v>
      </c>
      <c r="M391" s="82">
        <f>'BOLETIM DE MEDIÇÃO 05'!G151</f>
        <v>7</v>
      </c>
      <c r="N391" s="86">
        <f t="shared" si="23"/>
        <v>7</v>
      </c>
    </row>
    <row r="392" spans="2:14" ht="45" hidden="1" x14ac:dyDescent="0.25">
      <c r="B392" s="50" t="s">
        <v>411</v>
      </c>
      <c r="C392" s="66">
        <v>99258</v>
      </c>
      <c r="D392" s="53" t="s">
        <v>413</v>
      </c>
      <c r="E392" s="44" t="s">
        <v>166</v>
      </c>
      <c r="F392" s="97"/>
      <c r="G392" s="106"/>
      <c r="H392" s="69"/>
      <c r="I392" s="105"/>
      <c r="J392" s="99">
        <f>'BOLETIM DE MEDIÇÃO 05'!O152-'MEMORIAL DE CALCULO 02'!K392</f>
        <v>0</v>
      </c>
      <c r="K392" s="82">
        <f t="shared" si="21"/>
        <v>0</v>
      </c>
      <c r="L392" s="82">
        <f t="shared" si="22"/>
        <v>0</v>
      </c>
      <c r="M392" s="82">
        <f>'BOLETIM DE MEDIÇÃO 05'!G152</f>
        <v>1</v>
      </c>
      <c r="N392" s="86">
        <f t="shared" si="23"/>
        <v>1</v>
      </c>
    </row>
    <row r="393" spans="2:14" ht="33.75" hidden="1" x14ac:dyDescent="0.25">
      <c r="B393" s="50" t="s">
        <v>414</v>
      </c>
      <c r="C393" s="66">
        <v>89482</v>
      </c>
      <c r="D393" s="53" t="s">
        <v>416</v>
      </c>
      <c r="E393" s="44" t="s">
        <v>166</v>
      </c>
      <c r="F393" s="97"/>
      <c r="G393" s="106"/>
      <c r="H393" s="69"/>
      <c r="I393" s="105"/>
      <c r="J393" s="99">
        <f>'BOLETIM DE MEDIÇÃO 05'!O153-'MEMORIAL DE CALCULO 02'!K393</f>
        <v>0</v>
      </c>
      <c r="K393" s="82">
        <f t="shared" si="21"/>
        <v>0</v>
      </c>
      <c r="L393" s="82">
        <f t="shared" si="22"/>
        <v>0</v>
      </c>
      <c r="M393" s="82">
        <f>'BOLETIM DE MEDIÇÃO 05'!G153</f>
        <v>10</v>
      </c>
      <c r="N393" s="86">
        <f t="shared" si="23"/>
        <v>10</v>
      </c>
    </row>
    <row r="394" spans="2:14" ht="56.25" hidden="1" x14ac:dyDescent="0.25">
      <c r="B394" s="50" t="s">
        <v>417</v>
      </c>
      <c r="C394" s="66">
        <v>91792</v>
      </c>
      <c r="D394" s="53" t="s">
        <v>419</v>
      </c>
      <c r="E394" s="44" t="s">
        <v>37</v>
      </c>
      <c r="F394" s="97"/>
      <c r="G394" s="106"/>
      <c r="H394" s="69"/>
      <c r="I394" s="105"/>
      <c r="J394" s="99">
        <f>'BOLETIM DE MEDIÇÃO 05'!O154-'MEMORIAL DE CALCULO 02'!K394</f>
        <v>0</v>
      </c>
      <c r="K394" s="82">
        <f t="shared" si="21"/>
        <v>0</v>
      </c>
      <c r="L394" s="82">
        <f t="shared" si="22"/>
        <v>0</v>
      </c>
      <c r="M394" s="82">
        <f>'BOLETIM DE MEDIÇÃO 05'!G154</f>
        <v>38.85</v>
      </c>
      <c r="N394" s="86">
        <f t="shared" si="23"/>
        <v>38.85</v>
      </c>
    </row>
    <row r="395" spans="2:14" ht="56.25" hidden="1" x14ac:dyDescent="0.25">
      <c r="B395" s="50" t="s">
        <v>420</v>
      </c>
      <c r="C395" s="66">
        <v>91793</v>
      </c>
      <c r="D395" s="53" t="s">
        <v>422</v>
      </c>
      <c r="E395" s="44" t="s">
        <v>37</v>
      </c>
      <c r="F395" s="97"/>
      <c r="G395" s="106"/>
      <c r="H395" s="69"/>
      <c r="I395" s="105"/>
      <c r="J395" s="99">
        <f>'BOLETIM DE MEDIÇÃO 05'!O155-'MEMORIAL DE CALCULO 02'!K395</f>
        <v>0</v>
      </c>
      <c r="K395" s="82">
        <f t="shared" si="21"/>
        <v>0</v>
      </c>
      <c r="L395" s="82">
        <f t="shared" si="22"/>
        <v>0</v>
      </c>
      <c r="M395" s="82">
        <f>'BOLETIM DE MEDIÇÃO 05'!G155</f>
        <v>46.51</v>
      </c>
      <c r="N395" s="86">
        <f t="shared" si="23"/>
        <v>46.51</v>
      </c>
    </row>
    <row r="396" spans="2:14" ht="45" hidden="1" x14ac:dyDescent="0.25">
      <c r="B396" s="50" t="s">
        <v>423</v>
      </c>
      <c r="C396" s="66">
        <v>98107</v>
      </c>
      <c r="D396" s="53" t="s">
        <v>425</v>
      </c>
      <c r="E396" s="44" t="s">
        <v>166</v>
      </c>
      <c r="F396" s="97"/>
      <c r="G396" s="106"/>
      <c r="H396" s="69"/>
      <c r="I396" s="105"/>
      <c r="J396" s="99">
        <f>'BOLETIM DE MEDIÇÃO 05'!O156-'MEMORIAL DE CALCULO 02'!K396</f>
        <v>0</v>
      </c>
      <c r="K396" s="82">
        <f t="shared" si="21"/>
        <v>0</v>
      </c>
      <c r="L396" s="82">
        <f t="shared" si="22"/>
        <v>0</v>
      </c>
      <c r="M396" s="82">
        <f>'BOLETIM DE MEDIÇÃO 05'!G156</f>
        <v>1</v>
      </c>
      <c r="N396" s="86">
        <f t="shared" si="23"/>
        <v>1</v>
      </c>
    </row>
    <row r="397" spans="2:14" ht="56.25" hidden="1" x14ac:dyDescent="0.25">
      <c r="B397" s="50" t="s">
        <v>426</v>
      </c>
      <c r="C397" s="66">
        <v>91795</v>
      </c>
      <c r="D397" s="53" t="s">
        <v>428</v>
      </c>
      <c r="E397" s="44" t="s">
        <v>37</v>
      </c>
      <c r="F397" s="97"/>
      <c r="G397" s="106"/>
      <c r="H397" s="69"/>
      <c r="I397" s="105"/>
      <c r="J397" s="99">
        <f>'BOLETIM DE MEDIÇÃO 05'!O157-'MEMORIAL DE CALCULO 02'!K397</f>
        <v>0</v>
      </c>
      <c r="K397" s="82">
        <f t="shared" si="21"/>
        <v>0</v>
      </c>
      <c r="L397" s="82">
        <f t="shared" si="22"/>
        <v>0</v>
      </c>
      <c r="M397" s="82">
        <f>'BOLETIM DE MEDIÇÃO 05'!G157</f>
        <v>132.77000000000001</v>
      </c>
      <c r="N397" s="86">
        <f t="shared" si="23"/>
        <v>132.77000000000001</v>
      </c>
    </row>
    <row r="398" spans="2:14" ht="45" hidden="1" x14ac:dyDescent="0.25">
      <c r="B398" s="50" t="s">
        <v>429</v>
      </c>
      <c r="C398" s="68">
        <v>99251</v>
      </c>
      <c r="D398" s="67" t="s">
        <v>431</v>
      </c>
      <c r="E398" s="44" t="s">
        <v>166</v>
      </c>
      <c r="F398" s="97"/>
      <c r="G398" s="106"/>
      <c r="H398" s="69"/>
      <c r="I398" s="105"/>
      <c r="J398" s="99">
        <f>'BOLETIM DE MEDIÇÃO 05'!O158-'MEMORIAL DE CALCULO 02'!K398</f>
        <v>0</v>
      </c>
      <c r="K398" s="82">
        <f t="shared" si="21"/>
        <v>0</v>
      </c>
      <c r="L398" s="82">
        <f t="shared" si="22"/>
        <v>0</v>
      </c>
      <c r="M398" s="82">
        <f>'BOLETIM DE MEDIÇÃO 05'!G158</f>
        <v>2</v>
      </c>
      <c r="N398" s="86">
        <f t="shared" si="23"/>
        <v>2</v>
      </c>
    </row>
    <row r="399" spans="2:14" ht="56.25" hidden="1" x14ac:dyDescent="0.25">
      <c r="B399" s="50" t="s">
        <v>432</v>
      </c>
      <c r="C399" s="68">
        <v>91790</v>
      </c>
      <c r="D399" s="67" t="s">
        <v>434</v>
      </c>
      <c r="E399" s="44" t="s">
        <v>37</v>
      </c>
      <c r="F399" s="97"/>
      <c r="G399" s="106"/>
      <c r="H399" s="69"/>
      <c r="I399" s="105"/>
      <c r="J399" s="99">
        <f>'BOLETIM DE MEDIÇÃO 05'!O159-'MEMORIAL DE CALCULO 02'!K399</f>
        <v>0</v>
      </c>
      <c r="K399" s="82">
        <f t="shared" si="21"/>
        <v>0</v>
      </c>
      <c r="L399" s="82">
        <f t="shared" si="22"/>
        <v>0</v>
      </c>
      <c r="M399" s="82">
        <f>'BOLETIM DE MEDIÇÃO 05'!G159</f>
        <v>43.01</v>
      </c>
      <c r="N399" s="86">
        <f t="shared" si="23"/>
        <v>43.01</v>
      </c>
    </row>
    <row r="400" spans="2:14" ht="14.45" hidden="1" customHeight="1" x14ac:dyDescent="0.25">
      <c r="B400" s="51">
        <v>1.1399999999999999</v>
      </c>
      <c r="C400" s="65" t="s">
        <v>436</v>
      </c>
      <c r="D400" s="53"/>
      <c r="E400" s="44"/>
      <c r="F400" s="95"/>
      <c r="G400" s="106"/>
      <c r="H400" s="70"/>
      <c r="I400" s="105"/>
      <c r="J400" s="99"/>
      <c r="K400" s="82">
        <f t="shared" si="21"/>
        <v>0</v>
      </c>
      <c r="L400" s="82"/>
      <c r="M400" s="82"/>
      <c r="N400" s="86"/>
    </row>
    <row r="401" spans="2:14" ht="22.5" hidden="1" x14ac:dyDescent="0.25">
      <c r="B401" s="50" t="s">
        <v>437</v>
      </c>
      <c r="C401" s="59" t="s">
        <v>438</v>
      </c>
      <c r="D401" s="53" t="s">
        <v>439</v>
      </c>
      <c r="E401" s="44" t="s">
        <v>17</v>
      </c>
      <c r="F401" s="95"/>
      <c r="G401" s="106"/>
      <c r="H401" s="70"/>
      <c r="I401" s="105"/>
      <c r="J401" s="99">
        <f>'BOLETIM DE MEDIÇÃO 05'!O161-'MEMORIAL DE CALCULO 02'!K401</f>
        <v>0</v>
      </c>
      <c r="K401" s="82">
        <f t="shared" si="21"/>
        <v>0</v>
      </c>
      <c r="L401" s="82">
        <f t="shared" si="22"/>
        <v>0</v>
      </c>
      <c r="M401" s="82">
        <f>'BOLETIM DE MEDIÇÃO 05'!G161</f>
        <v>14.07</v>
      </c>
      <c r="N401" s="86">
        <f t="shared" si="23"/>
        <v>14.07</v>
      </c>
    </row>
    <row r="402" spans="2:14" ht="33.75" hidden="1" x14ac:dyDescent="0.25">
      <c r="B402" s="50" t="s">
        <v>440</v>
      </c>
      <c r="C402" s="68">
        <v>86906</v>
      </c>
      <c r="D402" s="67" t="s">
        <v>442</v>
      </c>
      <c r="E402" s="44" t="s">
        <v>166</v>
      </c>
      <c r="F402" s="128"/>
      <c r="G402" s="106"/>
      <c r="H402" s="44"/>
      <c r="I402" s="105"/>
      <c r="J402" s="99">
        <f>'BOLETIM DE MEDIÇÃO 05'!O162-'MEMORIAL DE CALCULO 02'!K402</f>
        <v>0</v>
      </c>
      <c r="K402" s="82">
        <f t="shared" si="21"/>
        <v>0</v>
      </c>
      <c r="L402" s="82">
        <f t="shared" si="22"/>
        <v>0</v>
      </c>
      <c r="M402" s="82">
        <f>'BOLETIM DE MEDIÇÃO 05'!G162</f>
        <v>10</v>
      </c>
      <c r="N402" s="86">
        <f t="shared" si="23"/>
        <v>10</v>
      </c>
    </row>
    <row r="403" spans="2:14" ht="33.75" hidden="1" x14ac:dyDescent="0.25">
      <c r="B403" s="50" t="s">
        <v>443</v>
      </c>
      <c r="C403" s="66">
        <v>86911</v>
      </c>
      <c r="D403" s="53" t="s">
        <v>445</v>
      </c>
      <c r="E403" s="44" t="s">
        <v>166</v>
      </c>
      <c r="F403" s="95"/>
      <c r="G403" s="106"/>
      <c r="H403" s="70"/>
      <c r="I403" s="105"/>
      <c r="J403" s="99">
        <f>'BOLETIM DE MEDIÇÃO 05'!O163-'MEMORIAL DE CALCULO 02'!K403</f>
        <v>0</v>
      </c>
      <c r="K403" s="82">
        <f t="shared" si="21"/>
        <v>0</v>
      </c>
      <c r="L403" s="82">
        <f t="shared" si="22"/>
        <v>0</v>
      </c>
      <c r="M403" s="82">
        <f>'BOLETIM DE MEDIÇÃO 05'!G163</f>
        <v>3</v>
      </c>
      <c r="N403" s="86">
        <f t="shared" si="23"/>
        <v>3</v>
      </c>
    </row>
    <row r="404" spans="2:14" ht="33.75" hidden="1" x14ac:dyDescent="0.25">
      <c r="B404" s="50" t="s">
        <v>446</v>
      </c>
      <c r="C404" s="66">
        <v>10428</v>
      </c>
      <c r="D404" s="53" t="s">
        <v>448</v>
      </c>
      <c r="E404" s="44" t="s">
        <v>166</v>
      </c>
      <c r="F404" s="95"/>
      <c r="G404" s="106"/>
      <c r="H404" s="70"/>
      <c r="I404" s="105"/>
      <c r="J404" s="99">
        <f>'BOLETIM DE MEDIÇÃO 05'!O164-'MEMORIAL DE CALCULO 02'!K404</f>
        <v>0</v>
      </c>
      <c r="K404" s="82">
        <f t="shared" si="21"/>
        <v>0</v>
      </c>
      <c r="L404" s="82">
        <f t="shared" si="22"/>
        <v>0</v>
      </c>
      <c r="M404" s="82">
        <f>'BOLETIM DE MEDIÇÃO 05'!G164</f>
        <v>8</v>
      </c>
      <c r="N404" s="86">
        <f t="shared" si="23"/>
        <v>8</v>
      </c>
    </row>
    <row r="405" spans="2:14" ht="45" hidden="1" x14ac:dyDescent="0.25">
      <c r="B405" s="50" t="s">
        <v>449</v>
      </c>
      <c r="C405" s="66">
        <v>86932</v>
      </c>
      <c r="D405" s="53" t="s">
        <v>451</v>
      </c>
      <c r="E405" s="44" t="s">
        <v>166</v>
      </c>
      <c r="F405" s="95"/>
      <c r="G405" s="106"/>
      <c r="H405" s="70"/>
      <c r="I405" s="105"/>
      <c r="J405" s="99">
        <f>'BOLETIM DE MEDIÇÃO 05'!O165-'MEMORIAL DE CALCULO 02'!K405</f>
        <v>0</v>
      </c>
      <c r="K405" s="82">
        <f t="shared" si="21"/>
        <v>0</v>
      </c>
      <c r="L405" s="82">
        <f t="shared" si="22"/>
        <v>0</v>
      </c>
      <c r="M405" s="82">
        <f>'BOLETIM DE MEDIÇÃO 05'!G165</f>
        <v>9</v>
      </c>
      <c r="N405" s="86">
        <f t="shared" si="23"/>
        <v>9</v>
      </c>
    </row>
    <row r="406" spans="2:14" ht="45" hidden="1" x14ac:dyDescent="0.25">
      <c r="B406" s="50" t="s">
        <v>452</v>
      </c>
      <c r="C406" s="66">
        <v>86935</v>
      </c>
      <c r="D406" s="53" t="s">
        <v>454</v>
      </c>
      <c r="E406" s="44" t="s">
        <v>166</v>
      </c>
      <c r="F406" s="95"/>
      <c r="G406" s="106"/>
      <c r="H406" s="70"/>
      <c r="I406" s="105"/>
      <c r="J406" s="99">
        <f>'BOLETIM DE MEDIÇÃO 05'!O166-'MEMORIAL DE CALCULO 02'!K406</f>
        <v>0</v>
      </c>
      <c r="K406" s="82">
        <f t="shared" si="21"/>
        <v>0</v>
      </c>
      <c r="L406" s="82">
        <f t="shared" si="22"/>
        <v>0</v>
      </c>
      <c r="M406" s="82">
        <f>'BOLETIM DE MEDIÇÃO 05'!G166</f>
        <v>2</v>
      </c>
      <c r="N406" s="86">
        <f t="shared" si="23"/>
        <v>2</v>
      </c>
    </row>
    <row r="407" spans="2:14" ht="33.75" hidden="1" x14ac:dyDescent="0.25">
      <c r="B407" s="50" t="s">
        <v>455</v>
      </c>
      <c r="C407" s="66">
        <v>100868</v>
      </c>
      <c r="D407" s="53" t="s">
        <v>457</v>
      </c>
      <c r="E407" s="44" t="s">
        <v>166</v>
      </c>
      <c r="F407" s="95"/>
      <c r="G407" s="106"/>
      <c r="H407" s="70"/>
      <c r="I407" s="105"/>
      <c r="J407" s="99">
        <f>'BOLETIM DE MEDIÇÃO 05'!O167-'MEMORIAL DE CALCULO 02'!K407</f>
        <v>0</v>
      </c>
      <c r="K407" s="82">
        <f t="shared" si="21"/>
        <v>0</v>
      </c>
      <c r="L407" s="82">
        <f t="shared" si="22"/>
        <v>0</v>
      </c>
      <c r="M407" s="82">
        <f>'BOLETIM DE MEDIÇÃO 05'!G167</f>
        <v>2</v>
      </c>
      <c r="N407" s="86">
        <f t="shared" si="23"/>
        <v>2</v>
      </c>
    </row>
    <row r="408" spans="2:14" ht="56.25" hidden="1" x14ac:dyDescent="0.25">
      <c r="B408" s="50" t="s">
        <v>458</v>
      </c>
      <c r="C408" s="66">
        <v>86942</v>
      </c>
      <c r="D408" s="53" t="s">
        <v>460</v>
      </c>
      <c r="E408" s="44" t="s">
        <v>166</v>
      </c>
      <c r="F408" s="95"/>
      <c r="G408" s="106"/>
      <c r="H408" s="70"/>
      <c r="I408" s="105"/>
      <c r="J408" s="99">
        <f>'BOLETIM DE MEDIÇÃO 05'!O168-'MEMORIAL DE CALCULO 02'!K408</f>
        <v>0</v>
      </c>
      <c r="K408" s="82">
        <f t="shared" si="21"/>
        <v>0</v>
      </c>
      <c r="L408" s="82">
        <f t="shared" si="22"/>
        <v>0</v>
      </c>
      <c r="M408" s="82">
        <f>'BOLETIM DE MEDIÇÃO 05'!G168</f>
        <v>1</v>
      </c>
      <c r="N408" s="86">
        <f t="shared" si="23"/>
        <v>1</v>
      </c>
    </row>
    <row r="409" spans="2:14" ht="56.25" hidden="1" x14ac:dyDescent="0.25">
      <c r="B409" s="50" t="s">
        <v>461</v>
      </c>
      <c r="C409" s="66">
        <v>86923</v>
      </c>
      <c r="D409" s="53" t="s">
        <v>463</v>
      </c>
      <c r="E409" s="44" t="s">
        <v>166</v>
      </c>
      <c r="F409" s="95"/>
      <c r="G409" s="106"/>
      <c r="H409" s="70"/>
      <c r="I409" s="105"/>
      <c r="J409" s="99">
        <f>'BOLETIM DE MEDIÇÃO 05'!O169-'MEMORIAL DE CALCULO 02'!K409</f>
        <v>0</v>
      </c>
      <c r="K409" s="82">
        <f t="shared" si="21"/>
        <v>0</v>
      </c>
      <c r="L409" s="82">
        <f t="shared" si="22"/>
        <v>0</v>
      </c>
      <c r="M409" s="82">
        <f>'BOLETIM DE MEDIÇÃO 05'!G169</f>
        <v>1</v>
      </c>
      <c r="N409" s="86">
        <f t="shared" si="23"/>
        <v>1</v>
      </c>
    </row>
    <row r="410" spans="2:14" ht="45" hidden="1" x14ac:dyDescent="0.25">
      <c r="B410" s="50" t="s">
        <v>464</v>
      </c>
      <c r="C410" s="66">
        <v>95472</v>
      </c>
      <c r="D410" s="53" t="s">
        <v>466</v>
      </c>
      <c r="E410" s="44" t="s">
        <v>166</v>
      </c>
      <c r="F410" s="95"/>
      <c r="G410" s="106"/>
      <c r="H410" s="70"/>
      <c r="I410" s="105"/>
      <c r="J410" s="99">
        <f>'BOLETIM DE MEDIÇÃO 05'!O170-'MEMORIAL DE CALCULO 02'!K410</f>
        <v>0</v>
      </c>
      <c r="K410" s="82">
        <f t="shared" si="21"/>
        <v>0</v>
      </c>
      <c r="L410" s="82">
        <f t="shared" si="22"/>
        <v>0</v>
      </c>
      <c r="M410" s="82">
        <f>'BOLETIM DE MEDIÇÃO 05'!G170</f>
        <v>1</v>
      </c>
      <c r="N410" s="86">
        <f t="shared" si="23"/>
        <v>1</v>
      </c>
    </row>
    <row r="411" spans="2:14" ht="33.75" hidden="1" x14ac:dyDescent="0.25">
      <c r="B411" s="50" t="s">
        <v>467</v>
      </c>
      <c r="C411" s="66">
        <v>102253</v>
      </c>
      <c r="D411" s="53" t="s">
        <v>469</v>
      </c>
      <c r="E411" s="44" t="s">
        <v>17</v>
      </c>
      <c r="F411" s="95"/>
      <c r="G411" s="106"/>
      <c r="H411" s="70"/>
      <c r="I411" s="105"/>
      <c r="J411" s="99">
        <f>'BOLETIM DE MEDIÇÃO 05'!O171-'MEMORIAL DE CALCULO 02'!K411</f>
        <v>0</v>
      </c>
      <c r="K411" s="82">
        <f t="shared" si="21"/>
        <v>0</v>
      </c>
      <c r="L411" s="82">
        <f t="shared" si="22"/>
        <v>0</v>
      </c>
      <c r="M411" s="82">
        <f>'BOLETIM DE MEDIÇÃO 05'!G171</f>
        <v>33.92</v>
      </c>
      <c r="N411" s="86">
        <f t="shared" si="23"/>
        <v>33.92</v>
      </c>
    </row>
    <row r="412" spans="2:14" ht="22.5" hidden="1" x14ac:dyDescent="0.25">
      <c r="B412" s="50" t="s">
        <v>470</v>
      </c>
      <c r="C412" s="66">
        <v>100860</v>
      </c>
      <c r="D412" s="53" t="s">
        <v>472</v>
      </c>
      <c r="E412" s="44" t="s">
        <v>166</v>
      </c>
      <c r="F412" s="95"/>
      <c r="G412" s="106"/>
      <c r="H412" s="70"/>
      <c r="I412" s="105"/>
      <c r="J412" s="99">
        <f>'BOLETIM DE MEDIÇÃO 05'!O172-'MEMORIAL DE CALCULO 02'!K412</f>
        <v>0</v>
      </c>
      <c r="K412" s="82">
        <f t="shared" si="21"/>
        <v>0</v>
      </c>
      <c r="L412" s="82">
        <f t="shared" si="22"/>
        <v>0</v>
      </c>
      <c r="M412" s="82">
        <f>'BOLETIM DE MEDIÇÃO 05'!G172</f>
        <v>4</v>
      </c>
      <c r="N412" s="86">
        <f t="shared" si="23"/>
        <v>4</v>
      </c>
    </row>
    <row r="413" spans="2:14" ht="14.45" customHeight="1" x14ac:dyDescent="0.25">
      <c r="B413" s="51">
        <v>1.1499999999999999</v>
      </c>
      <c r="C413" s="65" t="s">
        <v>474</v>
      </c>
      <c r="D413" s="53"/>
      <c r="E413" s="44"/>
      <c r="F413" s="95"/>
      <c r="G413" s="106"/>
      <c r="H413" s="70"/>
      <c r="I413" s="105"/>
      <c r="J413" s="99"/>
      <c r="K413" s="81"/>
      <c r="L413" s="82"/>
      <c r="M413" s="82"/>
      <c r="N413" s="86"/>
    </row>
    <row r="414" spans="2:14" ht="33.75" hidden="1" x14ac:dyDescent="0.25">
      <c r="B414" s="50" t="s">
        <v>475</v>
      </c>
      <c r="C414" s="66">
        <v>99059</v>
      </c>
      <c r="D414" s="53" t="s">
        <v>36</v>
      </c>
      <c r="E414" s="44" t="s">
        <v>37</v>
      </c>
      <c r="F414" s="95">
        <v>1</v>
      </c>
      <c r="G414" s="106">
        <v>130.85</v>
      </c>
      <c r="H414" s="70"/>
      <c r="I414" s="105"/>
      <c r="J414" s="99">
        <f>'BOLETIM DE MEDIÇÃO 05'!O174-'MEMORIAL DE CALCULO 02'!K414</f>
        <v>0</v>
      </c>
      <c r="K414" s="81">
        <f>F414*G414</f>
        <v>130.85</v>
      </c>
      <c r="L414" s="82">
        <f t="shared" si="22"/>
        <v>130.85</v>
      </c>
      <c r="M414" s="82">
        <f>'BOLETIM DE MEDIÇÃO 05'!G174</f>
        <v>130.85</v>
      </c>
      <c r="N414" s="86">
        <f t="shared" si="23"/>
        <v>0</v>
      </c>
    </row>
    <row r="415" spans="2:14" ht="22.5" hidden="1" x14ac:dyDescent="0.25">
      <c r="B415" s="50" t="s">
        <v>476</v>
      </c>
      <c r="C415" s="66">
        <v>93358</v>
      </c>
      <c r="D415" s="53" t="s">
        <v>40</v>
      </c>
      <c r="E415" s="44" t="s">
        <v>41</v>
      </c>
      <c r="F415" s="95"/>
      <c r="G415" s="106"/>
      <c r="H415" s="70"/>
      <c r="I415" s="105"/>
      <c r="J415" s="99">
        <f>'BOLETIM DE MEDIÇÃO 05'!O175-'MEMORIAL DE CALCULO 02'!K415</f>
        <v>3.9520000000052846E-3</v>
      </c>
      <c r="K415" s="81">
        <f>SUM(K416:K417)</f>
        <v>32.676047999999994</v>
      </c>
      <c r="L415" s="82">
        <f t="shared" si="22"/>
        <v>32.68</v>
      </c>
      <c r="M415" s="82">
        <f>'BOLETIM DE MEDIÇÃO 05'!G175</f>
        <v>32.68</v>
      </c>
      <c r="N415" s="86">
        <f t="shared" si="23"/>
        <v>0</v>
      </c>
    </row>
    <row r="416" spans="2:14" hidden="1" x14ac:dyDescent="0.25">
      <c r="B416" s="50"/>
      <c r="C416" s="66"/>
      <c r="D416" s="118" t="s">
        <v>577</v>
      </c>
      <c r="E416" s="44"/>
      <c r="F416" s="95">
        <v>43</v>
      </c>
      <c r="G416" s="106">
        <v>0.6</v>
      </c>
      <c r="H416" s="70">
        <v>0.6</v>
      </c>
      <c r="I416" s="105">
        <v>1.3501000000000001</v>
      </c>
      <c r="J416" s="99"/>
      <c r="K416" s="82">
        <f>F416*(G416*H416*I416)</f>
        <v>20.899547999999999</v>
      </c>
      <c r="L416" s="82"/>
      <c r="M416" s="82"/>
      <c r="N416" s="86"/>
    </row>
    <row r="417" spans="2:14" hidden="1" x14ac:dyDescent="0.25">
      <c r="B417" s="50"/>
      <c r="C417" s="66"/>
      <c r="D417" s="118" t="s">
        <v>578</v>
      </c>
      <c r="E417" s="44"/>
      <c r="F417" s="95">
        <v>1</v>
      </c>
      <c r="G417" s="106">
        <v>130.85</v>
      </c>
      <c r="H417" s="70">
        <v>0.3</v>
      </c>
      <c r="I417" s="105">
        <v>0.3</v>
      </c>
      <c r="J417" s="99"/>
      <c r="K417" s="82">
        <f>F417*(G417*H417*I417)</f>
        <v>11.776499999999999</v>
      </c>
      <c r="L417" s="82"/>
      <c r="M417" s="82"/>
      <c r="N417" s="86"/>
    </row>
    <row r="418" spans="2:14" x14ac:dyDescent="0.25">
      <c r="B418" s="50" t="s">
        <v>477</v>
      </c>
      <c r="C418" s="66">
        <v>96995</v>
      </c>
      <c r="D418" s="53" t="s">
        <v>44</v>
      </c>
      <c r="E418" s="44" t="s">
        <v>41</v>
      </c>
      <c r="F418" s="95"/>
      <c r="G418" s="106"/>
      <c r="H418" s="70"/>
      <c r="I418" s="105"/>
      <c r="J418" s="99">
        <f>'BOLETIM DE MEDIÇÃO 05'!O176-'MEMORIAL DE CALCULO 02'!K418</f>
        <v>0</v>
      </c>
      <c r="K418" s="81">
        <f>G419</f>
        <v>11.01</v>
      </c>
      <c r="L418" s="82">
        <f t="shared" si="22"/>
        <v>11.01</v>
      </c>
      <c r="M418" s="82">
        <f>'BOLETIM DE MEDIÇÃO 05'!G176</f>
        <v>11.01</v>
      </c>
      <c r="N418" s="86">
        <f t="shared" si="23"/>
        <v>0</v>
      </c>
    </row>
    <row r="419" spans="2:14" x14ac:dyDescent="0.25">
      <c r="B419" s="50"/>
      <c r="C419" s="66"/>
      <c r="D419" s="118" t="s">
        <v>708</v>
      </c>
      <c r="E419" s="44"/>
      <c r="F419" s="95">
        <v>1</v>
      </c>
      <c r="G419" s="468">
        <v>11.01</v>
      </c>
      <c r="H419" s="469"/>
      <c r="I419" s="470"/>
      <c r="J419" s="99"/>
      <c r="K419" s="81"/>
      <c r="L419" s="82"/>
      <c r="M419" s="82"/>
      <c r="N419" s="86"/>
    </row>
    <row r="420" spans="2:14" x14ac:dyDescent="0.25">
      <c r="B420" s="50"/>
      <c r="C420" s="66"/>
      <c r="D420" s="118"/>
      <c r="E420" s="44"/>
      <c r="F420" s="95"/>
      <c r="G420" s="106"/>
      <c r="H420" s="70"/>
      <c r="I420" s="105"/>
      <c r="J420" s="99"/>
      <c r="K420" s="81"/>
      <c r="L420" s="82"/>
      <c r="M420" s="82"/>
      <c r="N420" s="86"/>
    </row>
    <row r="421" spans="2:14" ht="22.5" hidden="1" x14ac:dyDescent="0.25">
      <c r="B421" s="50" t="s">
        <v>478</v>
      </c>
      <c r="C421" s="66">
        <v>93205</v>
      </c>
      <c r="D421" s="53" t="s">
        <v>480</v>
      </c>
      <c r="E421" s="44" t="s">
        <v>37</v>
      </c>
      <c r="F421" s="95"/>
      <c r="G421" s="106"/>
      <c r="H421" s="70"/>
      <c r="I421" s="105"/>
      <c r="J421" s="99">
        <f>'BOLETIM DE MEDIÇÃO 05'!O177-'MEMORIAL DE CALCULO 02'!K421</f>
        <v>244.5</v>
      </c>
      <c r="K421" s="81"/>
      <c r="L421" s="82">
        <f t="shared" si="22"/>
        <v>244.5</v>
      </c>
      <c r="M421" s="82">
        <f>'BOLETIM DE MEDIÇÃO 05'!G177</f>
        <v>244.5</v>
      </c>
      <c r="N421" s="86">
        <f t="shared" si="23"/>
        <v>0</v>
      </c>
    </row>
    <row r="422" spans="2:14" ht="22.5" x14ac:dyDescent="0.25">
      <c r="B422" s="50" t="s">
        <v>481</v>
      </c>
      <c r="C422" s="66">
        <v>101616</v>
      </c>
      <c r="D422" s="53" t="s">
        <v>55</v>
      </c>
      <c r="E422" s="44" t="s">
        <v>17</v>
      </c>
      <c r="F422" s="95">
        <v>8</v>
      </c>
      <c r="G422" s="106">
        <v>0.6</v>
      </c>
      <c r="H422" s="70">
        <v>0.6</v>
      </c>
      <c r="I422" s="105"/>
      <c r="J422" s="99">
        <f>'BOLETIM DE MEDIÇÃO 05'!O178-'MEMORIAL DE CALCULO 02'!K422</f>
        <v>12.600000000000001</v>
      </c>
      <c r="K422" s="81">
        <f>(F422*G422*H422)</f>
        <v>2.88</v>
      </c>
      <c r="L422" s="82">
        <f t="shared" si="22"/>
        <v>15.48</v>
      </c>
      <c r="M422" s="82">
        <f>'BOLETIM DE MEDIÇÃO 05'!G178</f>
        <v>15.48</v>
      </c>
      <c r="N422" s="86">
        <f t="shared" si="23"/>
        <v>0</v>
      </c>
    </row>
    <row r="423" spans="2:14" ht="33.75" x14ac:dyDescent="0.25">
      <c r="B423" s="50" t="s">
        <v>482</v>
      </c>
      <c r="C423" s="66">
        <v>96619</v>
      </c>
      <c r="D423" s="53" t="s">
        <v>58</v>
      </c>
      <c r="E423" s="44" t="s">
        <v>17</v>
      </c>
      <c r="F423" s="95">
        <v>8</v>
      </c>
      <c r="G423" s="106">
        <v>0.6</v>
      </c>
      <c r="H423" s="70">
        <v>0.6</v>
      </c>
      <c r="I423" s="105"/>
      <c r="J423" s="99">
        <f>'BOLETIM DE MEDIÇÃO 05'!O179-'MEMORIAL DE CALCULO 02'!K423</f>
        <v>12.600000000000001</v>
      </c>
      <c r="K423" s="81">
        <f>(F423*G423*H423)</f>
        <v>2.88</v>
      </c>
      <c r="L423" s="82">
        <f t="shared" si="22"/>
        <v>15.48</v>
      </c>
      <c r="M423" s="82">
        <f>'BOLETIM DE MEDIÇÃO 05'!G179</f>
        <v>15.48</v>
      </c>
      <c r="N423" s="86">
        <f t="shared" si="23"/>
        <v>0</v>
      </c>
    </row>
    <row r="424" spans="2:14" ht="22.5" x14ac:dyDescent="0.25">
      <c r="B424" s="50" t="s">
        <v>483</v>
      </c>
      <c r="C424" s="68">
        <v>96545</v>
      </c>
      <c r="D424" s="67" t="s">
        <v>61</v>
      </c>
      <c r="E424" s="44" t="s">
        <v>62</v>
      </c>
      <c r="F424" s="95"/>
      <c r="G424" s="106"/>
      <c r="H424" s="44"/>
      <c r="I424" s="105"/>
      <c r="J424" s="99">
        <f>'BOLETIM DE MEDIÇÃO 05'!O180-'MEMORIAL DE CALCULO 02'!K424</f>
        <v>133.69999999999999</v>
      </c>
      <c r="K424" s="81">
        <f>G425</f>
        <v>33.43</v>
      </c>
      <c r="L424" s="82">
        <f t="shared" si="22"/>
        <v>167.13</v>
      </c>
      <c r="M424" s="82">
        <f>'BOLETIM DE MEDIÇÃO 05'!G180</f>
        <v>167.13</v>
      </c>
      <c r="N424" s="86">
        <f t="shared" si="23"/>
        <v>0</v>
      </c>
    </row>
    <row r="425" spans="2:14" ht="22.5" x14ac:dyDescent="0.25">
      <c r="B425" s="50"/>
      <c r="C425" s="68"/>
      <c r="D425" s="117" t="s">
        <v>709</v>
      </c>
      <c r="E425" s="44"/>
      <c r="F425" s="95">
        <v>1</v>
      </c>
      <c r="G425" s="106">
        <v>33.43</v>
      </c>
      <c r="H425" s="44"/>
      <c r="I425" s="105"/>
      <c r="J425" s="99"/>
      <c r="K425" s="81"/>
      <c r="L425" s="82"/>
      <c r="M425" s="82"/>
      <c r="N425" s="86"/>
    </row>
    <row r="426" spans="2:14" ht="33.75" x14ac:dyDescent="0.25">
      <c r="B426" s="50" t="s">
        <v>484</v>
      </c>
      <c r="C426" s="68">
        <v>94966</v>
      </c>
      <c r="D426" s="67" t="s">
        <v>65</v>
      </c>
      <c r="E426" s="44" t="s">
        <v>41</v>
      </c>
      <c r="F426" s="95"/>
      <c r="G426" s="106"/>
      <c r="H426" s="44"/>
      <c r="I426" s="105"/>
      <c r="J426" s="99">
        <f>'BOLETIM DE MEDIÇÃO 05'!O181-'MEMORIAL DE CALCULO 02'!K426</f>
        <v>8.850010000000001</v>
      </c>
      <c r="K426" s="81">
        <f>SUM(K427:K428)</f>
        <v>1.04</v>
      </c>
      <c r="L426" s="82">
        <f t="shared" si="22"/>
        <v>9.8900100000000002</v>
      </c>
      <c r="M426" s="82">
        <f>'BOLETIM DE MEDIÇÃO 05'!G181</f>
        <v>9.89</v>
      </c>
      <c r="N426" s="86">
        <f t="shared" si="23"/>
        <v>-9.9999999996214228E-6</v>
      </c>
    </row>
    <row r="427" spans="2:14" x14ac:dyDescent="0.25">
      <c r="B427" s="50"/>
      <c r="C427" s="68"/>
      <c r="D427" s="117" t="s">
        <v>579</v>
      </c>
      <c r="E427" s="44"/>
      <c r="F427" s="95">
        <v>8</v>
      </c>
      <c r="G427" s="129">
        <v>0.6</v>
      </c>
      <c r="H427" s="69">
        <v>0.6</v>
      </c>
      <c r="I427" s="105">
        <v>0.25</v>
      </c>
      <c r="J427" s="99"/>
      <c r="K427" s="81">
        <f>F427*(G427*H427*I427)</f>
        <v>0.72</v>
      </c>
      <c r="L427" s="82"/>
      <c r="M427" s="82"/>
      <c r="N427" s="86"/>
    </row>
    <row r="428" spans="2:14" x14ac:dyDescent="0.25">
      <c r="B428" s="50"/>
      <c r="C428" s="68"/>
      <c r="D428" s="117" t="s">
        <v>580</v>
      </c>
      <c r="E428" s="44"/>
      <c r="F428" s="130">
        <v>8</v>
      </c>
      <c r="G428" s="131">
        <v>0.2</v>
      </c>
      <c r="H428" s="69">
        <v>0.2</v>
      </c>
      <c r="I428" s="123">
        <v>1</v>
      </c>
      <c r="J428" s="99"/>
      <c r="K428" s="81">
        <f>F428*(G428*H428*I428)</f>
        <v>0.32000000000000006</v>
      </c>
      <c r="L428" s="82"/>
      <c r="M428" s="82"/>
      <c r="N428" s="86"/>
    </row>
    <row r="429" spans="2:14" x14ac:dyDescent="0.25">
      <c r="B429" s="50"/>
      <c r="C429" s="68"/>
      <c r="D429" s="67"/>
      <c r="E429" s="44"/>
      <c r="F429" s="95"/>
      <c r="G429" s="106"/>
      <c r="H429" s="44"/>
      <c r="I429" s="105"/>
      <c r="J429" s="99"/>
      <c r="K429" s="81"/>
      <c r="L429" s="82"/>
      <c r="M429" s="82"/>
      <c r="N429" s="86"/>
    </row>
    <row r="430" spans="2:14" ht="45" x14ac:dyDescent="0.25">
      <c r="B430" s="50" t="s">
        <v>485</v>
      </c>
      <c r="C430" s="66">
        <v>103800</v>
      </c>
      <c r="D430" s="53" t="s">
        <v>487</v>
      </c>
      <c r="E430" s="44" t="s">
        <v>41</v>
      </c>
      <c r="F430" s="95">
        <v>1</v>
      </c>
      <c r="G430" s="106">
        <v>120.88</v>
      </c>
      <c r="H430" s="70">
        <v>0.3</v>
      </c>
      <c r="I430" s="105">
        <v>0.3</v>
      </c>
      <c r="J430" s="99">
        <f>'BOLETIM DE MEDIÇÃO 05'!O182-'MEMORIAL DE CALCULO 02'!K430</f>
        <v>0.90080000000000204</v>
      </c>
      <c r="K430" s="81">
        <f>F430*(G430*H430*I430)</f>
        <v>10.879199999999999</v>
      </c>
      <c r="L430" s="82">
        <f t="shared" si="22"/>
        <v>11.780000000000001</v>
      </c>
      <c r="M430" s="82">
        <f>'BOLETIM DE MEDIÇÃO 05'!G182</f>
        <v>11.78</v>
      </c>
      <c r="N430" s="86">
        <f t="shared" si="23"/>
        <v>0</v>
      </c>
    </row>
    <row r="431" spans="2:14" ht="22.5" x14ac:dyDescent="0.25">
      <c r="B431" s="50" t="s">
        <v>488</v>
      </c>
      <c r="C431" s="66">
        <v>103670</v>
      </c>
      <c r="D431" s="53" t="s">
        <v>71</v>
      </c>
      <c r="E431" s="44" t="s">
        <v>41</v>
      </c>
      <c r="F431" s="95"/>
      <c r="G431" s="106"/>
      <c r="H431" s="70"/>
      <c r="I431" s="105"/>
      <c r="J431" s="99">
        <f>'BOLETIM DE MEDIÇÃO 05'!O183-'MEMORIAL DE CALCULO 02'!K431</f>
        <v>8.8500300000000003</v>
      </c>
      <c r="K431" s="81">
        <f>G432</f>
        <v>1.04</v>
      </c>
      <c r="L431" s="82">
        <f t="shared" si="22"/>
        <v>9.8900299999999994</v>
      </c>
      <c r="M431" s="82">
        <f>'BOLETIM DE MEDIÇÃO 05'!G183</f>
        <v>9.89</v>
      </c>
      <c r="N431" s="86">
        <f t="shared" si="23"/>
        <v>-2.9999999998864268E-5</v>
      </c>
    </row>
    <row r="432" spans="2:14" x14ac:dyDescent="0.25">
      <c r="B432" s="50"/>
      <c r="C432" s="66"/>
      <c r="D432" s="118" t="s">
        <v>581</v>
      </c>
      <c r="E432" s="44"/>
      <c r="F432" s="95">
        <v>1</v>
      </c>
      <c r="G432" s="468">
        <f>K426</f>
        <v>1.04</v>
      </c>
      <c r="H432" s="469"/>
      <c r="I432" s="470"/>
      <c r="J432" s="99"/>
      <c r="K432" s="81"/>
      <c r="L432" s="82"/>
      <c r="M432" s="82"/>
      <c r="N432" s="86"/>
    </row>
    <row r="433" spans="1:14" ht="22.5" x14ac:dyDescent="0.25">
      <c r="B433" s="50" t="s">
        <v>489</v>
      </c>
      <c r="C433" s="66">
        <v>96543</v>
      </c>
      <c r="D433" s="53" t="s">
        <v>74</v>
      </c>
      <c r="E433" s="44" t="s">
        <v>62</v>
      </c>
      <c r="F433" s="95"/>
      <c r="G433" s="106" t="s">
        <v>583</v>
      </c>
      <c r="H433" s="70" t="s">
        <v>584</v>
      </c>
      <c r="I433" s="105" t="s">
        <v>585</v>
      </c>
      <c r="J433" s="99">
        <f>'BOLETIM DE MEDIÇÃO 05'!O184-'MEMORIAL DE CALCULO 02'!K433</f>
        <v>152.38661199999996</v>
      </c>
      <c r="K433" s="81">
        <f>K434</f>
        <v>9.6342399999999984</v>
      </c>
      <c r="L433" s="82">
        <f t="shared" si="22"/>
        <v>162.02085199999996</v>
      </c>
      <c r="M433" s="82">
        <f>'BOLETIM DE MEDIÇÃO 05'!G184</f>
        <v>162.02000000000001</v>
      </c>
      <c r="N433" s="86">
        <f t="shared" si="23"/>
        <v>-8.5199999995211328E-4</v>
      </c>
    </row>
    <row r="434" spans="1:14" x14ac:dyDescent="0.25">
      <c r="B434" s="50"/>
      <c r="C434" s="66"/>
      <c r="D434" s="117" t="s">
        <v>582</v>
      </c>
      <c r="E434" s="44"/>
      <c r="F434" s="95">
        <v>8</v>
      </c>
      <c r="G434" s="106">
        <v>0.68</v>
      </c>
      <c r="H434" s="70">
        <v>0.1</v>
      </c>
      <c r="I434" s="105">
        <v>1.1499999999999999</v>
      </c>
      <c r="J434" s="137"/>
      <c r="K434" s="64">
        <f>(I434/H434)*G434*0.154*F434</f>
        <v>9.6342399999999984</v>
      </c>
      <c r="L434" s="82"/>
      <c r="M434" s="82"/>
      <c r="N434" s="86"/>
    </row>
    <row r="435" spans="1:14" ht="19.899999999999999" customHeight="1" x14ac:dyDescent="0.25">
      <c r="B435" s="50" t="s">
        <v>490</v>
      </c>
      <c r="C435" s="68">
        <v>96546</v>
      </c>
      <c r="D435" s="67" t="s">
        <v>80</v>
      </c>
      <c r="E435" s="44" t="s">
        <v>62</v>
      </c>
      <c r="F435" s="95"/>
      <c r="G435" s="468" t="s">
        <v>586</v>
      </c>
      <c r="H435" s="471"/>
      <c r="I435" s="122" t="s">
        <v>587</v>
      </c>
      <c r="J435" s="99">
        <f>'BOLETIM DE MEDIÇÃO 05'!O185-'MEMORIAL DE CALCULO 02'!K435</f>
        <v>355.09127999999993</v>
      </c>
      <c r="K435" s="81">
        <f>K436</f>
        <v>22.705599999999997</v>
      </c>
      <c r="L435" s="82">
        <f t="shared" si="22"/>
        <v>377.79687999999993</v>
      </c>
      <c r="M435" s="82">
        <f>'BOLETIM DE MEDIÇÃO 05'!G185</f>
        <v>377.8</v>
      </c>
      <c r="N435" s="86">
        <f t="shared" si="23"/>
        <v>3.1200000000808359E-3</v>
      </c>
    </row>
    <row r="436" spans="1:14" ht="19.899999999999999" customHeight="1" x14ac:dyDescent="0.25">
      <c r="B436" s="119"/>
      <c r="C436" s="120"/>
      <c r="D436" s="117" t="s">
        <v>582</v>
      </c>
      <c r="E436" s="44"/>
      <c r="F436" s="95">
        <v>8</v>
      </c>
      <c r="G436" s="468">
        <v>4</v>
      </c>
      <c r="H436" s="471"/>
      <c r="I436" s="105">
        <v>1.1499999999999999</v>
      </c>
      <c r="J436" s="137"/>
      <c r="K436" s="64">
        <f>I436*G436*F436*0.617</f>
        <v>22.705599999999997</v>
      </c>
      <c r="L436" s="82"/>
      <c r="M436" s="82"/>
      <c r="N436" s="86"/>
    </row>
    <row r="437" spans="1:14" ht="34.5" thickBot="1" x14ac:dyDescent="0.3">
      <c r="B437" s="119" t="s">
        <v>491</v>
      </c>
      <c r="C437" s="124">
        <v>96536</v>
      </c>
      <c r="D437" s="75" t="s">
        <v>86</v>
      </c>
      <c r="E437" s="76" t="s">
        <v>17</v>
      </c>
      <c r="F437" s="132"/>
      <c r="G437" s="133"/>
      <c r="H437" s="134"/>
      <c r="I437" s="105"/>
      <c r="J437" s="99">
        <f>'BOLETIM DE MEDIÇÃO 05'!O186-'MEMORIAL DE CALCULO 02'!K437</f>
        <v>137.43800000000002</v>
      </c>
      <c r="K437" s="81">
        <f>SUM(K438:K439)</f>
        <v>12.16</v>
      </c>
      <c r="L437" s="82">
        <f t="shared" si="22"/>
        <v>149.59800000000001</v>
      </c>
      <c r="M437" s="82">
        <f>'BOLETIM DE MEDIÇÃO 05'!G186</f>
        <v>149.6</v>
      </c>
      <c r="N437" s="86">
        <f t="shared" si="23"/>
        <v>1.999999999981128E-3</v>
      </c>
    </row>
    <row r="438" spans="1:14" x14ac:dyDescent="0.25">
      <c r="A438" s="79"/>
      <c r="B438" s="50"/>
      <c r="C438" s="68"/>
      <c r="D438" s="117" t="s">
        <v>588</v>
      </c>
      <c r="E438" s="44"/>
      <c r="F438" s="95">
        <v>8</v>
      </c>
      <c r="G438" s="106">
        <v>0.6</v>
      </c>
      <c r="H438" s="121">
        <v>0.6</v>
      </c>
      <c r="I438" s="127">
        <v>0.3</v>
      </c>
      <c r="J438" s="137"/>
      <c r="K438" s="64">
        <f>((G438*I438*2)+(H438*I438*2))*F438</f>
        <v>5.76</v>
      </c>
      <c r="L438" s="82"/>
      <c r="M438" s="82"/>
      <c r="N438" s="86"/>
    </row>
    <row r="439" spans="1:14" ht="15.75" thickBot="1" x14ac:dyDescent="0.3">
      <c r="A439" s="79"/>
      <c r="B439" s="73"/>
      <c r="C439" s="125"/>
      <c r="D439" s="126" t="s">
        <v>582</v>
      </c>
      <c r="E439" s="76"/>
      <c r="F439" s="135">
        <v>8</v>
      </c>
      <c r="G439" s="136">
        <v>0.2</v>
      </c>
      <c r="H439" s="115">
        <v>0.2</v>
      </c>
      <c r="I439" s="107">
        <v>1</v>
      </c>
      <c r="J439" s="137"/>
      <c r="K439" s="78">
        <f>((G439*I439*2)+(H439*I439*2))*F439</f>
        <v>6.4</v>
      </c>
      <c r="L439" s="84"/>
      <c r="M439" s="84"/>
      <c r="N439" s="87"/>
    </row>
    <row r="440" spans="1:14" ht="23.25" hidden="1" thickBot="1" x14ac:dyDescent="0.3">
      <c r="B440" s="111" t="s">
        <v>492</v>
      </c>
      <c r="C440" s="112">
        <v>98557</v>
      </c>
      <c r="D440" s="113" t="s">
        <v>89</v>
      </c>
      <c r="E440" s="114" t="s">
        <v>17</v>
      </c>
      <c r="F440" s="100"/>
      <c r="G440" s="100"/>
      <c r="H440" s="100"/>
      <c r="I440" s="101"/>
      <c r="J440" s="101">
        <f>'BOLETIM DE MEDIÇÃO 05'!O187-'MEMORIAL DE CALCULO 02'!K440</f>
        <v>65.435000000000002</v>
      </c>
      <c r="K440" s="108"/>
      <c r="L440" s="109">
        <f t="shared" si="22"/>
        <v>65.435000000000002</v>
      </c>
      <c r="M440" s="109">
        <f>'BOLETIM DE MEDIÇÃO 05'!G187</f>
        <v>65.430000000000007</v>
      </c>
      <c r="N440" s="110">
        <f t="shared" si="23"/>
        <v>-4.9999999999954525E-3</v>
      </c>
    </row>
    <row r="441" spans="1:14" ht="45.75" hidden="1" thickBot="1" x14ac:dyDescent="0.3">
      <c r="B441" s="50" t="s">
        <v>493</v>
      </c>
      <c r="C441" s="66">
        <v>103356</v>
      </c>
      <c r="D441" s="53" t="s">
        <v>137</v>
      </c>
      <c r="E441" s="44" t="s">
        <v>17</v>
      </c>
      <c r="F441" s="31"/>
      <c r="G441" s="31"/>
      <c r="H441" s="31"/>
      <c r="I441" s="64"/>
      <c r="J441" s="64">
        <f>'BOLETIM DE MEDIÇÃO 05'!O188-'MEMORIAL DE CALCULO 02'!K441</f>
        <v>405.64023900000007</v>
      </c>
      <c r="K441" s="45"/>
      <c r="L441" s="82">
        <f t="shared" si="22"/>
        <v>405.64023900000007</v>
      </c>
      <c r="M441" s="82">
        <f>'BOLETIM DE MEDIÇÃO 05'!G188</f>
        <v>405.64</v>
      </c>
      <c r="N441" s="86">
        <f t="shared" si="23"/>
        <v>-2.3900000007870403E-4</v>
      </c>
    </row>
    <row r="442" spans="1:14" ht="45.75" hidden="1" thickBot="1" x14ac:dyDescent="0.3">
      <c r="B442" s="50" t="s">
        <v>494</v>
      </c>
      <c r="C442" s="66">
        <v>87893</v>
      </c>
      <c r="D442" s="53" t="s">
        <v>151</v>
      </c>
      <c r="E442" s="44" t="s">
        <v>17</v>
      </c>
      <c r="F442" s="31"/>
      <c r="G442" s="31"/>
      <c r="H442" s="31"/>
      <c r="I442" s="64"/>
      <c r="J442" s="64">
        <f>'BOLETIM DE MEDIÇÃO 05'!O189-'MEMORIAL DE CALCULO 02'!K442</f>
        <v>811.2700000000001</v>
      </c>
      <c r="K442" s="45"/>
      <c r="L442" s="82">
        <f t="shared" si="22"/>
        <v>811.2700000000001</v>
      </c>
      <c r="M442" s="82">
        <f>'BOLETIM DE MEDIÇÃO 05'!G189</f>
        <v>811.27</v>
      </c>
      <c r="N442" s="86">
        <f t="shared" si="23"/>
        <v>0</v>
      </c>
    </row>
    <row r="443" spans="1:14" ht="57" hidden="1" thickBot="1" x14ac:dyDescent="0.3">
      <c r="B443" s="50" t="s">
        <v>495</v>
      </c>
      <c r="C443" s="66">
        <v>87548</v>
      </c>
      <c r="D443" s="53" t="s">
        <v>154</v>
      </c>
      <c r="E443" s="44" t="s">
        <v>17</v>
      </c>
      <c r="F443" s="31"/>
      <c r="G443" s="31"/>
      <c r="H443" s="31"/>
      <c r="I443" s="64"/>
      <c r="J443" s="64">
        <f>'BOLETIM DE MEDIÇÃO 05'!O190-'MEMORIAL DE CALCULO 02'!K443</f>
        <v>405.66600000000005</v>
      </c>
      <c r="K443" s="45"/>
      <c r="L443" s="82">
        <f t="shared" si="22"/>
        <v>405.66600000000005</v>
      </c>
      <c r="M443" s="82">
        <f>'BOLETIM DE MEDIÇÃO 05'!G190</f>
        <v>811.27</v>
      </c>
      <c r="N443" s="86">
        <f t="shared" si="23"/>
        <v>405.60399999999993</v>
      </c>
    </row>
    <row r="444" spans="1:14" ht="23.25" hidden="1" thickBot="1" x14ac:dyDescent="0.3">
      <c r="B444" s="50" t="s">
        <v>496</v>
      </c>
      <c r="C444" s="66">
        <v>88489</v>
      </c>
      <c r="D444" s="53" t="s">
        <v>198</v>
      </c>
      <c r="E444" s="44" t="s">
        <v>17</v>
      </c>
      <c r="F444" s="31"/>
      <c r="G444" s="31"/>
      <c r="H444" s="31"/>
      <c r="I444" s="64"/>
      <c r="J444" s="64">
        <f>'BOLETIM DE MEDIÇÃO 05'!O191-'MEMORIAL DE CALCULO 02'!K444</f>
        <v>0</v>
      </c>
      <c r="K444" s="45"/>
      <c r="L444" s="82">
        <f t="shared" si="22"/>
        <v>0</v>
      </c>
      <c r="M444" s="82">
        <f>'BOLETIM DE MEDIÇÃO 05'!G191</f>
        <v>811.27</v>
      </c>
      <c r="N444" s="86">
        <f t="shared" si="23"/>
        <v>811.27</v>
      </c>
    </row>
    <row r="445" spans="1:14" ht="23.25" hidden="1" thickBot="1" x14ac:dyDescent="0.3">
      <c r="B445" s="50" t="s">
        <v>497</v>
      </c>
      <c r="C445" s="66">
        <v>95305</v>
      </c>
      <c r="D445" s="53" t="s">
        <v>499</v>
      </c>
      <c r="E445" s="44" t="s">
        <v>17</v>
      </c>
      <c r="F445" s="31"/>
      <c r="G445" s="31"/>
      <c r="H445" s="31"/>
      <c r="I445" s="64"/>
      <c r="J445" s="64">
        <f>'BOLETIM DE MEDIÇÃO 05'!O192-'MEMORIAL DE CALCULO 02'!K445</f>
        <v>0</v>
      </c>
      <c r="K445" s="45"/>
      <c r="L445" s="82">
        <f t="shared" si="22"/>
        <v>0</v>
      </c>
      <c r="M445" s="82">
        <f>'BOLETIM DE MEDIÇÃO 05'!G192</f>
        <v>811.27</v>
      </c>
      <c r="N445" s="86">
        <f t="shared" si="23"/>
        <v>811.27</v>
      </c>
    </row>
    <row r="446" spans="1:14" ht="14.45" hidden="1" customHeight="1" x14ac:dyDescent="0.25">
      <c r="B446" s="51">
        <v>1.1599999999999999</v>
      </c>
      <c r="C446" s="65" t="s">
        <v>501</v>
      </c>
      <c r="D446" s="53"/>
      <c r="E446" s="44"/>
      <c r="F446" s="31"/>
      <c r="G446" s="31"/>
      <c r="H446" s="30"/>
      <c r="I446" s="64"/>
      <c r="J446" s="64"/>
      <c r="K446" s="45"/>
      <c r="L446" s="82"/>
      <c r="M446" s="82"/>
      <c r="N446" s="86"/>
    </row>
    <row r="447" spans="1:14" ht="34.5" hidden="1" thickBot="1" x14ac:dyDescent="0.3">
      <c r="B447" s="50" t="s">
        <v>502</v>
      </c>
      <c r="C447" s="59" t="s">
        <v>503</v>
      </c>
      <c r="D447" s="53" t="s">
        <v>504</v>
      </c>
      <c r="E447" s="44" t="s">
        <v>166</v>
      </c>
      <c r="F447" s="31"/>
      <c r="G447" s="31"/>
      <c r="H447" s="31"/>
      <c r="I447" s="64"/>
      <c r="J447" s="64">
        <f>'BOLETIM DE MEDIÇÃO 05'!O194-'MEMORIAL DE CALCULO 02'!K447</f>
        <v>0</v>
      </c>
      <c r="K447" s="45"/>
      <c r="L447" s="82">
        <f t="shared" si="22"/>
        <v>0</v>
      </c>
      <c r="M447" s="82">
        <f>'BOLETIM DE MEDIÇÃO 05'!G194</f>
        <v>2</v>
      </c>
      <c r="N447" s="86">
        <f t="shared" si="23"/>
        <v>2</v>
      </c>
    </row>
    <row r="448" spans="1:14" ht="45.75" hidden="1" thickBot="1" x14ac:dyDescent="0.3">
      <c r="B448" s="73" t="s">
        <v>505</v>
      </c>
      <c r="C448" s="74" t="s">
        <v>506</v>
      </c>
      <c r="D448" s="75" t="s">
        <v>507</v>
      </c>
      <c r="E448" s="76" t="s">
        <v>166</v>
      </c>
      <c r="F448" s="77"/>
      <c r="G448" s="77"/>
      <c r="H448" s="77"/>
      <c r="I448" s="78"/>
      <c r="J448" s="72">
        <f>'BOLETIM DE MEDIÇÃO 05'!O195-'MEMORIAL DE CALCULO 02'!K448</f>
        <v>0</v>
      </c>
      <c r="K448" s="83"/>
      <c r="L448" s="84">
        <f t="shared" si="22"/>
        <v>0</v>
      </c>
      <c r="M448" s="84">
        <f>'BOLETIM DE MEDIÇÃO 05'!G195</f>
        <v>1</v>
      </c>
      <c r="N448" s="87">
        <f t="shared" si="23"/>
        <v>1</v>
      </c>
    </row>
    <row r="449" spans="10:10" x14ac:dyDescent="0.25">
      <c r="J449" s="85"/>
    </row>
    <row r="451" spans="10:10" ht="24" customHeight="1" x14ac:dyDescent="0.25"/>
  </sheetData>
  <mergeCells count="182">
    <mergeCell ref="G263:H263"/>
    <mergeCell ref="G264:H264"/>
    <mergeCell ref="G274:H274"/>
    <mergeCell ref="G275:H275"/>
    <mergeCell ref="G276:H276"/>
    <mergeCell ref="G277:H277"/>
    <mergeCell ref="G265:H265"/>
    <mergeCell ref="G266:H266"/>
    <mergeCell ref="G267:H267"/>
    <mergeCell ref="G268:H268"/>
    <mergeCell ref="G269:H269"/>
    <mergeCell ref="G270:H270"/>
    <mergeCell ref="G271:H271"/>
    <mergeCell ref="G272:H272"/>
    <mergeCell ref="G273:H273"/>
    <mergeCell ref="G208:H208"/>
    <mergeCell ref="G210:H210"/>
    <mergeCell ref="G209:H209"/>
    <mergeCell ref="G211:H211"/>
    <mergeCell ref="G212:H212"/>
    <mergeCell ref="G219:H219"/>
    <mergeCell ref="G220:H220"/>
    <mergeCell ref="G213:H213"/>
    <mergeCell ref="G214:H214"/>
    <mergeCell ref="G215:H215"/>
    <mergeCell ref="G216:H216"/>
    <mergeCell ref="G218:H218"/>
    <mergeCell ref="G199:H199"/>
    <mergeCell ref="G200:H200"/>
    <mergeCell ref="G201:H201"/>
    <mergeCell ref="G202:H202"/>
    <mergeCell ref="G203:H203"/>
    <mergeCell ref="G204:H204"/>
    <mergeCell ref="G205:H205"/>
    <mergeCell ref="G206:H206"/>
    <mergeCell ref="G207:H207"/>
    <mergeCell ref="G187:H187"/>
    <mergeCell ref="G188:H188"/>
    <mergeCell ref="G189:H189"/>
    <mergeCell ref="G190:H190"/>
    <mergeCell ref="G191:H191"/>
    <mergeCell ref="G192:H192"/>
    <mergeCell ref="G194:I194"/>
    <mergeCell ref="G197:H197"/>
    <mergeCell ref="G198:H198"/>
    <mergeCell ref="G139:I139"/>
    <mergeCell ref="G149:I149"/>
    <mergeCell ref="G152:I152"/>
    <mergeCell ref="G185:H185"/>
    <mergeCell ref="G186:H186"/>
    <mergeCell ref="G169:H169"/>
    <mergeCell ref="G170:H170"/>
    <mergeCell ref="G171:H171"/>
    <mergeCell ref="G172:H172"/>
    <mergeCell ref="G173:H173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G183:H183"/>
    <mergeCell ref="G184:H184"/>
    <mergeCell ref="G150:I15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435:H435"/>
    <mergeCell ref="G436:H436"/>
    <mergeCell ref="J8:M8"/>
    <mergeCell ref="B10:B11"/>
    <mergeCell ref="C10:C11"/>
    <mergeCell ref="D10:D11"/>
    <mergeCell ref="E10:E11"/>
    <mergeCell ref="F10:F11"/>
    <mergeCell ref="G10:I10"/>
    <mergeCell ref="J10:N10"/>
    <mergeCell ref="G22:I22"/>
    <mergeCell ref="G20:I20"/>
    <mergeCell ref="G50:I50"/>
    <mergeCell ref="G217:H217"/>
    <mergeCell ref="G223:H223"/>
    <mergeCell ref="G51:I51"/>
    <mergeCell ref="G91:H91"/>
    <mergeCell ref="G92:H92"/>
    <mergeCell ref="G93:H93"/>
    <mergeCell ref="G94:H94"/>
    <mergeCell ref="G95:H95"/>
    <mergeCell ref="G96:H96"/>
    <mergeCell ref="G97:H97"/>
    <mergeCell ref="G98:H98"/>
    <mergeCell ref="G230:H230"/>
    <mergeCell ref="G231:H231"/>
    <mergeCell ref="G224:H224"/>
    <mergeCell ref="G225:H225"/>
    <mergeCell ref="G226:H226"/>
    <mergeCell ref="G227:H227"/>
    <mergeCell ref="G228:H228"/>
    <mergeCell ref="G432:I432"/>
    <mergeCell ref="G247:H247"/>
    <mergeCell ref="G248:H248"/>
    <mergeCell ref="G249:H249"/>
    <mergeCell ref="G250:H250"/>
    <mergeCell ref="G251:H251"/>
    <mergeCell ref="G252:H252"/>
    <mergeCell ref="G253:H253"/>
    <mergeCell ref="G254:H254"/>
    <mergeCell ref="G255:H255"/>
    <mergeCell ref="G256:H256"/>
    <mergeCell ref="G257:H257"/>
    <mergeCell ref="G258:H258"/>
    <mergeCell ref="G259:H259"/>
    <mergeCell ref="G260:H260"/>
    <mergeCell ref="G261:H261"/>
    <mergeCell ref="G262:H262"/>
    <mergeCell ref="G138:H138"/>
    <mergeCell ref="G237:H237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232:H232"/>
    <mergeCell ref="G233:H233"/>
    <mergeCell ref="G234:H234"/>
    <mergeCell ref="G235:H235"/>
    <mergeCell ref="G236:H236"/>
    <mergeCell ref="G229:H229"/>
    <mergeCell ref="G222:H222"/>
    <mergeCell ref="G54:I54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419:I419"/>
    <mergeCell ref="G100:I100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G124:H124"/>
    <mergeCell ref="G125:H125"/>
    <mergeCell ref="G126:H126"/>
    <mergeCell ref="G127:H127"/>
    <mergeCell ref="G136:H136"/>
    <mergeCell ref="G137:H137"/>
  </mergeCells>
  <phoneticPr fontId="20" type="noConversion"/>
  <pageMargins left="0.511811024" right="0.511811024" top="0.78740157499999996" bottom="0.78740157499999996" header="0.31496062000000002" footer="0.31496062000000002"/>
  <pageSetup paperSize="9" scale="71" fitToHeight="0" orientation="landscape" r:id="rId1"/>
  <ignoredErrors>
    <ignoredError sqref="K18 K20:K21 G227 G164 G166 G179 G182 K64 K66:K68 G275 K136:K137" 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Z198"/>
  <sheetViews>
    <sheetView topLeftCell="A91" zoomScale="89" zoomScaleNormal="100" workbookViewId="0">
      <selection activeCell="H104" sqref="H10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567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v>45281</v>
      </c>
      <c r="C8" s="498"/>
      <c r="D8" s="23" t="s">
        <v>595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3"/>
      <c r="K8" s="503"/>
      <c r="L8" s="503"/>
      <c r="M8" s="503"/>
      <c r="N8" s="503"/>
      <c r="O8" s="503"/>
      <c r="P8" s="519"/>
      <c r="Q8" s="504" t="s">
        <v>545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B10:Z11"/>
    <mergeCell ref="Q8:X8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Z198"/>
  <sheetViews>
    <sheetView topLeftCell="A46" zoomScale="74" zoomScaleNormal="100" workbookViewId="0">
      <selection activeCell="AC24" sqref="AC2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0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597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v>45291</v>
      </c>
      <c r="C8" s="498"/>
      <c r="D8" s="23" t="s">
        <v>710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3"/>
      <c r="K8" s="503"/>
      <c r="L8" s="503"/>
      <c r="M8" s="503"/>
      <c r="N8" s="503"/>
      <c r="O8" s="503"/>
      <c r="P8" s="519"/>
      <c r="Q8" s="504" t="s">
        <v>596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602"/>
  <sheetViews>
    <sheetView topLeftCell="A208" zoomScale="91" zoomScaleNormal="73" workbookViewId="0">
      <selection activeCell="H8" sqref="H8:I8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3" t="s">
        <v>713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v>45352</v>
      </c>
      <c r="C8" s="498"/>
      <c r="D8" s="23" t="s">
        <v>712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4" t="s">
        <v>711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03'!K14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03'!K15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03'!K16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03'!K17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03'!K19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03'!K21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03'!K24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03'!K25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41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ref="K42:K67" si="5">F42*G42*H42*I42</f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5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5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5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5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5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5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5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5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5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5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5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5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5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5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5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5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5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5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5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5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5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5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5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5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5"/>
        <v>0.12104999999999999</v>
      </c>
      <c r="L67" s="82"/>
      <c r="M67" s="82"/>
      <c r="N67" s="86"/>
    </row>
    <row r="68" spans="2:14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x14ac:dyDescent="0.25">
      <c r="B70" s="49"/>
      <c r="C70" s="57"/>
      <c r="D70" s="117" t="s">
        <v>608</v>
      </c>
      <c r="E70" s="44"/>
      <c r="F70" s="540">
        <v>1</v>
      </c>
      <c r="G70" s="525">
        <f>43.05</f>
        <v>43.05</v>
      </c>
      <c r="H70" s="526"/>
      <c r="I70" s="527"/>
      <c r="J70" s="99"/>
      <c r="K70" s="81"/>
      <c r="L70" s="82"/>
      <c r="M70" s="82"/>
      <c r="N70" s="86"/>
    </row>
    <row r="71" spans="2:14" x14ac:dyDescent="0.25">
      <c r="B71" s="49"/>
      <c r="C71" s="57"/>
      <c r="D71" s="117" t="s">
        <v>609</v>
      </c>
      <c r="E71" s="44"/>
      <c r="F71" s="541"/>
      <c r="G71" s="528"/>
      <c r="H71" s="529"/>
      <c r="I71" s="530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22" t="s">
        <v>883</v>
      </c>
      <c r="H72" s="523"/>
      <c r="I72" s="524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520" t="s">
        <v>838</v>
      </c>
      <c r="H73" s="521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520">
        <v>9</v>
      </c>
      <c r="H74" s="521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520">
        <v>5</v>
      </c>
      <c r="H75" s="521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520">
        <f xml:space="preserve"> (13.03 * 2.7)</f>
        <v>35.180999999999997</v>
      </c>
      <c r="H76" s="521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520">
        <v>3</v>
      </c>
      <c r="H77" s="521"/>
      <c r="I77" s="246">
        <f xml:space="preserve"> ((0.2+0.25) + (0.2+0.25) + (0.2+0.25) + (0.2+0.25))/4</f>
        <v>0.45</v>
      </c>
      <c r="J77" s="249"/>
      <c r="K77" s="251">
        <f t="shared" ref="K77:K106" si="6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520">
        <v>7</v>
      </c>
      <c r="H78" s="521"/>
      <c r="I78" s="246">
        <f xml:space="preserve"> ((0.25+0.25) + (0.25+0.25) + (0.2+0.25) + (0.3+0.25))/4</f>
        <v>0.5</v>
      </c>
      <c r="J78" s="249"/>
      <c r="K78" s="251">
        <f t="shared" si="6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520">
        <v>21</v>
      </c>
      <c r="H79" s="521"/>
      <c r="I79" s="246">
        <f xml:space="preserve"> ((0.25+0.25) + (0.31+0.25) + (0.27+0.25) + (0.2+0.25))/4</f>
        <v>0.50750000000000006</v>
      </c>
      <c r="J79" s="249"/>
      <c r="K79" s="251">
        <f t="shared" si="6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520">
        <v>27</v>
      </c>
      <c r="H80" s="521"/>
      <c r="I80" s="246">
        <f xml:space="preserve"> ((0.5+0.25) + (0.46+0.3) + (0.41+0.3) + (0.45+0.3))/4</f>
        <v>0.74249999999999994</v>
      </c>
      <c r="J80" s="249"/>
      <c r="K80" s="251">
        <f t="shared" si="6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520">
        <v>26</v>
      </c>
      <c r="H81" s="521"/>
      <c r="I81" s="246">
        <f xml:space="preserve"> ((0.25+0.3) + (0.3+0.3) + (0.27+0.3) + (0.22+0.25))/4</f>
        <v>0.54749999999999999</v>
      </c>
      <c r="J81" s="249"/>
      <c r="K81" s="251">
        <f t="shared" si="6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520">
        <v>1.6</v>
      </c>
      <c r="H82" s="521"/>
      <c r="I82" s="246">
        <f xml:space="preserve"> ((0.3+0.3) + (0.32+0.3) + (0.33+0.3) + (0.3+0.25))/4</f>
        <v>0.60000000000000009</v>
      </c>
      <c r="J82" s="249"/>
      <c r="K82" s="251">
        <f t="shared" si="6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520">
        <v>1.6</v>
      </c>
      <c r="H83" s="521"/>
      <c r="I83" s="246">
        <f xml:space="preserve"> ((0.35+0.3) + (0.38+0.25) + (0.33+0.3) + (0.32+0.25))/4</f>
        <v>0.61999999999999988</v>
      </c>
      <c r="J83" s="249"/>
      <c r="K83" s="251">
        <f t="shared" si="6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520">
        <v>45</v>
      </c>
      <c r="H84" s="521"/>
      <c r="I84" s="246">
        <f xml:space="preserve"> ((0.42+0.25) + (0.55+0.25) + (0.48+0.25) + (0.31+0.25))/4</f>
        <v>0.69000000000000006</v>
      </c>
      <c r="J84" s="249"/>
      <c r="K84" s="251">
        <f t="shared" si="6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520">
        <v>19</v>
      </c>
      <c r="H85" s="521"/>
      <c r="I85" s="246">
        <f xml:space="preserve"> ((0.64+0.25) + (0.64+0.25) + (0.64+0.25) + (0.63+0.25))/4</f>
        <v>0.88749999999999996</v>
      </c>
      <c r="J85" s="249"/>
      <c r="K85" s="251">
        <f t="shared" si="6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520">
        <v>19</v>
      </c>
      <c r="H86" s="521"/>
      <c r="I86" s="246">
        <f xml:space="preserve"> ((0.61+0.25) + (0.59+0.25) + (0.62+0.25) + (0.64+0.25))/4</f>
        <v>0.86499999999999999</v>
      </c>
      <c r="J86" s="249"/>
      <c r="K86" s="251">
        <f t="shared" si="6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520">
        <v>5</v>
      </c>
      <c r="H87" s="521"/>
      <c r="I87" s="246">
        <f xml:space="preserve"> ((0.61+0.25) + (0.6+0.25) + (0.55+0.25) + (0.55+0.25))/4</f>
        <v>0.8274999999999999</v>
      </c>
      <c r="J87" s="249"/>
      <c r="K87" s="251">
        <f t="shared" si="6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520">
        <v>14</v>
      </c>
      <c r="H88" s="521"/>
      <c r="I88" s="246">
        <f xml:space="preserve"> ((0.55+0.25) + (0.53+0.25) + (0.6+0.25) + (0.63+0.25))/4</f>
        <v>0.82750000000000001</v>
      </c>
      <c r="J88" s="249"/>
      <c r="K88" s="251">
        <f t="shared" si="6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31">
        <v>36</v>
      </c>
      <c r="H89" s="532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6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31">
        <v>46</v>
      </c>
      <c r="H90" s="532"/>
      <c r="I90" s="246">
        <f xml:space="preserve"> ((0.58+0.25) + (0.56+0.25) + (0.51+0.25) + (0.53+0.25))/4</f>
        <v>0.79500000000000015</v>
      </c>
      <c r="J90" s="249"/>
      <c r="K90" s="251">
        <f t="shared" si="6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520">
        <v>41</v>
      </c>
      <c r="H91" s="521"/>
      <c r="I91" s="246">
        <f xml:space="preserve"> ((0.5+0.25) + (0.5+0.25) + (0.48+0.25) + (0.5+0.3))/4</f>
        <v>0.75750000000000006</v>
      </c>
      <c r="J91" s="249"/>
      <c r="K91" s="251">
        <f t="shared" si="6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520">
        <v>27</v>
      </c>
      <c r="H92" s="521"/>
      <c r="I92" s="246">
        <f xml:space="preserve"> ((0.38+0.25) + (0.45+0.3) + (0.41+0.3) + (0.34+0.25))/4</f>
        <v>0.66999999999999993</v>
      </c>
      <c r="J92" s="249"/>
      <c r="K92" s="251">
        <f t="shared" si="6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520">
        <v>53</v>
      </c>
      <c r="H93" s="521"/>
      <c r="I93" s="246">
        <f xml:space="preserve"> ((0.41+0.3) + (0.48+0.25) + (0.53+0.3) + (0.5+0.25)+ (0.37+0.25)+ (0.38+0.25))/6</f>
        <v>0.71166666666666678</v>
      </c>
      <c r="J93" s="249"/>
      <c r="K93" s="251">
        <f t="shared" si="6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520">
        <f xml:space="preserve"> (2.65*1.8)</f>
        <v>4.7699999999999996</v>
      </c>
      <c r="H94" s="521"/>
      <c r="I94" s="246">
        <f xml:space="preserve"> ((0.33+0.25) + (0.38+0.3) + (0.36+0.3) + (0.31+0.25))/4</f>
        <v>0.62</v>
      </c>
      <c r="J94" s="249"/>
      <c r="K94" s="251">
        <f t="shared" si="6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520">
        <v>30</v>
      </c>
      <c r="H95" s="521"/>
      <c r="I95" s="246">
        <f xml:space="preserve"> ((0.49+0.25) + (0.45+0.25) + (0.42+0.25) + (0.5+0.25))/4</f>
        <v>0.71499999999999997</v>
      </c>
      <c r="J95" s="249"/>
      <c r="K95" s="251">
        <f t="shared" si="6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520">
        <v>30</v>
      </c>
      <c r="H96" s="521"/>
      <c r="I96" s="246">
        <f xml:space="preserve"> ((0.4+0.25) + (0.42+0.25) + (0.46+0.25) + (0.43+0.25))/4</f>
        <v>0.67749999999999999</v>
      </c>
      <c r="J96" s="249"/>
      <c r="K96" s="251">
        <f t="shared" si="6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520">
        <v>14</v>
      </c>
      <c r="H97" s="521"/>
      <c r="I97" s="246">
        <f xml:space="preserve"> ((0.29+0.3) + (0.36+0.25) + (0.34+0.25) + (0.28+0.25))/4</f>
        <v>0.58000000000000007</v>
      </c>
      <c r="J97" s="249"/>
      <c r="K97" s="251">
        <f t="shared" si="6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520">
        <v>14</v>
      </c>
      <c r="H98" s="521"/>
      <c r="I98" s="246">
        <f xml:space="preserve"> ((0.34+0.25) + (0.39+0.25) + (0.39+0.25) + (0.35+0.25))/4</f>
        <v>0.61750000000000005</v>
      </c>
      <c r="J98" s="249"/>
      <c r="K98" s="251">
        <f t="shared" si="6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520">
        <v>20</v>
      </c>
      <c r="H99" s="521"/>
      <c r="I99" s="246">
        <f xml:space="preserve"> ((0.34+0.25) + (0.39+0.25) + (0.39+0.25) + (0.35+0.25))/4</f>
        <v>0.61750000000000005</v>
      </c>
      <c r="J99" s="249"/>
      <c r="K99" s="251">
        <f t="shared" si="6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520">
        <v>3</v>
      </c>
      <c r="H100" s="521"/>
      <c r="I100" s="246">
        <f xml:space="preserve"> ((0.5+0.25) + (0.58+0.25) + (0.55+0.25) + (0.49+0.25))/4</f>
        <v>0.78</v>
      </c>
      <c r="J100" s="249"/>
      <c r="K100" s="251">
        <f t="shared" si="6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520">
        <v>4</v>
      </c>
      <c r="H101" s="521"/>
      <c r="I101" s="246">
        <f xml:space="preserve"> ((0.55+0.25) + (0.6+0.25) + (0.6+0.25) + (0.5+0.25))/4</f>
        <v>0.8125</v>
      </c>
      <c r="J101" s="249"/>
      <c r="K101" s="251">
        <f t="shared" si="6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520">
        <v>12</v>
      </c>
      <c r="H102" s="521"/>
      <c r="I102" s="246">
        <f xml:space="preserve"> ((0.51+0.25) + (0.49+0.25) + (0.58+0.25) + (0.48+0.25))/4</f>
        <v>0.76500000000000001</v>
      </c>
      <c r="J102" s="249"/>
      <c r="K102" s="251">
        <f t="shared" si="6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520">
        <v>20</v>
      </c>
      <c r="H103" s="521"/>
      <c r="I103" s="246">
        <f xml:space="preserve"> ((0.54+0.25) + (0.59+0.25) + (0.62+0.25) + (0.63+0.25) + (0.61+0.25))/5</f>
        <v>0.84800000000000009</v>
      </c>
      <c r="J103" s="249"/>
      <c r="K103" s="251">
        <f t="shared" si="6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520">
        <v>4</v>
      </c>
      <c r="H104" s="521"/>
      <c r="I104" s="246">
        <f xml:space="preserve"> ((0.55+0.25) + (0.61+0.25) + (0.56+0.25) + (0.5+0.25))/4</f>
        <v>0.80500000000000005</v>
      </c>
      <c r="J104" s="249"/>
      <c r="K104" s="251">
        <f t="shared" si="6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520">
        <v>5</v>
      </c>
      <c r="H105" s="521"/>
      <c r="I105" s="246">
        <f xml:space="preserve"> ((0.53+0.25) + (0.5+0.25) + (0.47+0.25) + (0.48+0.25))/4</f>
        <v>0.745</v>
      </c>
      <c r="J105" s="249"/>
      <c r="K105" s="251">
        <f t="shared" si="6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520">
        <f>1184.23-SUM(G74:H105)</f>
        <v>582.07900000000006</v>
      </c>
      <c r="H106" s="521"/>
      <c r="I106" s="105">
        <v>0.3</v>
      </c>
      <c r="J106" s="99"/>
      <c r="K106" s="251">
        <f t="shared" si="6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20"/>
      <c r="H107" s="521"/>
      <c r="I107" s="105"/>
      <c r="J107" s="99"/>
      <c r="K107" s="81"/>
      <c r="L107" s="82"/>
      <c r="M107" s="82"/>
      <c r="N107" s="86"/>
    </row>
    <row r="108" spans="2:14" ht="45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09" t="s">
        <v>652</v>
      </c>
      <c r="H108" s="512"/>
      <c r="I108" s="51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03'!K154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7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7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7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7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7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7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03'!K163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8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8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8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8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8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8"/>
        <v>0.22000000000000003</v>
      </c>
      <c r="L171" s="82"/>
      <c r="M171" s="82"/>
      <c r="N171" s="86"/>
    </row>
    <row r="172" spans="2:14" s="167" customFormat="1" ht="22.5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6" t="s">
        <v>831</v>
      </c>
      <c r="H172" s="507"/>
      <c r="I172" s="508"/>
      <c r="J172" s="99">
        <f>'BOLETIM DE MEDIÇÃO 05'!O29-'MEMORIAL DE CALCULO 03'!K172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x14ac:dyDescent="0.25">
      <c r="B173" s="49"/>
      <c r="C173" s="57"/>
      <c r="D173" s="152" t="s">
        <v>610</v>
      </c>
      <c r="E173" s="64"/>
      <c r="F173" s="94">
        <v>1</v>
      </c>
      <c r="G173" s="509">
        <v>492.78</v>
      </c>
      <c r="H173" s="512"/>
      <c r="I173" s="51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09">
        <f>(2*12)+(2*3.79)+(2*8.94)+(2*6.27)+ 1.39+0.99 +(2*1.85)+(2*1.7)+ (2*1.35)</f>
        <v>74.180000000000007</v>
      </c>
      <c r="H174" s="510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09">
        <f>(2*10.92)+(2*10.92)+ 1.3 + 1.1</f>
        <v>46.08</v>
      </c>
      <c r="H175" s="510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09">
        <f>(2*1.87)+(2*1.87)</f>
        <v>7.48</v>
      </c>
      <c r="H176" s="510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09">
        <f>(2*6.55)+(2*6.3)+1.75+1.35+1.19</f>
        <v>29.990000000000002</v>
      </c>
      <c r="H177" s="510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09">
        <f>(2*8.39)+(2*1.7)+ 1.1+ 3.13 + (2*5.24)+ (2*3.11)</f>
        <v>41.11</v>
      </c>
      <c r="H178" s="510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09"/>
      <c r="H179" s="510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09"/>
      <c r="H180" s="510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09"/>
      <c r="H181" s="510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09"/>
      <c r="H182" s="510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09"/>
      <c r="H183" s="510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09"/>
      <c r="H184" s="510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09"/>
      <c r="H185" s="510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09"/>
      <c r="H186" s="510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09"/>
      <c r="H187" s="510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09"/>
      <c r="H188" s="510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09"/>
      <c r="H189" s="510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09"/>
      <c r="H190" s="510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09"/>
      <c r="H191" s="510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09"/>
      <c r="H192" s="510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09"/>
      <c r="H193" s="510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09"/>
      <c r="H194" s="510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09"/>
      <c r="H195" s="510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09"/>
      <c r="H196" s="510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09"/>
      <c r="H197" s="510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09"/>
      <c r="H198" s="510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09"/>
      <c r="H199" s="510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6">
        <f xml:space="preserve"> (2*1.31) + (2*1.51) + (2*4.98)</f>
        <v>15.600000000000001</v>
      </c>
      <c r="H201" s="511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6">
        <f xml:space="preserve"> (3*3.37) + (1.37) + (2*3.47)</f>
        <v>18.420000000000002</v>
      </c>
      <c r="H202" s="511"/>
      <c r="I202" s="155">
        <v>0.39500000000000002</v>
      </c>
      <c r="J202" s="82"/>
      <c r="K202" s="99">
        <f t="shared" ref="K202:K207" si="9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6">
        <f xml:space="preserve"> (1.87) + (2*3.62)</f>
        <v>9.11</v>
      </c>
      <c r="H203" s="511"/>
      <c r="I203" s="155">
        <v>0.39500000000000002</v>
      </c>
      <c r="J203" s="82"/>
      <c r="K203" s="99">
        <f t="shared" si="9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6">
        <f xml:space="preserve"> (4*0.88) + (2*3.36) + (2*5.03)</f>
        <v>20.3</v>
      </c>
      <c r="H204" s="511"/>
      <c r="I204" s="155">
        <v>0.39500000000000002</v>
      </c>
      <c r="J204" s="82"/>
      <c r="K204" s="99">
        <f t="shared" si="9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6">
        <f xml:space="preserve"> (2*3.18) + (2*3.18)</f>
        <v>12.72</v>
      </c>
      <c r="H205" s="511"/>
      <c r="I205" s="155">
        <v>0.39500000000000002</v>
      </c>
      <c r="J205" s="82"/>
      <c r="K205" s="99">
        <f t="shared" si="9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6">
        <f xml:space="preserve"> (4*2.15)</f>
        <v>8.6</v>
      </c>
      <c r="H206" s="511"/>
      <c r="I206" s="155">
        <v>0.39500000000000002</v>
      </c>
      <c r="J206" s="82"/>
      <c r="K206" s="99">
        <f t="shared" si="9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6">
        <f xml:space="preserve"> (4*6.99)</f>
        <v>27.96</v>
      </c>
      <c r="H207" s="511"/>
      <c r="I207" s="155">
        <v>0.39500000000000002</v>
      </c>
      <c r="J207" s="82"/>
      <c r="K207" s="99">
        <f t="shared" si="9"/>
        <v>11.0442</v>
      </c>
      <c r="L207" s="82"/>
      <c r="M207" s="82"/>
      <c r="N207" s="86"/>
    </row>
    <row r="208" spans="2:14" s="167" customFormat="1" ht="33.75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6" t="s">
        <v>831</v>
      </c>
      <c r="H208" s="507"/>
      <c r="I208" s="508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6"/>
      <c r="H209" s="507"/>
      <c r="I209" s="508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10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10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10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10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10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10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09" t="s">
        <v>679</v>
      </c>
      <c r="H217" s="510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6" t="s">
        <v>680</v>
      </c>
      <c r="H218" s="511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6" t="s">
        <v>681</v>
      </c>
      <c r="H219" s="511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6" t="s">
        <v>682</v>
      </c>
      <c r="H220" s="511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6" t="s">
        <v>684</v>
      </c>
      <c r="H221" s="511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6" t="s">
        <v>683</v>
      </c>
      <c r="H222" s="511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6" t="s">
        <v>685</v>
      </c>
      <c r="H223" s="511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09" t="s">
        <v>686</v>
      </c>
      <c r="H224" s="510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6" t="s">
        <v>687</v>
      </c>
      <c r="H225" s="511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6" t="s">
        <v>688</v>
      </c>
      <c r="H226" s="511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09" t="s">
        <v>689</v>
      </c>
      <c r="H227" s="510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6" t="s">
        <v>690</v>
      </c>
      <c r="H228" s="511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09" t="s">
        <v>691</v>
      </c>
      <c r="H229" s="510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6" t="s">
        <v>692</v>
      </c>
      <c r="H230" s="511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6" t="s">
        <v>693</v>
      </c>
      <c r="H231" s="511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09" t="s">
        <v>694</v>
      </c>
      <c r="H232" s="510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6" t="s">
        <v>695</v>
      </c>
      <c r="H233" s="511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6" t="s">
        <v>696</v>
      </c>
      <c r="H234" s="511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6" t="s">
        <v>697</v>
      </c>
      <c r="H235" s="511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6" t="s">
        <v>698</v>
      </c>
      <c r="H236" s="511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6" t="s">
        <v>699</v>
      </c>
      <c r="H237" s="511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6" t="s">
        <v>700</v>
      </c>
      <c r="H238" s="511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6" t="s">
        <v>701</v>
      </c>
      <c r="H239" s="511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09" t="s">
        <v>702</v>
      </c>
      <c r="H240" s="510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6" t="s">
        <v>704</v>
      </c>
      <c r="H241" s="511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6" t="s">
        <v>703</v>
      </c>
      <c r="H242" s="511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6" t="s">
        <v>703</v>
      </c>
      <c r="H243" s="511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6" t="s">
        <v>705</v>
      </c>
      <c r="H244" s="511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6" t="s">
        <v>704</v>
      </c>
      <c r="H245" s="511"/>
      <c r="I245" s="86">
        <v>1.92</v>
      </c>
      <c r="J245" s="99"/>
      <c r="K245" s="82">
        <f t="shared" ref="K245" si="11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6" t="s">
        <v>705</v>
      </c>
      <c r="H246" s="511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6" t="s">
        <v>704</v>
      </c>
      <c r="H247" s="511"/>
      <c r="I247" s="86">
        <v>1.98</v>
      </c>
      <c r="J247" s="99"/>
      <c r="K247" s="82">
        <f t="shared" ref="K247" si="12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6">
        <v>9.6</v>
      </c>
      <c r="H248" s="507"/>
      <c r="I248" s="508"/>
      <c r="J248" s="99"/>
      <c r="K248" s="82">
        <f>F248*G248*-1</f>
        <v>-9.6</v>
      </c>
      <c r="L248" s="82"/>
      <c r="M248" s="82"/>
      <c r="N248" s="86"/>
    </row>
    <row r="249" spans="2:14" s="167" customFormat="1" x14ac:dyDescent="0.25">
      <c r="B249" s="49"/>
      <c r="C249" s="57"/>
      <c r="D249" s="152" t="s">
        <v>610</v>
      </c>
      <c r="E249" s="64"/>
      <c r="F249" s="94">
        <v>1</v>
      </c>
      <c r="G249" s="506">
        <v>12.75</v>
      </c>
      <c r="H249" s="507"/>
      <c r="I249" s="508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3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3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3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3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3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3"/>
        <v>0.19599</v>
      </c>
      <c r="L256" s="82"/>
      <c r="M256" s="82"/>
      <c r="N256" s="86"/>
    </row>
    <row r="257" spans="2:21" ht="33.75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36" t="s">
        <v>874</v>
      </c>
      <c r="H257" s="537"/>
      <c r="I257" s="538"/>
      <c r="J257" s="99">
        <f>'BOLETIM DE MEDIÇÃO 05'!O31-'MEMORIAL DE CALCULO 03'!K257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x14ac:dyDescent="0.25">
      <c r="B258" s="49"/>
      <c r="C258" s="57"/>
      <c r="D258" s="160" t="s">
        <v>588</v>
      </c>
      <c r="E258" s="64"/>
      <c r="F258" s="94"/>
      <c r="G258" s="506"/>
      <c r="H258" s="507"/>
      <c r="I258" s="508"/>
      <c r="J258" s="99"/>
      <c r="K258" s="82"/>
      <c r="L258" s="82"/>
      <c r="M258" s="82"/>
      <c r="N258" s="86"/>
    </row>
    <row r="259" spans="2:21" x14ac:dyDescent="0.25">
      <c r="B259" s="49"/>
      <c r="C259" s="57"/>
      <c r="D259" s="144" t="s">
        <v>590</v>
      </c>
      <c r="E259" s="64"/>
      <c r="F259" s="94"/>
      <c r="G259" s="506">
        <v>9.6</v>
      </c>
      <c r="H259" s="507"/>
      <c r="I259" s="508"/>
      <c r="J259" s="99"/>
      <c r="K259" s="82"/>
      <c r="L259" s="82"/>
      <c r="M259" s="82"/>
      <c r="N259" s="86"/>
      <c r="S259" s="161"/>
      <c r="T259" s="161"/>
      <c r="U259" s="162"/>
    </row>
    <row r="260" spans="2:21" ht="22.5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6" t="s">
        <v>831</v>
      </c>
      <c r="H260" s="507"/>
      <c r="I260" s="508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x14ac:dyDescent="0.25">
      <c r="B261" s="49"/>
      <c r="C261" s="57"/>
      <c r="D261" s="143" t="s">
        <v>613</v>
      </c>
      <c r="E261" s="64"/>
      <c r="F261" s="94">
        <v>1</v>
      </c>
      <c r="G261" s="506">
        <f>G249</f>
        <v>12.75</v>
      </c>
      <c r="H261" s="507"/>
      <c r="I261" s="508"/>
      <c r="J261" s="99"/>
      <c r="K261" s="82">
        <f>F261*G261</f>
        <v>12.75</v>
      </c>
      <c r="L261" s="82"/>
      <c r="M261" s="82"/>
      <c r="N261" s="86"/>
    </row>
    <row r="262" spans="2:21" ht="22.5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6" t="s">
        <v>831</v>
      </c>
      <c r="H262" s="507"/>
      <c r="I262" s="508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09" t="s">
        <v>647</v>
      </c>
      <c r="H263" s="510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6">
        <f xml:space="preserve"> ((0.59*(1.85/0.1)) * 2)</f>
        <v>21.83</v>
      </c>
      <c r="H264" s="511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6">
        <f>(0.69*(1.87/0.1)) + (0.79*(1.87/0.1))</f>
        <v>27.675999999999998</v>
      </c>
      <c r="H265" s="511"/>
      <c r="I265" s="155">
        <v>0.154</v>
      </c>
      <c r="J265" s="99"/>
      <c r="K265" s="82">
        <f t="shared" ref="K265:K293" si="14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6">
        <f>((0.69*(1.9/0.1))*3) + ((0.59*(1.87/0.1))*2)</f>
        <v>61.395999999999987</v>
      </c>
      <c r="H266" s="511"/>
      <c r="I266" s="155">
        <v>0.154</v>
      </c>
      <c r="J266" s="99"/>
      <c r="K266" s="82">
        <f t="shared" si="14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6">
        <f>((0.69*(1.92/0.1))*1) + ((0.59*(1.92/0.1))*2)</f>
        <v>35.903999999999996</v>
      </c>
      <c r="H267" s="511"/>
      <c r="I267" s="155">
        <v>0.154</v>
      </c>
      <c r="J267" s="99"/>
      <c r="K267" s="82">
        <f t="shared" si="14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6">
        <f>((0.79*(1.94/0.1))*3)</f>
        <v>45.977999999999994</v>
      </c>
      <c r="H268" s="511"/>
      <c r="I268" s="155">
        <v>0.154</v>
      </c>
      <c r="J268" s="99"/>
      <c r="K268" s="82">
        <f t="shared" si="14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6">
        <f>((0.69*(1.96/0.1))*3) + ((0.59*(1.96/0.1))*2)</f>
        <v>63.699999999999989</v>
      </c>
      <c r="H269" s="511"/>
      <c r="I269" s="155">
        <v>0.154</v>
      </c>
      <c r="J269" s="99"/>
      <c r="K269" s="82">
        <f t="shared" si="14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6">
        <f>((0.59*(1.95/0.1))*2) + ((0.69*(1.95/0.1))*3) +((0.79*(1.95/0.1))*1)</f>
        <v>78.78</v>
      </c>
      <c r="H270" s="511"/>
      <c r="I270" s="155">
        <v>0.154</v>
      </c>
      <c r="J270" s="99"/>
      <c r="K270" s="82">
        <f t="shared" si="14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6">
        <f>((0.59*(1.97/0.1))*1)  +((0.79*(1.97/0.1))*2)</f>
        <v>42.749000000000002</v>
      </c>
      <c r="H271" s="511"/>
      <c r="I271" s="155">
        <v>0.154</v>
      </c>
      <c r="J271" s="99"/>
      <c r="K271" s="82">
        <f t="shared" si="14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6">
        <f>((0.59*(1.9/0.1))*3)</f>
        <v>33.629999999999995</v>
      </c>
      <c r="H272" s="511"/>
      <c r="I272" s="155">
        <v>0.154</v>
      </c>
      <c r="J272" s="99"/>
      <c r="K272" s="82">
        <f t="shared" si="14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6">
        <f>((0.69*(1.86/0.1))*1) + ((0.69*(1.86/0.1))*1) + ((0.89*(1.86/0.1))*1)</f>
        <v>42.222000000000001</v>
      </c>
      <c r="H273" s="511"/>
      <c r="I273" s="155">
        <v>0.154</v>
      </c>
      <c r="J273" s="99"/>
      <c r="K273" s="82">
        <f t="shared" si="14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6">
        <f>((0.69*(1.87/0.1))*3)</f>
        <v>38.708999999999996</v>
      </c>
      <c r="H274" s="511"/>
      <c r="I274" s="155">
        <v>0.154</v>
      </c>
      <c r="J274" s="99"/>
      <c r="K274" s="82">
        <f t="shared" si="14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6">
        <f>((0.69*(1.9/0.1))*1) + ((0.79*(1.9/0.1))*2) + ((0.59*(1.9/0.1))*1)</f>
        <v>54.339999999999989</v>
      </c>
      <c r="H275" s="511"/>
      <c r="I275" s="155">
        <v>0.154</v>
      </c>
      <c r="J275" s="99"/>
      <c r="K275" s="82">
        <f t="shared" si="14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6">
        <f>((0.79*(1.91/0.1))*1) +((0.59*(1.91/0.1))*1)</f>
        <v>26.357999999999997</v>
      </c>
      <c r="H276" s="511"/>
      <c r="I276" s="155">
        <v>0.154</v>
      </c>
      <c r="J276" s="99"/>
      <c r="K276" s="82">
        <f t="shared" si="14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6">
        <f>((0.79*(1.94/0.1))*1) +((0.59*(1.94/0.1))*5)</f>
        <v>72.555999999999983</v>
      </c>
      <c r="H277" s="511"/>
      <c r="I277" s="155">
        <v>0.154</v>
      </c>
      <c r="J277" s="99"/>
      <c r="K277" s="82">
        <f t="shared" si="14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6">
        <f>((0.69*(1.92/0.1))*2) + ((0.69*(1.92/0.1))*1)</f>
        <v>39.744</v>
      </c>
      <c r="H278" s="511"/>
      <c r="I278" s="155">
        <v>0.154</v>
      </c>
      <c r="J278" s="99"/>
      <c r="K278" s="82">
        <f t="shared" si="14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6">
        <f>((0.59*(1.93/0.1))*2) + ((0.79*(1.93/0.1))*1)</f>
        <v>38.020999999999994</v>
      </c>
      <c r="H279" s="511"/>
      <c r="I279" s="155">
        <v>0.154</v>
      </c>
      <c r="J279" s="99"/>
      <c r="K279" s="82">
        <f t="shared" si="14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6">
        <f>((0.59*(1.87/0.1))*2) + ((0.69*(1.87/0.1))*2)</f>
        <v>47.872</v>
      </c>
      <c r="H280" s="511"/>
      <c r="I280" s="155">
        <v>0.154</v>
      </c>
      <c r="J280" s="99"/>
      <c r="K280" s="82">
        <f t="shared" si="14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6">
        <f>((0.59*(1.88/0.1))*3) + ((0.69*(1.88/0.1))*1)</f>
        <v>46.24799999999999</v>
      </c>
      <c r="H281" s="511"/>
      <c r="I281" s="155">
        <v>0.154</v>
      </c>
      <c r="J281" s="99"/>
      <c r="K281" s="82">
        <f t="shared" si="14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6">
        <f>((0.79*(1.9/0.1))*1) + ((0.69*(1.9/0.1))*3)</f>
        <v>54.339999999999982</v>
      </c>
      <c r="H282" s="511"/>
      <c r="I282" s="155">
        <v>0.154</v>
      </c>
      <c r="J282" s="99"/>
      <c r="K282" s="82">
        <f t="shared" si="14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6">
        <f>((0.59*(1.9/0.1))*1)</f>
        <v>11.209999999999997</v>
      </c>
      <c r="H283" s="511"/>
      <c r="I283" s="155">
        <v>0.154</v>
      </c>
      <c r="J283" s="99"/>
      <c r="K283" s="82">
        <f t="shared" si="14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6">
        <f>((0.69*(1.87/0.1))*1) + ((0.59*(1.87/0.1))*1)</f>
        <v>23.936</v>
      </c>
      <c r="H284" s="511"/>
      <c r="I284" s="155">
        <v>0.154</v>
      </c>
      <c r="J284" s="99"/>
      <c r="K284" s="82">
        <f t="shared" si="14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6">
        <f>((0.69*(2/0.1))*1) + ((0.59*(2/0.1))*2)</f>
        <v>37.4</v>
      </c>
      <c r="H285" s="511"/>
      <c r="I285" s="155">
        <v>0.154</v>
      </c>
      <c r="J285" s="99"/>
      <c r="K285" s="82">
        <f t="shared" si="14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6">
        <f>((0.69*(2.01/0.1))*1) + ((0.59*(2.01/0.1))*5) + ((0.79*(2.01/0.1))*1)</f>
        <v>89.042999999999992</v>
      </c>
      <c r="H286" s="511"/>
      <c r="I286" s="155">
        <v>0.154</v>
      </c>
      <c r="J286" s="99"/>
      <c r="K286" s="82">
        <f t="shared" si="14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6">
        <f>(((1.39+0.47+0.47))*(1.86/0.15))</f>
        <v>28.892000000000003</v>
      </c>
      <c r="H287" s="511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6">
        <f>(((1.09+0.022))*(1.87/0.15))</f>
        <v>13.862933333333336</v>
      </c>
      <c r="H288" s="511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6">
        <f>(((1.09+0.022))*(1.89/0.15))</f>
        <v>14.011200000000001</v>
      </c>
      <c r="H289" s="511"/>
      <c r="I289" s="155">
        <v>0.154</v>
      </c>
      <c r="J289" s="99"/>
      <c r="K289" s="82">
        <f t="shared" si="14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6">
        <f>(((0.59))*(1.9/0.15))</f>
        <v>7.4733333333333327</v>
      </c>
      <c r="H290" s="511"/>
      <c r="I290" s="155">
        <v>0.154</v>
      </c>
      <c r="J290" s="99"/>
      <c r="K290" s="82">
        <f t="shared" si="14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6">
        <f>(((0.59))*(1.92/0.15))</f>
        <v>7.5519999999999996</v>
      </c>
      <c r="H291" s="511"/>
      <c r="I291" s="155">
        <v>0.154</v>
      </c>
      <c r="J291" s="99"/>
      <c r="K291" s="82">
        <f t="shared" si="14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6">
        <f>(((0.59))*(1.9/0.15))</f>
        <v>7.4733333333333327</v>
      </c>
      <c r="H292" s="511"/>
      <c r="I292" s="155">
        <v>0.154</v>
      </c>
      <c r="J292" s="99"/>
      <c r="K292" s="82">
        <f t="shared" si="14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6">
        <f>(((0.69))*(1.98/0.15))</f>
        <v>9.1080000000000005</v>
      </c>
      <c r="H293" s="511"/>
      <c r="I293" s="155">
        <v>0.154</v>
      </c>
      <c r="J293" s="99"/>
      <c r="K293" s="82">
        <f t="shared" si="14"/>
        <v>1.4026320000000001</v>
      </c>
      <c r="L293" s="82"/>
      <c r="M293" s="82"/>
      <c r="N293" s="86"/>
    </row>
    <row r="294" spans="2:14" x14ac:dyDescent="0.25">
      <c r="B294" s="49"/>
      <c r="C294" s="57"/>
      <c r="D294" s="152" t="s">
        <v>610</v>
      </c>
      <c r="E294" s="64"/>
      <c r="F294" s="94">
        <v>1</v>
      </c>
      <c r="G294" s="509">
        <v>210.13</v>
      </c>
      <c r="H294" s="512"/>
      <c r="I294" s="51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6">
        <f xml:space="preserve"> (2*2.51) + (40*0.59)</f>
        <v>28.619999999999997</v>
      </c>
      <c r="H295" s="511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6">
        <f xml:space="preserve"> (19*0.79)</f>
        <v>15.010000000000002</v>
      </c>
      <c r="H296" s="511"/>
      <c r="I296" s="155">
        <v>0.154</v>
      </c>
      <c r="J296" s="99"/>
      <c r="K296" s="82">
        <f t="shared" ref="K296:K301" si="15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6">
        <f xml:space="preserve"> (21*0.79)</f>
        <v>16.59</v>
      </c>
      <c r="H297" s="511"/>
      <c r="I297" s="155">
        <v>0.154</v>
      </c>
      <c r="J297" s="99"/>
      <c r="K297" s="82">
        <f t="shared" si="15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6">
        <f xml:space="preserve"> (2*3.86) + (29*0.79)</f>
        <v>30.63</v>
      </c>
      <c r="H298" s="511"/>
      <c r="I298" s="155">
        <v>0.154</v>
      </c>
      <c r="J298" s="99"/>
      <c r="K298" s="82">
        <f t="shared" si="15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6">
        <f xml:space="preserve"> (22*0.59)</f>
        <v>12.979999999999999</v>
      </c>
      <c r="H299" s="511"/>
      <c r="I299" s="155">
        <v>0.154</v>
      </c>
      <c r="J299" s="99"/>
      <c r="K299" s="82">
        <f t="shared" si="15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6">
        <f xml:space="preserve"> (14*0.059)</f>
        <v>0.82599999999999996</v>
      </c>
      <c r="H300" s="511"/>
      <c r="I300" s="155">
        <v>0.154</v>
      </c>
      <c r="J300" s="99"/>
      <c r="K300" s="82">
        <f t="shared" si="15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6">
        <f xml:space="preserve"> (59*0.59)</f>
        <v>34.809999999999995</v>
      </c>
      <c r="H301" s="511"/>
      <c r="I301" s="155">
        <v>0.154</v>
      </c>
      <c r="J301" s="99"/>
      <c r="K301" s="82">
        <f t="shared" si="15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03'!K302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6">
        <v>295</v>
      </c>
      <c r="H303" s="507"/>
      <c r="I303" s="508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09" t="s">
        <v>628</v>
      </c>
      <c r="H306" s="510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6">
        <f xml:space="preserve"> (4*(0.2+0.25+1.85+0.33)) * 2</f>
        <v>21.040000000000003</v>
      </c>
      <c r="H307" s="511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6">
        <f xml:space="preserve"> ((4*(0.2+0.25+1.87+0.33)) * 2)</f>
        <v>21.200000000000003</v>
      </c>
      <c r="H308" s="511"/>
      <c r="I308" s="155">
        <v>0.61699999999999999</v>
      </c>
      <c r="J308" s="99"/>
      <c r="K308" s="82">
        <f t="shared" ref="K308:K338" si="16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6">
        <f xml:space="preserve"> (4*(0.2+0.25+1.9+0.33)) * 5</f>
        <v>53.6</v>
      </c>
      <c r="H309" s="511"/>
      <c r="I309" s="155">
        <v>0.61699999999999999</v>
      </c>
      <c r="J309" s="99"/>
      <c r="K309" s="82">
        <f t="shared" si="16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6">
        <f xml:space="preserve"> (4*(0.2+0.25+1.92+0.33)) *3</f>
        <v>32.400000000000006</v>
      </c>
      <c r="H310" s="511"/>
      <c r="I310" s="155">
        <v>0.61699999999999999</v>
      </c>
      <c r="J310" s="99"/>
      <c r="K310" s="82">
        <f t="shared" si="16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6">
        <f xml:space="preserve"> (4*(0.2+0.25+1.94+0.33)) * 3</f>
        <v>32.64</v>
      </c>
      <c r="H311" s="511"/>
      <c r="I311" s="155">
        <v>0.61699999999999999</v>
      </c>
      <c r="J311" s="99"/>
      <c r="K311" s="82">
        <f t="shared" si="16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6">
        <f xml:space="preserve"> (4*(0.2+0.25+1.96+0.33)) * 5</f>
        <v>54.800000000000004</v>
      </c>
      <c r="H312" s="511"/>
      <c r="I312" s="155">
        <v>0.61699999999999999</v>
      </c>
      <c r="J312" s="99"/>
      <c r="K312" s="82">
        <f t="shared" si="16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6">
        <f xml:space="preserve"> (4*(0.2+0.25+1.95+0.33)) * 6</f>
        <v>65.52</v>
      </c>
      <c r="H313" s="511"/>
      <c r="I313" s="155">
        <v>0.61699999999999999</v>
      </c>
      <c r="J313" s="99"/>
      <c r="K313" s="82">
        <f t="shared" si="16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6">
        <f xml:space="preserve"> (4*(0.2+0.25+1.97+0.33)) * 3</f>
        <v>33</v>
      </c>
      <c r="H314" s="511"/>
      <c r="I314" s="155">
        <v>0.61699999999999999</v>
      </c>
      <c r="J314" s="99"/>
      <c r="K314" s="82">
        <f t="shared" si="16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6">
        <f xml:space="preserve"> (4*(0.2+0.25+1.9+0.33)) * 3</f>
        <v>32.160000000000004</v>
      </c>
      <c r="H315" s="511"/>
      <c r="I315" s="155">
        <v>0.61699999999999999</v>
      </c>
      <c r="J315" s="99"/>
      <c r="K315" s="82">
        <f t="shared" si="16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6">
        <f xml:space="preserve"> ((4*(0.2+0.25+1.86+0.33)) * 3)</f>
        <v>31.68</v>
      </c>
      <c r="H316" s="511"/>
      <c r="I316" s="155">
        <v>0.61699999999999999</v>
      </c>
      <c r="J316" s="99"/>
      <c r="K316" s="82">
        <f t="shared" si="16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6">
        <f xml:space="preserve"> ((4*(0.2+0.25+1.87+0.33)) * 3)</f>
        <v>31.800000000000004</v>
      </c>
      <c r="H317" s="511"/>
      <c r="I317" s="155">
        <v>0.61699999999999999</v>
      </c>
      <c r="J317" s="99"/>
      <c r="K317" s="82">
        <f t="shared" si="16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6">
        <f xml:space="preserve"> ((4*(0.2+0.25+1.9+0.33)) * 4)</f>
        <v>42.88</v>
      </c>
      <c r="H318" s="511"/>
      <c r="I318" s="155">
        <v>0.61699999999999999</v>
      </c>
      <c r="J318" s="99"/>
      <c r="K318" s="82">
        <f t="shared" si="16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6">
        <f xml:space="preserve"> ((4*(0.2+0.25+1.91+0.33)) * 2)</f>
        <v>21.52</v>
      </c>
      <c r="H319" s="511"/>
      <c r="I319" s="155">
        <v>0.61699999999999999</v>
      </c>
      <c r="J319" s="99"/>
      <c r="K319" s="82">
        <f t="shared" si="16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6">
        <f xml:space="preserve"> ((4*(0.2+0.25+1.94+0.33)) * 6)</f>
        <v>65.28</v>
      </c>
      <c r="H320" s="511"/>
      <c r="I320" s="155">
        <v>0.61699999999999999</v>
      </c>
      <c r="J320" s="99"/>
      <c r="K320" s="82">
        <f t="shared" si="16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6">
        <f xml:space="preserve"> ((4*(0.2+0.25+1.92+0.33)) *3)</f>
        <v>32.400000000000006</v>
      </c>
      <c r="H321" s="511"/>
      <c r="I321" s="155">
        <v>0.61699999999999999</v>
      </c>
      <c r="J321" s="99"/>
      <c r="K321" s="82">
        <f t="shared" si="16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6">
        <f xml:space="preserve"> ((4*(0.2+0.25+1.93+0.33)) *3)</f>
        <v>32.519999999999996</v>
      </c>
      <c r="H322" s="511"/>
      <c r="I322" s="155">
        <v>0.61699999999999999</v>
      </c>
      <c r="J322" s="99"/>
      <c r="K322" s="82">
        <f t="shared" si="16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6">
        <f xml:space="preserve"> ((4*(0.2+0.25+1.87+0.33)) *4)</f>
        <v>42.400000000000006</v>
      </c>
      <c r="H323" s="511"/>
      <c r="I323" s="155">
        <v>0.61699999999999999</v>
      </c>
      <c r="J323" s="99"/>
      <c r="K323" s="82">
        <f t="shared" si="16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6">
        <f xml:space="preserve"> ((4*(0.2+0.25+1.88+0.33)) *4)</f>
        <v>42.56</v>
      </c>
      <c r="H324" s="511"/>
      <c r="I324" s="155">
        <v>0.61699999999999999</v>
      </c>
      <c r="J324" s="99"/>
      <c r="K324" s="82">
        <f t="shared" si="16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6">
        <f xml:space="preserve"> ((4*(0.2+0.25+1.9+0.33)) *4)</f>
        <v>42.88</v>
      </c>
      <c r="H325" s="511"/>
      <c r="I325" s="155">
        <v>0.61699999999999999</v>
      </c>
      <c r="J325" s="99"/>
      <c r="K325" s="82">
        <f t="shared" si="16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6">
        <f>((4*(0.2+0.25+1.9+0.33))) + ((8*(0.2+0.25+1.9)))</f>
        <v>29.520000000000003</v>
      </c>
      <c r="H326" s="511"/>
      <c r="I326" s="155">
        <v>0.61699999999999999</v>
      </c>
      <c r="J326" s="99"/>
      <c r="K326" s="82">
        <f t="shared" si="16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6">
        <f xml:space="preserve"> ((4*(0.2+0.25+1.97+0.33)) *2)</f>
        <v>22</v>
      </c>
      <c r="H327" s="511"/>
      <c r="I327" s="155">
        <v>0.61699999999999999</v>
      </c>
      <c r="J327" s="99"/>
      <c r="K327" s="82">
        <f t="shared" si="16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6">
        <f xml:space="preserve"> ((4*(0.2+0.25+2+0.33)) *3)</f>
        <v>33.36</v>
      </c>
      <c r="H328" s="511"/>
      <c r="I328" s="155">
        <v>0.61699999999999999</v>
      </c>
      <c r="J328" s="99"/>
      <c r="K328" s="82">
        <f t="shared" si="16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6">
        <f xml:space="preserve"> ((4*(0.2+0.25+2.01+0.33)) *7)</f>
        <v>78.12</v>
      </c>
      <c r="H329" s="511"/>
      <c r="I329" s="155">
        <v>0.61699999999999999</v>
      </c>
      <c r="J329" s="99"/>
      <c r="K329" s="82">
        <f t="shared" si="16"/>
        <v>48.200040000000001</v>
      </c>
      <c r="L329" s="82"/>
      <c r="M329" s="82"/>
      <c r="N329" s="86"/>
    </row>
    <row r="330" spans="2:14" ht="30.6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6" t="s">
        <v>831</v>
      </c>
      <c r="H330" s="507"/>
      <c r="I330" s="508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09" t="s">
        <v>628</v>
      </c>
      <c r="H331" s="510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6">
        <f>((8*(0.2+0.25+1.86+0.42)))</f>
        <v>21.84</v>
      </c>
      <c r="H332" s="511"/>
      <c r="I332" s="155">
        <v>0.96299999999999997</v>
      </c>
      <c r="J332" s="99"/>
      <c r="K332" s="82">
        <f t="shared" si="16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6">
        <f>((6*(0.2+0.25+1.87+0.42)))</f>
        <v>16.440000000000001</v>
      </c>
      <c r="H333" s="511"/>
      <c r="I333" s="155">
        <v>0.96299999999999997</v>
      </c>
      <c r="J333" s="99"/>
      <c r="K333" s="82">
        <f t="shared" si="16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6">
        <f>((6*(0.2+0.25+1.89+0.42)))</f>
        <v>16.559999999999999</v>
      </c>
      <c r="H334" s="511"/>
      <c r="I334" s="155">
        <v>0.96299999999999997</v>
      </c>
      <c r="J334" s="99"/>
      <c r="K334" s="82">
        <f t="shared" si="16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6">
        <f>((4*(0.2+0.25+1.9+0.42)))</f>
        <v>11.08</v>
      </c>
      <c r="H335" s="511"/>
      <c r="I335" s="155">
        <v>0.96299999999999997</v>
      </c>
      <c r="J335" s="99"/>
      <c r="K335" s="82">
        <f t="shared" si="16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6">
        <f>((4*(0.2+0.25+1.92+0.42)))</f>
        <v>11.16</v>
      </c>
      <c r="H336" s="511"/>
      <c r="I336" s="155">
        <v>0.96299999999999997</v>
      </c>
      <c r="J336" s="99"/>
      <c r="K336" s="82">
        <f t="shared" si="16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6">
        <f>((4*(0.2+0.25+1.9+0.42)))</f>
        <v>11.08</v>
      </c>
      <c r="H337" s="511"/>
      <c r="I337" s="155">
        <v>0.96299999999999997</v>
      </c>
      <c r="J337" s="99"/>
      <c r="K337" s="82">
        <f t="shared" si="16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6">
        <f>((4*(0.2+0.25+1.98+0.42)))+(2*(0.2+0.25+1.98))</f>
        <v>16.260000000000002</v>
      </c>
      <c r="H338" s="511"/>
      <c r="I338" s="155">
        <v>0.96299999999999997</v>
      </c>
      <c r="J338" s="99"/>
      <c r="K338" s="82">
        <f t="shared" si="16"/>
        <v>0</v>
      </c>
      <c r="L338" s="82"/>
      <c r="M338" s="82"/>
      <c r="N338" s="86"/>
    </row>
    <row r="339" spans="2:14" ht="30.6" customHeight="1" x14ac:dyDescent="0.25">
      <c r="B339" s="49"/>
      <c r="C339" s="57"/>
      <c r="D339" s="152" t="s">
        <v>610</v>
      </c>
      <c r="E339" s="64"/>
      <c r="F339" s="94">
        <v>1</v>
      </c>
      <c r="G339" s="509">
        <v>52.34</v>
      </c>
      <c r="H339" s="512"/>
      <c r="I339" s="513"/>
      <c r="J339" s="99"/>
      <c r="K339" s="81"/>
      <c r="L339" s="82"/>
      <c r="M339" s="82"/>
      <c r="N339" s="86"/>
    </row>
    <row r="340" spans="2:14" s="167" customFormat="1" ht="33.75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6"/>
      <c r="H340" s="507"/>
      <c r="I340" s="508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x14ac:dyDescent="0.25">
      <c r="B341" s="49"/>
      <c r="C341" s="57"/>
      <c r="D341" s="152" t="s">
        <v>610</v>
      </c>
      <c r="E341" s="64"/>
      <c r="F341" s="94">
        <v>1</v>
      </c>
      <c r="G341" s="506">
        <v>223.49</v>
      </c>
      <c r="H341" s="507"/>
      <c r="I341" s="508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7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7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7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7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7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7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09" t="s">
        <v>706</v>
      </c>
      <c r="H350" s="510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6">
        <f xml:space="preserve"> ((0.15+0.25)*2) *2</f>
        <v>1.6</v>
      </c>
      <c r="H351" s="511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6">
        <f xml:space="preserve"> ((0.2+0.25)*2) + ((0.2+0.3)*2)</f>
        <v>1.9</v>
      </c>
      <c r="H352" s="511"/>
      <c r="I352" s="105">
        <v>1.87</v>
      </c>
      <c r="J352" s="99"/>
      <c r="K352" s="82">
        <f t="shared" ref="K352:K415" si="18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6">
        <f xml:space="preserve"> ((0.2+0.25)*2*3) + ((0.2+0.2)*2*1) + ((0.15+0.2)*2*1)</f>
        <v>4.2</v>
      </c>
      <c r="H353" s="511"/>
      <c r="I353" s="105">
        <v>1.9</v>
      </c>
      <c r="J353" s="99"/>
      <c r="K353" s="82">
        <f t="shared" si="18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6">
        <f xml:space="preserve"> ((0.2+0.25)*2*1) + ((0.15+0.25)*2*2)</f>
        <v>2.5</v>
      </c>
      <c r="H354" s="511"/>
      <c r="I354" s="105">
        <v>1.92</v>
      </c>
      <c r="J354" s="99"/>
      <c r="K354" s="82">
        <f t="shared" si="18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6">
        <f xml:space="preserve"> ((0.15+0.3)*2*3)</f>
        <v>2.6999999999999997</v>
      </c>
      <c r="H355" s="511"/>
      <c r="I355" s="86">
        <v>1.94</v>
      </c>
      <c r="J355" s="99"/>
      <c r="K355" s="82">
        <f t="shared" si="18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6">
        <f xml:space="preserve"> ((0.2+0.25)*2*3) + ((0.15+0.25)*2*2)</f>
        <v>4.3000000000000007</v>
      </c>
      <c r="H356" s="511"/>
      <c r="I356" s="86">
        <v>1.96</v>
      </c>
      <c r="J356" s="99"/>
      <c r="K356" s="82">
        <f t="shared" si="18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6">
        <f xml:space="preserve"> ((0.2+0.25)*2*3) + ((0.15+0.25)*2*2) +  ((0.2+0.3)*2*1)</f>
        <v>5.3000000000000007</v>
      </c>
      <c r="H357" s="511"/>
      <c r="I357" s="86">
        <v>1.95</v>
      </c>
      <c r="J357" s="99"/>
      <c r="K357" s="82">
        <f t="shared" si="18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6">
        <f xml:space="preserve"> ((0.2+0.25)*2*2) + ((0.15+0.25)*2*1)</f>
        <v>2.6</v>
      </c>
      <c r="H358" s="511"/>
      <c r="I358" s="86">
        <v>1.97</v>
      </c>
      <c r="J358" s="99"/>
      <c r="K358" s="82">
        <f t="shared" si="18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6">
        <f>((0.15+0.25)*2*3)</f>
        <v>2.4000000000000004</v>
      </c>
      <c r="H359" s="511"/>
      <c r="I359" s="86">
        <v>1.9</v>
      </c>
      <c r="J359" s="99"/>
      <c r="K359" s="82">
        <f t="shared" si="18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6">
        <f xml:space="preserve"> ((0.2+0.25)*2*1) + ((0.15+0.25)*2*1) +  ((0.2+0.35)*2*1)</f>
        <v>2.8000000000000003</v>
      </c>
      <c r="H360" s="511"/>
      <c r="I360" s="86">
        <v>1.86</v>
      </c>
      <c r="J360" s="99"/>
      <c r="K360" s="82">
        <f t="shared" si="18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6">
        <f xml:space="preserve"> ((0.2+0.25)*2*1) + ((0.15+0.3)*2*2)</f>
        <v>2.6999999999999997</v>
      </c>
      <c r="H361" s="511"/>
      <c r="I361" s="86">
        <v>1.87</v>
      </c>
      <c r="J361" s="99"/>
      <c r="K361" s="82">
        <f t="shared" si="18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6">
        <f xml:space="preserve"> ((0.2+0.3)*2*1) + ((0.15+0.3)*2*1) +  ((0.15+0.25)*2*1) + ((0.15+0.35)*2*1)</f>
        <v>3.7</v>
      </c>
      <c r="H362" s="511"/>
      <c r="I362" s="86">
        <v>1.9</v>
      </c>
      <c r="J362" s="99"/>
      <c r="K362" s="82">
        <f t="shared" si="18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6">
        <f xml:space="preserve"> ((0.15+0.25)*2*1) + ((0.2+0.3)*2*1)</f>
        <v>1.8</v>
      </c>
      <c r="H363" s="511"/>
      <c r="I363" s="86">
        <v>1.91</v>
      </c>
      <c r="J363" s="99"/>
      <c r="K363" s="82">
        <f t="shared" si="18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6">
        <f xml:space="preserve"> ((0.15+0.25)*2*5) + ((0.25+0.25)*2*1)</f>
        <v>5</v>
      </c>
      <c r="H364" s="511"/>
      <c r="I364" s="86">
        <v>1.94</v>
      </c>
      <c r="J364" s="99"/>
      <c r="K364" s="82">
        <f t="shared" si="18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6">
        <f xml:space="preserve"> ((0.2+0.25)*2*1) + ((0.15+0.25)*2*1) +  ((0.25+0.25)*2*1)</f>
        <v>2.7</v>
      </c>
      <c r="H365" s="511"/>
      <c r="I365" s="86">
        <v>1.93</v>
      </c>
      <c r="J365" s="99"/>
      <c r="K365" s="82">
        <f t="shared" si="18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6">
        <f xml:space="preserve"> ((0.15+0.25)*2*2) + ((0.25+0.25)*2*1)</f>
        <v>2.6</v>
      </c>
      <c r="H366" s="511"/>
      <c r="I366" s="86">
        <v>1.92</v>
      </c>
      <c r="J366" s="99"/>
      <c r="K366" s="82">
        <f t="shared" si="18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6">
        <f xml:space="preserve"> ((0.15+0.25)*2*2) + ((0.2+0.25)*2*2)</f>
        <v>3.4000000000000004</v>
      </c>
      <c r="H367" s="511"/>
      <c r="I367" s="86">
        <v>1.87</v>
      </c>
      <c r="J367" s="99"/>
      <c r="K367" s="82">
        <f t="shared" si="18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6">
        <f xml:space="preserve"> ((0.15+0.25)*2*3) + ((0.2+0.25)*2*1)</f>
        <v>3.3000000000000003</v>
      </c>
      <c r="H368" s="511"/>
      <c r="I368" s="86">
        <v>1.88</v>
      </c>
      <c r="J368" s="99"/>
      <c r="K368" s="82">
        <f t="shared" si="18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6">
        <f>((0.2+0.25)*2*3) + ((0.25+0.25)*2*1)</f>
        <v>3.7</v>
      </c>
      <c r="H369" s="511"/>
      <c r="I369" s="86">
        <v>1.9</v>
      </c>
      <c r="J369" s="99"/>
      <c r="K369" s="82">
        <f t="shared" si="18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6">
        <f>((0.2+0.2)*2*1)</f>
        <v>0.8</v>
      </c>
      <c r="H370" s="511"/>
      <c r="I370" s="86">
        <v>1.9</v>
      </c>
      <c r="J370" s="99"/>
      <c r="K370" s="82">
        <f t="shared" si="18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6">
        <f>((0.2+0.25)*2*1) + ((0.15+0.25)*2*1)</f>
        <v>1.7000000000000002</v>
      </c>
      <c r="H371" s="511"/>
      <c r="I371" s="86">
        <v>1.97</v>
      </c>
      <c r="J371" s="99"/>
      <c r="K371" s="82">
        <f t="shared" si="18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6">
        <f>((0.2+0.25)*2*1) + ((0.15+0.25)*2*2)</f>
        <v>2.5</v>
      </c>
      <c r="H372" s="511"/>
      <c r="I372" s="86">
        <v>2</v>
      </c>
      <c r="J372" s="99"/>
      <c r="K372" s="82">
        <f t="shared" si="18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6">
        <f xml:space="preserve"> ((0.2+0.3)*2*1) + ((0.15+0.25)*2*5) +  ((0.25+0.25)*2*1)</f>
        <v>6</v>
      </c>
      <c r="H373" s="511"/>
      <c r="I373" s="86">
        <v>2.0099999999999998</v>
      </c>
      <c r="J373" s="99"/>
      <c r="K373" s="82">
        <f t="shared" si="18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6">
        <f>((0.15+0.3)*2*1)</f>
        <v>0.89999999999999991</v>
      </c>
      <c r="H374" s="511"/>
      <c r="I374" s="86">
        <v>1.86</v>
      </c>
      <c r="J374" s="99"/>
      <c r="K374" s="82">
        <f t="shared" si="18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6">
        <f>((0.15+0.5)*2*1)</f>
        <v>1.3</v>
      </c>
      <c r="H375" s="511"/>
      <c r="I375" s="86">
        <v>1.87</v>
      </c>
      <c r="J375" s="99"/>
      <c r="K375" s="82">
        <f t="shared" si="18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6">
        <f>((0.15+0.5)*2*1)</f>
        <v>1.3</v>
      </c>
      <c r="H376" s="511"/>
      <c r="I376" s="86">
        <v>1.89</v>
      </c>
      <c r="J376" s="99"/>
      <c r="K376" s="82">
        <f t="shared" si="18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6">
        <f>((0.15+0.25)*2*1)</f>
        <v>0.8</v>
      </c>
      <c r="H377" s="511"/>
      <c r="I377" s="86">
        <v>1.9</v>
      </c>
      <c r="J377" s="99"/>
      <c r="K377" s="82">
        <f t="shared" si="18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6">
        <f t="shared" ref="G378" si="19">((0.15+0.3)*2*1)</f>
        <v>0.89999999999999991</v>
      </c>
      <c r="H378" s="511"/>
      <c r="I378" s="86">
        <v>1.92</v>
      </c>
      <c r="J378" s="99"/>
      <c r="K378" s="82">
        <f t="shared" si="18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6">
        <f>((0.15+0.25)*2*1)</f>
        <v>0.8</v>
      </c>
      <c r="H379" s="511"/>
      <c r="I379" s="86">
        <v>1.9</v>
      </c>
      <c r="J379" s="99"/>
      <c r="K379" s="82">
        <f t="shared" si="18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6">
        <f>((0.15+0.3)*2*1)</f>
        <v>0.89999999999999991</v>
      </c>
      <c r="H380" s="511"/>
      <c r="I380" s="86">
        <v>1.98</v>
      </c>
      <c r="J380" s="99"/>
      <c r="K380" s="82">
        <f t="shared" si="18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03'!K381</f>
        <v>253.95000000000002</v>
      </c>
      <c r="K381" s="82">
        <f t="shared" si="18"/>
        <v>0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14.45" hidden="1" customHeight="1" x14ac:dyDescent="0.25">
      <c r="B382" s="56" t="s">
        <v>90</v>
      </c>
      <c r="C382" s="60" t="s">
        <v>91</v>
      </c>
      <c r="D382" s="52"/>
      <c r="E382" s="64"/>
      <c r="F382" s="94"/>
      <c r="G382" s="104"/>
      <c r="H382" s="92"/>
      <c r="I382" s="105"/>
      <c r="J382" s="99"/>
      <c r="K382" s="82">
        <f t="shared" si="18"/>
        <v>0</v>
      </c>
      <c r="L382" s="82"/>
      <c r="M382" s="82"/>
      <c r="N382" s="86"/>
    </row>
    <row r="383" spans="2:14" ht="40.9" hidden="1" customHeight="1" x14ac:dyDescent="0.25">
      <c r="B383" s="49" t="s">
        <v>92</v>
      </c>
      <c r="C383" s="57">
        <v>92443</v>
      </c>
      <c r="D383" s="52" t="s">
        <v>94</v>
      </c>
      <c r="E383" s="64" t="s">
        <v>17</v>
      </c>
      <c r="F383" s="94"/>
      <c r="G383" s="104"/>
      <c r="H383" s="92"/>
      <c r="I383" s="105"/>
      <c r="J383" s="99">
        <f>'BOLETIM DE MEDIÇÃO 05'!O40-'MEMORIAL DE CALCULO 03'!K383</f>
        <v>399.86</v>
      </c>
      <c r="K383" s="82">
        <f t="shared" si="18"/>
        <v>0</v>
      </c>
      <c r="L383" s="82">
        <f t="shared" si="0"/>
        <v>399.86</v>
      </c>
      <c r="M383" s="82">
        <f>'BOLETIM DE MEDIÇÃO 05'!G40</f>
        <v>408.7</v>
      </c>
      <c r="N383" s="86">
        <f t="shared" si="1"/>
        <v>8.839999999999975</v>
      </c>
    </row>
    <row r="384" spans="2:14" ht="30.6" hidden="1" customHeight="1" x14ac:dyDescent="0.25">
      <c r="B384" s="49" t="s">
        <v>95</v>
      </c>
      <c r="C384" s="63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05'!O41-'MEMORIAL DE CALCULO 03'!K384</f>
        <v>0</v>
      </c>
      <c r="K384" s="82">
        <f t="shared" si="18"/>
        <v>0</v>
      </c>
      <c r="L384" s="82">
        <f t="shared" si="0"/>
        <v>0</v>
      </c>
      <c r="M384" s="82">
        <f>'BOLETIM DE MEDIÇÃO 05'!G41</f>
        <v>435.33</v>
      </c>
      <c r="N384" s="86">
        <f t="shared" si="1"/>
        <v>435.33</v>
      </c>
    </row>
    <row r="385" spans="2:14" ht="20.45" hidden="1" customHeight="1" x14ac:dyDescent="0.25">
      <c r="B385" s="49" t="s">
        <v>98</v>
      </c>
      <c r="C385" s="57">
        <v>92267</v>
      </c>
      <c r="D385" s="52" t="s">
        <v>100</v>
      </c>
      <c r="E385" s="64" t="s">
        <v>17</v>
      </c>
      <c r="F385" s="94"/>
      <c r="G385" s="104"/>
      <c r="H385" s="64"/>
      <c r="I385" s="105"/>
      <c r="J385" s="99">
        <f>'BOLETIM DE MEDIÇÃO 05'!O42-'MEMORIAL DE CALCULO 03'!K385</f>
        <v>0</v>
      </c>
      <c r="K385" s="82">
        <f t="shared" si="18"/>
        <v>0</v>
      </c>
      <c r="L385" s="82">
        <f t="shared" si="0"/>
        <v>0</v>
      </c>
      <c r="M385" s="82">
        <f>'BOLETIM DE MEDIÇÃO 05'!G42</f>
        <v>111.15</v>
      </c>
      <c r="N385" s="86">
        <f t="shared" si="1"/>
        <v>111.15</v>
      </c>
    </row>
    <row r="386" spans="2:14" ht="30.6" hidden="1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03'!K386</f>
        <v>682.7</v>
      </c>
      <c r="K386" s="82">
        <f t="shared" si="18"/>
        <v>0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30.6" hidden="1" customHeight="1" x14ac:dyDescent="0.25">
      <c r="B387" s="49" t="s">
        <v>104</v>
      </c>
      <c r="C387" s="57">
        <v>92760</v>
      </c>
      <c r="D387" s="52" t="s">
        <v>106</v>
      </c>
      <c r="E387" s="64" t="s">
        <v>62</v>
      </c>
      <c r="F387" s="94"/>
      <c r="G387" s="104"/>
      <c r="H387" s="64"/>
      <c r="I387" s="105"/>
      <c r="J387" s="99">
        <f>'BOLETIM DE MEDIÇÃO 05'!O44-'MEMORIAL DE CALCULO 03'!K387</f>
        <v>23.46</v>
      </c>
      <c r="K387" s="82">
        <f t="shared" si="18"/>
        <v>0</v>
      </c>
      <c r="L387" s="82">
        <f t="shared" si="0"/>
        <v>23.46</v>
      </c>
      <c r="M387" s="82">
        <f>'BOLETIM DE MEDIÇÃO 05'!G44</f>
        <v>39.1</v>
      </c>
      <c r="N387" s="86">
        <f t="shared" si="1"/>
        <v>15.64</v>
      </c>
    </row>
    <row r="388" spans="2:14" ht="30.6" hidden="1" customHeight="1" x14ac:dyDescent="0.25">
      <c r="B388" s="49" t="s">
        <v>107</v>
      </c>
      <c r="C388" s="57">
        <v>92761</v>
      </c>
      <c r="D388" s="52" t="s">
        <v>109</v>
      </c>
      <c r="E388" s="64" t="s">
        <v>62</v>
      </c>
      <c r="F388" s="94"/>
      <c r="G388" s="104"/>
      <c r="H388" s="64"/>
      <c r="I388" s="105"/>
      <c r="J388" s="99">
        <f>'BOLETIM DE MEDIÇÃO 05'!O45-'MEMORIAL DE CALCULO 03'!K388</f>
        <v>415.67999999999995</v>
      </c>
      <c r="K388" s="82">
        <f t="shared" si="18"/>
        <v>0</v>
      </c>
      <c r="L388" s="82">
        <f t="shared" si="0"/>
        <v>415.67999999999995</v>
      </c>
      <c r="M388" s="82">
        <f>'BOLETIM DE MEDIÇÃO 05'!G45</f>
        <v>1000</v>
      </c>
      <c r="N388" s="86">
        <f t="shared" si="1"/>
        <v>584.32000000000005</v>
      </c>
    </row>
    <row r="389" spans="2:14" ht="30.6" hidden="1" customHeight="1" x14ac:dyDescent="0.25">
      <c r="B389" s="49" t="s">
        <v>110</v>
      </c>
      <c r="C389" s="57">
        <v>92762</v>
      </c>
      <c r="D389" s="52" t="s">
        <v>112</v>
      </c>
      <c r="E389" s="64" t="s">
        <v>62</v>
      </c>
      <c r="F389" s="94"/>
      <c r="G389" s="104"/>
      <c r="H389" s="64"/>
      <c r="I389" s="105"/>
      <c r="J389" s="99">
        <f>'BOLETIM DE MEDIÇÃO 05'!O46-'MEMORIAL DE CALCULO 03'!K389</f>
        <v>1237.4000000000001</v>
      </c>
      <c r="K389" s="82">
        <f t="shared" si="18"/>
        <v>0</v>
      </c>
      <c r="L389" s="82">
        <f t="shared" si="0"/>
        <v>1237.4000000000001</v>
      </c>
      <c r="M389" s="82">
        <f>'BOLETIM DE MEDIÇÃO 05'!G46</f>
        <v>1306.0999999999999</v>
      </c>
      <c r="N389" s="86">
        <f t="shared" si="1"/>
        <v>68.699999999999818</v>
      </c>
    </row>
    <row r="390" spans="2:14" ht="33.75" hidden="1" x14ac:dyDescent="0.25">
      <c r="B390" s="49" t="s">
        <v>113</v>
      </c>
      <c r="C390" s="57">
        <v>92763</v>
      </c>
      <c r="D390" s="52" t="s">
        <v>115</v>
      </c>
      <c r="E390" s="64" t="s">
        <v>62</v>
      </c>
      <c r="F390" s="94"/>
      <c r="G390" s="104"/>
      <c r="H390" s="64"/>
      <c r="I390" s="105"/>
      <c r="J390" s="99">
        <f>'BOLETIM DE MEDIÇÃO 05'!O47-'MEMORIAL DE CALCULO 03'!K390</f>
        <v>161.6</v>
      </c>
      <c r="K390" s="82">
        <f t="shared" si="18"/>
        <v>0</v>
      </c>
      <c r="L390" s="82">
        <f t="shared" si="0"/>
        <v>161.6</v>
      </c>
      <c r="M390" s="82">
        <f>'BOLETIM DE MEDIÇÃO 05'!G47</f>
        <v>168.2</v>
      </c>
      <c r="N390" s="86">
        <f t="shared" si="1"/>
        <v>6.5999999999999943</v>
      </c>
    </row>
    <row r="391" spans="2:14" ht="33.75" hidden="1" x14ac:dyDescent="0.25">
      <c r="B391" s="49" t="s">
        <v>116</v>
      </c>
      <c r="C391" s="57">
        <v>92768</v>
      </c>
      <c r="D391" s="52" t="s">
        <v>118</v>
      </c>
      <c r="E391" s="64" t="s">
        <v>62</v>
      </c>
      <c r="F391" s="94"/>
      <c r="G391" s="104"/>
      <c r="H391" s="64"/>
      <c r="I391" s="105"/>
      <c r="J391" s="99">
        <f>'BOLETIM DE MEDIÇÃO 05'!O48-'MEMORIAL DE CALCULO 03'!K391</f>
        <v>0</v>
      </c>
      <c r="K391" s="82">
        <f t="shared" si="18"/>
        <v>0</v>
      </c>
      <c r="L391" s="82">
        <f t="shared" si="0"/>
        <v>0</v>
      </c>
      <c r="M391" s="82">
        <f>'BOLETIM DE MEDIÇÃO 05'!G48</f>
        <v>158.69999999999999</v>
      </c>
      <c r="N391" s="86">
        <f t="shared" si="1"/>
        <v>158.69999999999999</v>
      </c>
    </row>
    <row r="392" spans="2:14" ht="33.75" hidden="1" x14ac:dyDescent="0.25">
      <c r="B392" s="49" t="s">
        <v>119</v>
      </c>
      <c r="C392" s="57">
        <v>92769</v>
      </c>
      <c r="D392" s="52" t="s">
        <v>121</v>
      </c>
      <c r="E392" s="64" t="s">
        <v>62</v>
      </c>
      <c r="F392" s="94"/>
      <c r="G392" s="104"/>
      <c r="H392" s="64"/>
      <c r="I392" s="105"/>
      <c r="J392" s="99">
        <f>'BOLETIM DE MEDIÇÃO 05'!O49-'MEMORIAL DE CALCULO 03'!K392</f>
        <v>0</v>
      </c>
      <c r="K392" s="82">
        <f t="shared" si="18"/>
        <v>0</v>
      </c>
      <c r="L392" s="82">
        <f t="shared" si="0"/>
        <v>0</v>
      </c>
      <c r="M392" s="82">
        <f>'BOLETIM DE MEDIÇÃO 05'!G49</f>
        <v>170.5</v>
      </c>
      <c r="N392" s="86">
        <f t="shared" si="1"/>
        <v>170.5</v>
      </c>
    </row>
    <row r="393" spans="2:14" ht="33.75" hidden="1" x14ac:dyDescent="0.25">
      <c r="B393" s="49" t="s">
        <v>122</v>
      </c>
      <c r="C393" s="57">
        <v>92770</v>
      </c>
      <c r="D393" s="52" t="s">
        <v>124</v>
      </c>
      <c r="E393" s="64" t="s">
        <v>62</v>
      </c>
      <c r="F393" s="94"/>
      <c r="G393" s="104"/>
      <c r="H393" s="64"/>
      <c r="I393" s="105"/>
      <c r="J393" s="99">
        <f>'BOLETIM DE MEDIÇÃO 05'!O50-'MEMORIAL DE CALCULO 03'!K393</f>
        <v>0</v>
      </c>
      <c r="K393" s="82">
        <f t="shared" si="18"/>
        <v>0</v>
      </c>
      <c r="L393" s="82">
        <f t="shared" si="0"/>
        <v>0</v>
      </c>
      <c r="M393" s="82">
        <f>'BOLETIM DE MEDIÇÃO 05'!G50</f>
        <v>279.10000000000002</v>
      </c>
      <c r="N393" s="86">
        <f t="shared" si="1"/>
        <v>279.10000000000002</v>
      </c>
    </row>
    <row r="394" spans="2:14" ht="33.75" hidden="1" x14ac:dyDescent="0.25">
      <c r="B394" s="49" t="s">
        <v>125</v>
      </c>
      <c r="C394" s="57">
        <v>94966</v>
      </c>
      <c r="D394" s="52" t="s">
        <v>65</v>
      </c>
      <c r="E394" s="64" t="s">
        <v>41</v>
      </c>
      <c r="F394" s="94"/>
      <c r="G394" s="104"/>
      <c r="H394" s="64"/>
      <c r="I394" s="105"/>
      <c r="J394" s="99">
        <f>'BOLETIM DE MEDIÇÃO 05'!O51-'MEMORIAL DE CALCULO 03'!K394</f>
        <v>19.43</v>
      </c>
      <c r="K394" s="82">
        <f t="shared" si="18"/>
        <v>0</v>
      </c>
      <c r="L394" s="82">
        <f t="shared" si="0"/>
        <v>19.43</v>
      </c>
      <c r="M394" s="82">
        <f>'BOLETIM DE MEDIÇÃO 05'!G51</f>
        <v>61.56</v>
      </c>
      <c r="N394" s="86">
        <f t="shared" si="1"/>
        <v>42.13</v>
      </c>
    </row>
    <row r="395" spans="2:14" ht="22.5" hidden="1" x14ac:dyDescent="0.25">
      <c r="B395" s="49" t="s">
        <v>126</v>
      </c>
      <c r="C395" s="63">
        <v>103670</v>
      </c>
      <c r="D395" s="61" t="s">
        <v>71</v>
      </c>
      <c r="E395" s="64" t="s">
        <v>41</v>
      </c>
      <c r="F395" s="94"/>
      <c r="G395" s="104"/>
      <c r="H395" s="43"/>
      <c r="I395" s="105"/>
      <c r="J395" s="99">
        <f>'BOLETIM DE MEDIÇÃO 05'!O52-'MEMORIAL DE CALCULO 03'!K395</f>
        <v>19.43</v>
      </c>
      <c r="K395" s="82">
        <f t="shared" si="18"/>
        <v>0</v>
      </c>
      <c r="L395" s="82">
        <f t="shared" si="0"/>
        <v>19.43</v>
      </c>
      <c r="M395" s="82">
        <f>'BOLETIM DE MEDIÇÃO 05'!G52</f>
        <v>61.56</v>
      </c>
      <c r="N395" s="86">
        <f t="shared" si="1"/>
        <v>42.13</v>
      </c>
    </row>
    <row r="396" spans="2:14" ht="33.75" hidden="1" x14ac:dyDescent="0.25">
      <c r="B396" s="49" t="s">
        <v>127</v>
      </c>
      <c r="C396" s="63">
        <v>92771</v>
      </c>
      <c r="D396" s="61" t="s">
        <v>129</v>
      </c>
      <c r="E396" s="64" t="s">
        <v>62</v>
      </c>
      <c r="F396" s="94"/>
      <c r="G396" s="104"/>
      <c r="H396" s="43"/>
      <c r="I396" s="105"/>
      <c r="J396" s="99">
        <f>'BOLETIM DE MEDIÇÃO 05'!O53-'MEMORIAL DE CALCULO 03'!K396</f>
        <v>0</v>
      </c>
      <c r="K396" s="82">
        <f t="shared" si="18"/>
        <v>0</v>
      </c>
      <c r="L396" s="82">
        <f t="shared" si="0"/>
        <v>0</v>
      </c>
      <c r="M396" s="82">
        <f>'BOLETIM DE MEDIÇÃO 05'!G53</f>
        <v>312.3</v>
      </c>
      <c r="N396" s="86">
        <f t="shared" si="1"/>
        <v>312.3</v>
      </c>
    </row>
    <row r="397" spans="2:14" ht="33.75" hidden="1" x14ac:dyDescent="0.25">
      <c r="B397" s="49" t="s">
        <v>130</v>
      </c>
      <c r="C397" s="57">
        <v>92772</v>
      </c>
      <c r="D397" s="52" t="s">
        <v>132</v>
      </c>
      <c r="E397" s="64" t="s">
        <v>62</v>
      </c>
      <c r="F397" s="94"/>
      <c r="G397" s="104"/>
      <c r="H397" s="64"/>
      <c r="I397" s="105"/>
      <c r="J397" s="99">
        <f>'BOLETIM DE MEDIÇÃO 05'!O54-'MEMORIAL DE CALCULO 03'!K397</f>
        <v>0</v>
      </c>
      <c r="K397" s="82">
        <f t="shared" si="18"/>
        <v>0</v>
      </c>
      <c r="L397" s="82">
        <f t="shared" si="0"/>
        <v>0</v>
      </c>
      <c r="M397" s="82">
        <f>'BOLETIM DE MEDIÇÃO 05'!G54</f>
        <v>154.80000000000001</v>
      </c>
      <c r="N397" s="86">
        <f t="shared" si="1"/>
        <v>154.80000000000001</v>
      </c>
    </row>
    <row r="398" spans="2:14" hidden="1" x14ac:dyDescent="0.25">
      <c r="B398" s="56">
        <v>1.5</v>
      </c>
      <c r="C398" s="60" t="s">
        <v>134</v>
      </c>
      <c r="D398" s="52"/>
      <c r="E398" s="64"/>
      <c r="F398" s="94"/>
      <c r="G398" s="104"/>
      <c r="H398" s="64"/>
      <c r="I398" s="105"/>
      <c r="J398" s="99"/>
      <c r="K398" s="82">
        <f t="shared" si="18"/>
        <v>0</v>
      </c>
      <c r="L398" s="82"/>
      <c r="M398" s="82"/>
      <c r="N398" s="86"/>
    </row>
    <row r="399" spans="2:14" ht="45" hidden="1" x14ac:dyDescent="0.25">
      <c r="B399" s="49" t="s">
        <v>135</v>
      </c>
      <c r="C399" s="57">
        <v>103356</v>
      </c>
      <c r="D399" s="52" t="s">
        <v>137</v>
      </c>
      <c r="E399" s="64" t="s">
        <v>17</v>
      </c>
      <c r="F399" s="94"/>
      <c r="G399" s="104"/>
      <c r="H399" s="64"/>
      <c r="I399" s="105"/>
      <c r="J399" s="99">
        <f>'BOLETIM DE MEDIÇÃO 05'!O56-'MEMORIAL DE CALCULO 03'!K399</f>
        <v>846.84500000000003</v>
      </c>
      <c r="K399" s="82">
        <f t="shared" si="18"/>
        <v>0</v>
      </c>
      <c r="L399" s="82">
        <f t="shared" si="0"/>
        <v>846.84500000000003</v>
      </c>
      <c r="M399" s="82">
        <f>'BOLETIM DE MEDIÇÃO 05'!G56</f>
        <v>1131.99</v>
      </c>
      <c r="N399" s="86">
        <f t="shared" si="1"/>
        <v>285.14499999999998</v>
      </c>
    </row>
    <row r="400" spans="2:14" ht="22.5" hidden="1" x14ac:dyDescent="0.25">
      <c r="B400" s="49" t="s">
        <v>138</v>
      </c>
      <c r="C400" s="63">
        <v>93189</v>
      </c>
      <c r="D400" s="61" t="s">
        <v>140</v>
      </c>
      <c r="E400" s="64" t="s">
        <v>37</v>
      </c>
      <c r="F400" s="94"/>
      <c r="G400" s="104"/>
      <c r="H400" s="43"/>
      <c r="I400" s="105"/>
      <c r="J400" s="99">
        <f>'BOLETIM DE MEDIÇÃO 05'!O57-'MEMORIAL DE CALCULO 03'!K400</f>
        <v>64.100000000000009</v>
      </c>
      <c r="K400" s="82">
        <f t="shared" si="18"/>
        <v>0</v>
      </c>
      <c r="L400" s="82">
        <f t="shared" si="0"/>
        <v>64.100000000000009</v>
      </c>
      <c r="M400" s="82">
        <f>'BOLETIM DE MEDIÇÃO 05'!G57</f>
        <v>64.099999999999994</v>
      </c>
      <c r="N400" s="86">
        <f t="shared" si="1"/>
        <v>0</v>
      </c>
    </row>
    <row r="401" spans="2:14" ht="33.75" hidden="1" x14ac:dyDescent="0.25">
      <c r="B401" s="49" t="s">
        <v>141</v>
      </c>
      <c r="C401" s="57">
        <v>93191</v>
      </c>
      <c r="D401" s="52" t="s">
        <v>143</v>
      </c>
      <c r="E401" s="64" t="s">
        <v>37</v>
      </c>
      <c r="F401" s="94"/>
      <c r="G401" s="104"/>
      <c r="H401" s="64"/>
      <c r="I401" s="105"/>
      <c r="J401" s="99">
        <f>'BOLETIM DE MEDIÇÃO 05'!O58-'MEMORIAL DE CALCULO 03'!K401</f>
        <v>72.2</v>
      </c>
      <c r="K401" s="82">
        <f t="shared" si="18"/>
        <v>0</v>
      </c>
      <c r="L401" s="82">
        <f t="shared" si="0"/>
        <v>72.2</v>
      </c>
      <c r="M401" s="82">
        <f>'BOLETIM DE MEDIÇÃO 05'!G58</f>
        <v>72.2</v>
      </c>
      <c r="N401" s="86">
        <f t="shared" si="1"/>
        <v>0</v>
      </c>
    </row>
    <row r="402" spans="2:14" ht="22.5" hidden="1" x14ac:dyDescent="0.25">
      <c r="B402" s="49" t="s">
        <v>144</v>
      </c>
      <c r="C402" s="57">
        <v>93197</v>
      </c>
      <c r="D402" s="52" t="s">
        <v>146</v>
      </c>
      <c r="E402" s="64" t="s">
        <v>37</v>
      </c>
      <c r="F402" s="94"/>
      <c r="G402" s="104"/>
      <c r="H402" s="64"/>
      <c r="I402" s="105"/>
      <c r="J402" s="99">
        <f>'BOLETIM DE MEDIÇÃO 05'!O59-'MEMORIAL DE CALCULO 03'!K402</f>
        <v>72.2</v>
      </c>
      <c r="K402" s="82">
        <f t="shared" si="18"/>
        <v>0</v>
      </c>
      <c r="L402" s="82">
        <f t="shared" si="0"/>
        <v>72.2</v>
      </c>
      <c r="M402" s="82">
        <f>'BOLETIM DE MEDIÇÃO 05'!G59</f>
        <v>72.2</v>
      </c>
      <c r="N402" s="86">
        <f t="shared" si="1"/>
        <v>0</v>
      </c>
    </row>
    <row r="403" spans="2:14" ht="14.45" hidden="1" customHeight="1" x14ac:dyDescent="0.25">
      <c r="B403" s="56">
        <v>1.6</v>
      </c>
      <c r="C403" s="60" t="s">
        <v>148</v>
      </c>
      <c r="D403" s="52"/>
      <c r="E403" s="64"/>
      <c r="F403" s="94"/>
      <c r="G403" s="104"/>
      <c r="H403" s="64"/>
      <c r="I403" s="105"/>
      <c r="J403" s="99"/>
      <c r="K403" s="82">
        <f t="shared" si="18"/>
        <v>0</v>
      </c>
      <c r="L403" s="82"/>
      <c r="M403" s="82"/>
      <c r="N403" s="86"/>
    </row>
    <row r="404" spans="2:14" ht="45" hidden="1" x14ac:dyDescent="0.25">
      <c r="B404" s="49" t="s">
        <v>149</v>
      </c>
      <c r="C404" s="57">
        <v>87893</v>
      </c>
      <c r="D404" s="52" t="s">
        <v>151</v>
      </c>
      <c r="E404" s="64" t="s">
        <v>17</v>
      </c>
      <c r="F404" s="94"/>
      <c r="G404" s="104"/>
      <c r="H404" s="64"/>
      <c r="I404" s="105"/>
      <c r="J404" s="99">
        <f>'BOLETIM DE MEDIÇÃO 05'!O61-'MEMORIAL DE CALCULO 03'!K404</f>
        <v>1348.98</v>
      </c>
      <c r="K404" s="82">
        <f t="shared" si="18"/>
        <v>0</v>
      </c>
      <c r="L404" s="82">
        <f t="shared" si="0"/>
        <v>1348.98</v>
      </c>
      <c r="M404" s="82">
        <f>'BOLETIM DE MEDIÇÃO 05'!G61</f>
        <v>1348.98</v>
      </c>
      <c r="N404" s="86">
        <f t="shared" si="1"/>
        <v>0</v>
      </c>
    </row>
    <row r="405" spans="2:14" ht="56.25" hidden="1" x14ac:dyDescent="0.25">
      <c r="B405" s="49" t="s">
        <v>152</v>
      </c>
      <c r="C405" s="57">
        <v>87548</v>
      </c>
      <c r="D405" s="52" t="s">
        <v>154</v>
      </c>
      <c r="E405" s="64" t="s">
        <v>17</v>
      </c>
      <c r="F405" s="94"/>
      <c r="G405" s="104"/>
      <c r="H405" s="64"/>
      <c r="I405" s="105"/>
      <c r="J405" s="99">
        <f>'BOLETIM DE MEDIÇÃO 05'!O62-'MEMORIAL DE CALCULO 03'!K405</f>
        <v>0</v>
      </c>
      <c r="K405" s="82">
        <f t="shared" si="18"/>
        <v>0</v>
      </c>
      <c r="L405" s="82">
        <f t="shared" si="0"/>
        <v>0</v>
      </c>
      <c r="M405" s="82">
        <f>'BOLETIM DE MEDIÇÃO 05'!G62</f>
        <v>997.11</v>
      </c>
      <c r="N405" s="86">
        <f t="shared" si="1"/>
        <v>997.11</v>
      </c>
    </row>
    <row r="406" spans="2:14" ht="56.25" hidden="1" x14ac:dyDescent="0.25">
      <c r="B406" s="49" t="s">
        <v>155</v>
      </c>
      <c r="C406" s="57">
        <v>87536</v>
      </c>
      <c r="D406" s="52" t="s">
        <v>157</v>
      </c>
      <c r="E406" s="64" t="s">
        <v>17</v>
      </c>
      <c r="F406" s="94"/>
      <c r="G406" s="104"/>
      <c r="H406" s="64"/>
      <c r="I406" s="105"/>
      <c r="J406" s="99">
        <f>'BOLETIM DE MEDIÇÃO 05'!O63-'MEMORIAL DE CALCULO 03'!K406</f>
        <v>0</v>
      </c>
      <c r="K406" s="82">
        <f t="shared" si="18"/>
        <v>0</v>
      </c>
      <c r="L406" s="82">
        <f t="shared" si="0"/>
        <v>0</v>
      </c>
      <c r="M406" s="82">
        <f>'BOLETIM DE MEDIÇÃO 05'!G63</f>
        <v>351.87</v>
      </c>
      <c r="N406" s="86">
        <f t="shared" si="1"/>
        <v>351.87</v>
      </c>
    </row>
    <row r="407" spans="2:14" ht="33.75" hidden="1" x14ac:dyDescent="0.25">
      <c r="B407" s="49" t="s">
        <v>158</v>
      </c>
      <c r="C407" s="57">
        <v>87275</v>
      </c>
      <c r="D407" s="52" t="s">
        <v>160</v>
      </c>
      <c r="E407" s="64" t="s">
        <v>17</v>
      </c>
      <c r="F407" s="94"/>
      <c r="G407" s="104"/>
      <c r="H407" s="64"/>
      <c r="I407" s="105"/>
      <c r="J407" s="99">
        <f>'BOLETIM DE MEDIÇÃO 05'!O64-'MEMORIAL DE CALCULO 03'!K407</f>
        <v>0</v>
      </c>
      <c r="K407" s="82">
        <f t="shared" si="18"/>
        <v>0</v>
      </c>
      <c r="L407" s="82">
        <f t="shared" si="0"/>
        <v>0</v>
      </c>
      <c r="M407" s="82">
        <f>'BOLETIM DE MEDIÇÃO 05'!G64</f>
        <v>351.87</v>
      </c>
      <c r="N407" s="86">
        <f t="shared" si="1"/>
        <v>351.87</v>
      </c>
    </row>
    <row r="408" spans="2:14" hidden="1" x14ac:dyDescent="0.25">
      <c r="B408" s="56">
        <v>1.7</v>
      </c>
      <c r="C408" s="60" t="s">
        <v>162</v>
      </c>
      <c r="D408" s="52"/>
      <c r="E408" s="64"/>
      <c r="F408" s="94"/>
      <c r="G408" s="104"/>
      <c r="H408" s="64"/>
      <c r="I408" s="105"/>
      <c r="J408" s="99"/>
      <c r="K408" s="82">
        <f t="shared" si="18"/>
        <v>0</v>
      </c>
      <c r="L408" s="82"/>
      <c r="M408" s="82"/>
      <c r="N408" s="86"/>
    </row>
    <row r="409" spans="2:14" ht="56.25" hidden="1" x14ac:dyDescent="0.25">
      <c r="B409" s="49" t="s">
        <v>163</v>
      </c>
      <c r="C409" s="63">
        <v>91315</v>
      </c>
      <c r="D409" s="61" t="s">
        <v>165</v>
      </c>
      <c r="E409" s="64" t="s">
        <v>166</v>
      </c>
      <c r="F409" s="94"/>
      <c r="G409" s="104"/>
      <c r="H409" s="43"/>
      <c r="I409" s="105"/>
      <c r="J409" s="99">
        <f>'BOLETIM DE MEDIÇÃO 05'!O66-'MEMORIAL DE CALCULO 03'!K409</f>
        <v>0</v>
      </c>
      <c r="K409" s="82">
        <f t="shared" si="18"/>
        <v>0</v>
      </c>
      <c r="L409" s="82">
        <f t="shared" si="0"/>
        <v>0</v>
      </c>
      <c r="M409" s="82">
        <f>'BOLETIM DE MEDIÇÃO 05'!G66</f>
        <v>18</v>
      </c>
      <c r="N409" s="86">
        <f t="shared" si="1"/>
        <v>18</v>
      </c>
    </row>
    <row r="410" spans="2:14" ht="56.25" hidden="1" x14ac:dyDescent="0.25">
      <c r="B410" s="49" t="s">
        <v>167</v>
      </c>
      <c r="C410" s="57">
        <v>94570</v>
      </c>
      <c r="D410" s="52" t="s">
        <v>169</v>
      </c>
      <c r="E410" s="64" t="s">
        <v>17</v>
      </c>
      <c r="F410" s="94"/>
      <c r="G410" s="104"/>
      <c r="H410" s="64"/>
      <c r="I410" s="105"/>
      <c r="J410" s="99">
        <f>'BOLETIM DE MEDIÇÃO 05'!O67-'MEMORIAL DE CALCULO 03'!K410</f>
        <v>0</v>
      </c>
      <c r="K410" s="82">
        <f t="shared" si="18"/>
        <v>0</v>
      </c>
      <c r="L410" s="82">
        <f t="shared" si="0"/>
        <v>0</v>
      </c>
      <c r="M410" s="82">
        <f>'BOLETIM DE MEDIÇÃO 05'!G67</f>
        <v>49.7</v>
      </c>
      <c r="N410" s="86">
        <f t="shared" si="1"/>
        <v>49.7</v>
      </c>
    </row>
    <row r="411" spans="2:14" ht="56.25" hidden="1" x14ac:dyDescent="0.25">
      <c r="B411" s="49" t="s">
        <v>170</v>
      </c>
      <c r="C411" s="57">
        <v>100689</v>
      </c>
      <c r="D411" s="52" t="s">
        <v>172</v>
      </c>
      <c r="E411" s="64" t="s">
        <v>166</v>
      </c>
      <c r="F411" s="94"/>
      <c r="G411" s="104"/>
      <c r="H411" s="64"/>
      <c r="I411" s="105"/>
      <c r="J411" s="99">
        <f>'BOLETIM DE MEDIÇÃO 05'!O68-'MEMORIAL DE CALCULO 03'!K411</f>
        <v>0</v>
      </c>
      <c r="K411" s="82">
        <f t="shared" si="18"/>
        <v>0</v>
      </c>
      <c r="L411" s="82">
        <f t="shared" si="0"/>
        <v>0</v>
      </c>
      <c r="M411" s="82">
        <f>'BOLETIM DE MEDIÇÃO 05'!G68</f>
        <v>5</v>
      </c>
      <c r="N411" s="86">
        <f t="shared" si="1"/>
        <v>5</v>
      </c>
    </row>
    <row r="412" spans="2:14" ht="33.75" hidden="1" x14ac:dyDescent="0.25">
      <c r="B412" s="49" t="s">
        <v>173</v>
      </c>
      <c r="C412" s="58" t="s">
        <v>174</v>
      </c>
      <c r="D412" s="52" t="s">
        <v>175</v>
      </c>
      <c r="E412" s="64" t="s">
        <v>5</v>
      </c>
      <c r="F412" s="94"/>
      <c r="G412" s="104"/>
      <c r="H412" s="64"/>
      <c r="I412" s="105"/>
      <c r="J412" s="99">
        <f>'BOLETIM DE MEDIÇÃO 05'!O69-'MEMORIAL DE CALCULO 03'!K412</f>
        <v>0</v>
      </c>
      <c r="K412" s="82">
        <f t="shared" si="18"/>
        <v>0</v>
      </c>
      <c r="L412" s="82">
        <f t="shared" si="0"/>
        <v>0</v>
      </c>
      <c r="M412" s="82">
        <f>'BOLETIM DE MEDIÇÃO 05'!G69</f>
        <v>1</v>
      </c>
      <c r="N412" s="86">
        <f t="shared" si="1"/>
        <v>1</v>
      </c>
    </row>
    <row r="413" spans="2:14" ht="33.75" hidden="1" x14ac:dyDescent="0.25">
      <c r="B413" s="49" t="s">
        <v>176</v>
      </c>
      <c r="C413" s="58" t="s">
        <v>177</v>
      </c>
      <c r="D413" s="52" t="s">
        <v>178</v>
      </c>
      <c r="E413" s="64" t="s">
        <v>5</v>
      </c>
      <c r="F413" s="94"/>
      <c r="G413" s="104"/>
      <c r="H413" s="64"/>
      <c r="I413" s="105"/>
      <c r="J413" s="99">
        <f>'BOLETIM DE MEDIÇÃO 05'!O70-'MEMORIAL DE CALCULO 03'!K413</f>
        <v>0</v>
      </c>
      <c r="K413" s="82">
        <f t="shared" si="18"/>
        <v>0</v>
      </c>
      <c r="L413" s="82">
        <f t="shared" si="0"/>
        <v>0</v>
      </c>
      <c r="M413" s="82">
        <f>'BOLETIM DE MEDIÇÃO 05'!G70</f>
        <v>3</v>
      </c>
      <c r="N413" s="86">
        <f t="shared" si="1"/>
        <v>3</v>
      </c>
    </row>
    <row r="414" spans="2:14" ht="33.75" hidden="1" x14ac:dyDescent="0.25">
      <c r="B414" s="49" t="s">
        <v>179</v>
      </c>
      <c r="C414" s="57">
        <v>91341</v>
      </c>
      <c r="D414" s="52" t="s">
        <v>181</v>
      </c>
      <c r="E414" s="64" t="s">
        <v>17</v>
      </c>
      <c r="F414" s="94"/>
      <c r="G414" s="104"/>
      <c r="H414" s="64"/>
      <c r="I414" s="105"/>
      <c r="J414" s="99">
        <f>'BOLETIM DE MEDIÇÃO 05'!O71-'MEMORIAL DE CALCULO 03'!K414</f>
        <v>0</v>
      </c>
      <c r="K414" s="82">
        <f t="shared" si="18"/>
        <v>0</v>
      </c>
      <c r="L414" s="82">
        <f t="shared" si="0"/>
        <v>0</v>
      </c>
      <c r="M414" s="82">
        <f>'BOLETIM DE MEDIÇÃO 05'!G71</f>
        <v>12.96</v>
      </c>
      <c r="N414" s="86">
        <f t="shared" si="1"/>
        <v>12.96</v>
      </c>
    </row>
    <row r="415" spans="2:14" ht="33.75" hidden="1" x14ac:dyDescent="0.25">
      <c r="B415" s="49" t="s">
        <v>182</v>
      </c>
      <c r="C415" s="57">
        <v>100702</v>
      </c>
      <c r="D415" s="52" t="s">
        <v>184</v>
      </c>
      <c r="E415" s="64" t="s">
        <v>17</v>
      </c>
      <c r="F415" s="94"/>
      <c r="G415" s="104"/>
      <c r="H415" s="64"/>
      <c r="I415" s="105"/>
      <c r="J415" s="99">
        <f>'BOLETIM DE MEDIÇÃO 05'!O72-'MEMORIAL DE CALCULO 03'!K415</f>
        <v>0</v>
      </c>
      <c r="K415" s="82">
        <f t="shared" si="18"/>
        <v>0</v>
      </c>
      <c r="L415" s="82">
        <f t="shared" si="0"/>
        <v>0</v>
      </c>
      <c r="M415" s="82">
        <f>'BOLETIM DE MEDIÇÃO 05'!G72</f>
        <v>19.96</v>
      </c>
      <c r="N415" s="86">
        <f t="shared" si="1"/>
        <v>19.96</v>
      </c>
    </row>
    <row r="416" spans="2:14" ht="45" hidden="1" x14ac:dyDescent="0.25">
      <c r="B416" s="49" t="s">
        <v>185</v>
      </c>
      <c r="C416" s="57">
        <v>90831</v>
      </c>
      <c r="D416" s="52" t="s">
        <v>187</v>
      </c>
      <c r="E416" s="64" t="s">
        <v>166</v>
      </c>
      <c r="F416" s="94"/>
      <c r="G416" s="104"/>
      <c r="H416" s="64"/>
      <c r="I416" s="105"/>
      <c r="J416" s="99">
        <f>'BOLETIM DE MEDIÇÃO 05'!O73-'MEMORIAL DE CALCULO 03'!K416</f>
        <v>0</v>
      </c>
      <c r="K416" s="82">
        <f t="shared" ref="K416:K479" si="20">(F416*G416*I416)</f>
        <v>0</v>
      </c>
      <c r="L416" s="82">
        <f t="shared" si="0"/>
        <v>0</v>
      </c>
      <c r="M416" s="82">
        <f>'BOLETIM DE MEDIÇÃO 05'!G73</f>
        <v>8</v>
      </c>
      <c r="N416" s="86">
        <f t="shared" si="1"/>
        <v>8</v>
      </c>
    </row>
    <row r="417" spans="2:14" hidden="1" x14ac:dyDescent="0.25">
      <c r="B417" s="56">
        <v>1.8</v>
      </c>
      <c r="C417" s="60" t="s">
        <v>189</v>
      </c>
      <c r="D417" s="52"/>
      <c r="E417" s="43"/>
      <c r="F417" s="94"/>
      <c r="G417" s="104"/>
      <c r="H417" s="64"/>
      <c r="I417" s="105"/>
      <c r="J417" s="99"/>
      <c r="K417" s="82">
        <f t="shared" si="20"/>
        <v>0</v>
      </c>
      <c r="L417" s="82"/>
      <c r="M417" s="82"/>
      <c r="N417" s="86"/>
    </row>
    <row r="418" spans="2:14" ht="22.5" hidden="1" x14ac:dyDescent="0.25">
      <c r="B418" s="49" t="s">
        <v>190</v>
      </c>
      <c r="C418" s="57">
        <v>88485</v>
      </c>
      <c r="D418" s="52" t="s">
        <v>192</v>
      </c>
      <c r="E418" s="43" t="s">
        <v>17</v>
      </c>
      <c r="F418" s="94"/>
      <c r="G418" s="104"/>
      <c r="H418" s="64"/>
      <c r="I418" s="105"/>
      <c r="J418" s="99">
        <f>'BOLETIM DE MEDIÇÃO 05'!O75-'MEMORIAL DE CALCULO 03'!K418</f>
        <v>0</v>
      </c>
      <c r="K418" s="82">
        <f t="shared" si="20"/>
        <v>0</v>
      </c>
      <c r="L418" s="82">
        <f t="shared" si="0"/>
        <v>0</v>
      </c>
      <c r="M418" s="82">
        <f>'BOLETIM DE MEDIÇÃO 05'!G75</f>
        <v>997.11</v>
      </c>
      <c r="N418" s="86">
        <f t="shared" si="1"/>
        <v>997.11</v>
      </c>
    </row>
    <row r="419" spans="2:14" ht="22.5" hidden="1" x14ac:dyDescent="0.25">
      <c r="B419" s="49" t="s">
        <v>193</v>
      </c>
      <c r="C419" s="57">
        <v>88495</v>
      </c>
      <c r="D419" s="52" t="s">
        <v>195</v>
      </c>
      <c r="E419" s="43" t="s">
        <v>17</v>
      </c>
      <c r="F419" s="94"/>
      <c r="G419" s="104"/>
      <c r="H419" s="64"/>
      <c r="I419" s="105"/>
      <c r="J419" s="99">
        <f>'BOLETIM DE MEDIÇÃO 05'!O76-'MEMORIAL DE CALCULO 03'!K419</f>
        <v>0</v>
      </c>
      <c r="K419" s="82">
        <f t="shared" si="20"/>
        <v>0</v>
      </c>
      <c r="L419" s="82">
        <f t="shared" si="0"/>
        <v>0</v>
      </c>
      <c r="M419" s="82">
        <f>'BOLETIM DE MEDIÇÃO 05'!G76</f>
        <v>997.11</v>
      </c>
      <c r="N419" s="86">
        <f t="shared" si="1"/>
        <v>997.11</v>
      </c>
    </row>
    <row r="420" spans="2:14" ht="22.5" hidden="1" x14ac:dyDescent="0.25">
      <c r="B420" s="49" t="s">
        <v>196</v>
      </c>
      <c r="C420" s="57">
        <v>88489</v>
      </c>
      <c r="D420" s="52" t="s">
        <v>198</v>
      </c>
      <c r="E420" s="43" t="s">
        <v>17</v>
      </c>
      <c r="F420" s="94"/>
      <c r="G420" s="104"/>
      <c r="H420" s="64"/>
      <c r="I420" s="105"/>
      <c r="J420" s="99">
        <f>'BOLETIM DE MEDIÇÃO 05'!O77-'MEMORIAL DE CALCULO 03'!K420</f>
        <v>0</v>
      </c>
      <c r="K420" s="82">
        <f t="shared" si="20"/>
        <v>0</v>
      </c>
      <c r="L420" s="82">
        <f t="shared" si="0"/>
        <v>0</v>
      </c>
      <c r="M420" s="82">
        <f>'BOLETIM DE MEDIÇÃO 05'!G77</f>
        <v>997.11</v>
      </c>
      <c r="N420" s="86">
        <f t="shared" si="1"/>
        <v>997.11</v>
      </c>
    </row>
    <row r="421" spans="2:14" ht="22.5" hidden="1" x14ac:dyDescent="0.25">
      <c r="B421" s="49" t="s">
        <v>199</v>
      </c>
      <c r="C421" s="57">
        <v>88484</v>
      </c>
      <c r="D421" s="52" t="s">
        <v>201</v>
      </c>
      <c r="E421" s="43" t="s">
        <v>17</v>
      </c>
      <c r="F421" s="94"/>
      <c r="G421" s="104"/>
      <c r="H421" s="64"/>
      <c r="I421" s="105"/>
      <c r="J421" s="99">
        <f>'BOLETIM DE MEDIÇÃO 05'!O78-'MEMORIAL DE CALCULO 03'!K421</f>
        <v>0</v>
      </c>
      <c r="K421" s="82">
        <f t="shared" si="20"/>
        <v>0</v>
      </c>
      <c r="L421" s="82">
        <f t="shared" si="0"/>
        <v>0</v>
      </c>
      <c r="M421" s="82">
        <f>'BOLETIM DE MEDIÇÃO 05'!G78</f>
        <v>634.5</v>
      </c>
      <c r="N421" s="86">
        <f t="shared" si="1"/>
        <v>634.5</v>
      </c>
    </row>
    <row r="422" spans="2:14" ht="22.5" hidden="1" x14ac:dyDescent="0.25">
      <c r="B422" s="49" t="s">
        <v>202</v>
      </c>
      <c r="C422" s="57">
        <v>88494</v>
      </c>
      <c r="D422" s="52" t="s">
        <v>204</v>
      </c>
      <c r="E422" s="43" t="s">
        <v>17</v>
      </c>
      <c r="F422" s="94"/>
      <c r="G422" s="104"/>
      <c r="H422" s="64"/>
      <c r="I422" s="105"/>
      <c r="J422" s="99">
        <f>'BOLETIM DE MEDIÇÃO 05'!O79-'MEMORIAL DE CALCULO 03'!K422</f>
        <v>0</v>
      </c>
      <c r="K422" s="82">
        <f t="shared" si="20"/>
        <v>0</v>
      </c>
      <c r="L422" s="82">
        <f t="shared" ref="L422:L485" si="21">J422+K422</f>
        <v>0</v>
      </c>
      <c r="M422" s="82">
        <f>'BOLETIM DE MEDIÇÃO 05'!G79</f>
        <v>634.5</v>
      </c>
      <c r="N422" s="86">
        <f t="shared" ref="N422:N485" si="22">M422-L422</f>
        <v>634.5</v>
      </c>
    </row>
    <row r="423" spans="2:14" ht="22.5" hidden="1" x14ac:dyDescent="0.25">
      <c r="B423" s="49" t="s">
        <v>205</v>
      </c>
      <c r="C423" s="57">
        <v>88488</v>
      </c>
      <c r="D423" s="52" t="s">
        <v>207</v>
      </c>
      <c r="E423" s="43" t="s">
        <v>17</v>
      </c>
      <c r="F423" s="94"/>
      <c r="G423" s="104"/>
      <c r="H423" s="64"/>
      <c r="I423" s="105"/>
      <c r="J423" s="99">
        <f>'BOLETIM DE MEDIÇÃO 05'!O80-'MEMORIAL DE CALCULO 03'!K423</f>
        <v>0</v>
      </c>
      <c r="K423" s="82">
        <f t="shared" si="20"/>
        <v>0</v>
      </c>
      <c r="L423" s="82">
        <f t="shared" si="21"/>
        <v>0</v>
      </c>
      <c r="M423" s="82">
        <f>'BOLETIM DE MEDIÇÃO 05'!G80</f>
        <v>634.5</v>
      </c>
      <c r="N423" s="86">
        <f t="shared" si="22"/>
        <v>634.5</v>
      </c>
    </row>
    <row r="424" spans="2:14" ht="14.45" hidden="1" customHeight="1" x14ac:dyDescent="0.25">
      <c r="B424" s="51" t="s">
        <v>208</v>
      </c>
      <c r="C424" s="65" t="s">
        <v>209</v>
      </c>
      <c r="D424" s="53"/>
      <c r="E424" s="44"/>
      <c r="F424" s="95"/>
      <c r="G424" s="106"/>
      <c r="H424" s="70"/>
      <c r="I424" s="105"/>
      <c r="J424" s="99"/>
      <c r="K424" s="82">
        <f t="shared" si="20"/>
        <v>0</v>
      </c>
      <c r="L424" s="82"/>
      <c r="M424" s="82"/>
      <c r="N424" s="86"/>
    </row>
    <row r="425" spans="2:14" ht="45" hidden="1" x14ac:dyDescent="0.25">
      <c r="B425" s="49" t="s">
        <v>210</v>
      </c>
      <c r="C425" s="57">
        <v>87894</v>
      </c>
      <c r="D425" s="52" t="s">
        <v>212</v>
      </c>
      <c r="E425" s="43" t="s">
        <v>17</v>
      </c>
      <c r="F425" s="94"/>
      <c r="G425" s="104"/>
      <c r="H425" s="64"/>
      <c r="I425" s="105"/>
      <c r="J425" s="99">
        <f>'BOLETIM DE MEDIÇÃO 05'!O82-'MEMORIAL DE CALCULO 03'!K425</f>
        <v>0</v>
      </c>
      <c r="K425" s="82">
        <f t="shared" si="20"/>
        <v>0</v>
      </c>
      <c r="L425" s="82">
        <f t="shared" si="21"/>
        <v>0</v>
      </c>
      <c r="M425" s="82">
        <f>'BOLETIM DE MEDIÇÃO 05'!G82</f>
        <v>466.37</v>
      </c>
      <c r="N425" s="86">
        <f t="shared" si="22"/>
        <v>466.37</v>
      </c>
    </row>
    <row r="426" spans="2:14" ht="56.25" hidden="1" x14ac:dyDescent="0.25">
      <c r="B426" s="49" t="s">
        <v>213</v>
      </c>
      <c r="C426" s="57">
        <v>104233</v>
      </c>
      <c r="D426" s="52" t="s">
        <v>215</v>
      </c>
      <c r="E426" s="43" t="s">
        <v>17</v>
      </c>
      <c r="F426" s="94"/>
      <c r="G426" s="104"/>
      <c r="H426" s="64"/>
      <c r="I426" s="105"/>
      <c r="J426" s="99">
        <f>'BOLETIM DE MEDIÇÃO 05'!O83-'MEMORIAL DE CALCULO 03'!K426</f>
        <v>0</v>
      </c>
      <c r="K426" s="82">
        <f t="shared" si="20"/>
        <v>0</v>
      </c>
      <c r="L426" s="82">
        <f t="shared" si="21"/>
        <v>0</v>
      </c>
      <c r="M426" s="82">
        <f>'BOLETIM DE MEDIÇÃO 05'!G83</f>
        <v>466.37</v>
      </c>
      <c r="N426" s="86">
        <f t="shared" si="22"/>
        <v>466.37</v>
      </c>
    </row>
    <row r="427" spans="2:14" ht="33.75" hidden="1" x14ac:dyDescent="0.25">
      <c r="B427" s="49" t="s">
        <v>216</v>
      </c>
      <c r="C427" s="62" t="s">
        <v>217</v>
      </c>
      <c r="D427" s="61" t="s">
        <v>218</v>
      </c>
      <c r="E427" s="43" t="s">
        <v>17</v>
      </c>
      <c r="F427" s="96"/>
      <c r="G427" s="104"/>
      <c r="H427" s="43"/>
      <c r="I427" s="105"/>
      <c r="J427" s="99">
        <f>'BOLETIM DE MEDIÇÃO 05'!O84-'MEMORIAL DE CALCULO 03'!K427</f>
        <v>0</v>
      </c>
      <c r="K427" s="82">
        <f t="shared" si="20"/>
        <v>0</v>
      </c>
      <c r="L427" s="82">
        <f t="shared" si="21"/>
        <v>0</v>
      </c>
      <c r="M427" s="82">
        <f>'BOLETIM DE MEDIÇÃO 05'!G84</f>
        <v>32.5</v>
      </c>
      <c r="N427" s="86">
        <f t="shared" si="22"/>
        <v>32.5</v>
      </c>
    </row>
    <row r="428" spans="2:14" ht="33.75" hidden="1" x14ac:dyDescent="0.25">
      <c r="B428" s="50" t="s">
        <v>219</v>
      </c>
      <c r="C428" s="59" t="s">
        <v>220</v>
      </c>
      <c r="D428" s="53" t="s">
        <v>221</v>
      </c>
      <c r="E428" s="44" t="s">
        <v>222</v>
      </c>
      <c r="F428" s="95"/>
      <c r="G428" s="106"/>
      <c r="H428" s="70"/>
      <c r="I428" s="105"/>
      <c r="J428" s="99">
        <f>'BOLETIM DE MEDIÇÃO 05'!O85-'MEMORIAL DE CALCULO 03'!K428</f>
        <v>0</v>
      </c>
      <c r="K428" s="82">
        <f t="shared" si="20"/>
        <v>0</v>
      </c>
      <c r="L428" s="82">
        <f t="shared" si="21"/>
        <v>0</v>
      </c>
      <c r="M428" s="82">
        <f>'BOLETIM DE MEDIÇÃO 05'!G85</f>
        <v>29.5</v>
      </c>
      <c r="N428" s="86">
        <f t="shared" si="22"/>
        <v>29.5</v>
      </c>
    </row>
    <row r="429" spans="2:14" ht="22.5" hidden="1" x14ac:dyDescent="0.25">
      <c r="B429" s="50" t="s">
        <v>223</v>
      </c>
      <c r="C429" s="66">
        <v>88485</v>
      </c>
      <c r="D429" s="53" t="s">
        <v>192</v>
      </c>
      <c r="E429" s="44" t="s">
        <v>17</v>
      </c>
      <c r="F429" s="95"/>
      <c r="G429" s="106"/>
      <c r="H429" s="70"/>
      <c r="I429" s="105"/>
      <c r="J429" s="99">
        <f>'BOLETIM DE MEDIÇÃO 05'!O86-'MEMORIAL DE CALCULO 03'!K429</f>
        <v>0</v>
      </c>
      <c r="K429" s="82">
        <f t="shared" si="20"/>
        <v>0</v>
      </c>
      <c r="L429" s="82">
        <f t="shared" si="21"/>
        <v>0</v>
      </c>
      <c r="M429" s="82">
        <f>'BOLETIM DE MEDIÇÃO 05'!G86</f>
        <v>404.37</v>
      </c>
      <c r="N429" s="86">
        <f t="shared" si="22"/>
        <v>404.37</v>
      </c>
    </row>
    <row r="430" spans="2:14" ht="22.5" hidden="1" x14ac:dyDescent="0.25">
      <c r="B430" s="50" t="s">
        <v>224</v>
      </c>
      <c r="C430" s="66">
        <v>96130</v>
      </c>
      <c r="D430" s="53" t="s">
        <v>226</v>
      </c>
      <c r="E430" s="44" t="s">
        <v>17</v>
      </c>
      <c r="F430" s="95"/>
      <c r="G430" s="106"/>
      <c r="H430" s="70"/>
      <c r="I430" s="105"/>
      <c r="J430" s="99">
        <f>'BOLETIM DE MEDIÇÃO 05'!O87-'MEMORIAL DE CALCULO 03'!K430</f>
        <v>0</v>
      </c>
      <c r="K430" s="82">
        <f t="shared" si="20"/>
        <v>0</v>
      </c>
      <c r="L430" s="82">
        <f t="shared" si="21"/>
        <v>0</v>
      </c>
      <c r="M430" s="82">
        <f>'BOLETIM DE MEDIÇÃO 05'!G87</f>
        <v>404.37</v>
      </c>
      <c r="N430" s="86">
        <f t="shared" si="22"/>
        <v>404.37</v>
      </c>
    </row>
    <row r="431" spans="2:14" ht="22.5" hidden="1" x14ac:dyDescent="0.25">
      <c r="B431" s="50" t="s">
        <v>227</v>
      </c>
      <c r="C431" s="66">
        <v>88489</v>
      </c>
      <c r="D431" s="53" t="s">
        <v>198</v>
      </c>
      <c r="E431" s="44" t="s">
        <v>17</v>
      </c>
      <c r="F431" s="95"/>
      <c r="G431" s="106"/>
      <c r="H431" s="70"/>
      <c r="I431" s="105"/>
      <c r="J431" s="99">
        <f>'BOLETIM DE MEDIÇÃO 05'!O88-'MEMORIAL DE CALCULO 03'!K431</f>
        <v>0</v>
      </c>
      <c r="K431" s="82">
        <f t="shared" si="20"/>
        <v>0</v>
      </c>
      <c r="L431" s="82">
        <f t="shared" si="21"/>
        <v>0</v>
      </c>
      <c r="M431" s="82">
        <f>'BOLETIM DE MEDIÇÃO 05'!G88</f>
        <v>404.37</v>
      </c>
      <c r="N431" s="86">
        <f t="shared" si="22"/>
        <v>404.37</v>
      </c>
    </row>
    <row r="432" spans="2:14" ht="14.45" hidden="1" customHeight="1" x14ac:dyDescent="0.25">
      <c r="B432" s="65">
        <v>1.1000000000000001</v>
      </c>
      <c r="C432" s="65" t="s">
        <v>229</v>
      </c>
      <c r="D432" s="53"/>
      <c r="E432" s="44"/>
      <c r="F432" s="95"/>
      <c r="G432" s="106"/>
      <c r="H432" s="70"/>
      <c r="I432" s="105"/>
      <c r="J432" s="99"/>
      <c r="K432" s="82">
        <f t="shared" si="20"/>
        <v>0</v>
      </c>
      <c r="L432" s="82"/>
      <c r="M432" s="82"/>
      <c r="N432" s="86"/>
    </row>
    <row r="433" spans="2:14" ht="33.75" hidden="1" x14ac:dyDescent="0.25">
      <c r="B433" s="50" t="s">
        <v>230</v>
      </c>
      <c r="C433" s="66">
        <v>92868</v>
      </c>
      <c r="D433" s="53" t="s">
        <v>232</v>
      </c>
      <c r="E433" s="69" t="s">
        <v>166</v>
      </c>
      <c r="F433" s="97"/>
      <c r="G433" s="106"/>
      <c r="H433" s="70"/>
      <c r="I433" s="105"/>
      <c r="J433" s="99">
        <f>'BOLETIM DE MEDIÇÃO 05'!O90-'MEMORIAL DE CALCULO 03'!K433</f>
        <v>0</v>
      </c>
      <c r="K433" s="82">
        <f t="shared" si="20"/>
        <v>0</v>
      </c>
      <c r="L433" s="82">
        <f t="shared" si="21"/>
        <v>0</v>
      </c>
      <c r="M433" s="82">
        <f>'BOLETIM DE MEDIÇÃO 05'!G90</f>
        <v>117</v>
      </c>
      <c r="N433" s="86">
        <f t="shared" si="22"/>
        <v>117</v>
      </c>
    </row>
    <row r="434" spans="2:14" ht="22.5" hidden="1" x14ac:dyDescent="0.25">
      <c r="B434" s="50" t="s">
        <v>233</v>
      </c>
      <c r="C434" s="66">
        <v>91937</v>
      </c>
      <c r="D434" s="53" t="s">
        <v>235</v>
      </c>
      <c r="E434" s="69" t="s">
        <v>166</v>
      </c>
      <c r="F434" s="97"/>
      <c r="G434" s="106"/>
      <c r="H434" s="70"/>
      <c r="I434" s="105"/>
      <c r="J434" s="99">
        <f>'BOLETIM DE MEDIÇÃO 05'!O91-'MEMORIAL DE CALCULO 03'!K434</f>
        <v>0</v>
      </c>
      <c r="K434" s="82">
        <f t="shared" si="20"/>
        <v>0</v>
      </c>
      <c r="L434" s="82">
        <f t="shared" si="21"/>
        <v>0</v>
      </c>
      <c r="M434" s="82">
        <f>'BOLETIM DE MEDIÇÃO 05'!G91</f>
        <v>76</v>
      </c>
      <c r="N434" s="86">
        <f t="shared" si="22"/>
        <v>76</v>
      </c>
    </row>
    <row r="435" spans="2:14" ht="33.75" hidden="1" x14ac:dyDescent="0.25">
      <c r="B435" s="50" t="s">
        <v>236</v>
      </c>
      <c r="C435" s="66">
        <v>91924</v>
      </c>
      <c r="D435" s="53" t="s">
        <v>238</v>
      </c>
      <c r="E435" s="69" t="s">
        <v>37</v>
      </c>
      <c r="F435" s="97"/>
      <c r="G435" s="106"/>
      <c r="H435" s="70"/>
      <c r="I435" s="105"/>
      <c r="J435" s="99">
        <f>'BOLETIM DE MEDIÇÃO 05'!O92-'MEMORIAL DE CALCULO 03'!K435</f>
        <v>0</v>
      </c>
      <c r="K435" s="82">
        <f t="shared" si="20"/>
        <v>0</v>
      </c>
      <c r="L435" s="82">
        <f t="shared" si="21"/>
        <v>0</v>
      </c>
      <c r="M435" s="82">
        <f>'BOLETIM DE MEDIÇÃO 05'!G92</f>
        <v>1253.8</v>
      </c>
      <c r="N435" s="86">
        <f t="shared" si="22"/>
        <v>1253.8</v>
      </c>
    </row>
    <row r="436" spans="2:14" ht="33.75" hidden="1" x14ac:dyDescent="0.25">
      <c r="B436" s="50" t="s">
        <v>239</v>
      </c>
      <c r="C436" s="66">
        <v>91926</v>
      </c>
      <c r="D436" s="53" t="s">
        <v>241</v>
      </c>
      <c r="E436" s="69" t="s">
        <v>37</v>
      </c>
      <c r="F436" s="97"/>
      <c r="G436" s="106"/>
      <c r="H436" s="70"/>
      <c r="I436" s="105"/>
      <c r="J436" s="99">
        <f>'BOLETIM DE MEDIÇÃO 05'!O93-'MEMORIAL DE CALCULO 03'!K436</f>
        <v>0</v>
      </c>
      <c r="K436" s="82">
        <f t="shared" si="20"/>
        <v>0</v>
      </c>
      <c r="L436" s="82">
        <f t="shared" si="21"/>
        <v>0</v>
      </c>
      <c r="M436" s="82">
        <f>'BOLETIM DE MEDIÇÃO 05'!G93</f>
        <v>1496.3</v>
      </c>
      <c r="N436" s="86">
        <f t="shared" si="22"/>
        <v>1496.3</v>
      </c>
    </row>
    <row r="437" spans="2:14" ht="33.75" hidden="1" x14ac:dyDescent="0.25">
      <c r="B437" s="50" t="s">
        <v>242</v>
      </c>
      <c r="C437" s="68">
        <v>91928</v>
      </c>
      <c r="D437" s="67" t="s">
        <v>244</v>
      </c>
      <c r="E437" s="69" t="s">
        <v>37</v>
      </c>
      <c r="F437" s="97"/>
      <c r="G437" s="106"/>
      <c r="H437" s="44"/>
      <c r="I437" s="105"/>
      <c r="J437" s="99">
        <f>'BOLETIM DE MEDIÇÃO 05'!O94-'MEMORIAL DE CALCULO 03'!K437</f>
        <v>0</v>
      </c>
      <c r="K437" s="82">
        <f t="shared" si="20"/>
        <v>0</v>
      </c>
      <c r="L437" s="82">
        <f t="shared" si="21"/>
        <v>0</v>
      </c>
      <c r="M437" s="82">
        <f>'BOLETIM DE MEDIÇÃO 05'!G94</f>
        <v>284.60000000000002</v>
      </c>
      <c r="N437" s="86">
        <f t="shared" si="22"/>
        <v>284.60000000000002</v>
      </c>
    </row>
    <row r="438" spans="2:14" ht="33.75" hidden="1" x14ac:dyDescent="0.25">
      <c r="B438" s="50" t="s">
        <v>245</v>
      </c>
      <c r="C438" s="66">
        <v>91931</v>
      </c>
      <c r="D438" s="53" t="s">
        <v>247</v>
      </c>
      <c r="E438" s="69" t="s">
        <v>37</v>
      </c>
      <c r="F438" s="97"/>
      <c r="G438" s="106"/>
      <c r="H438" s="70"/>
      <c r="I438" s="105"/>
      <c r="J438" s="99">
        <f>'BOLETIM DE MEDIÇÃO 05'!O95-'MEMORIAL DE CALCULO 03'!K438</f>
        <v>0</v>
      </c>
      <c r="K438" s="82">
        <f t="shared" si="20"/>
        <v>0</v>
      </c>
      <c r="L438" s="82">
        <f t="shared" si="21"/>
        <v>0</v>
      </c>
      <c r="M438" s="82">
        <f>'BOLETIM DE MEDIÇÃO 05'!G95</f>
        <v>224</v>
      </c>
      <c r="N438" s="86">
        <f t="shared" si="22"/>
        <v>224</v>
      </c>
    </row>
    <row r="439" spans="2:14" ht="22.5" hidden="1" x14ac:dyDescent="0.25">
      <c r="B439" s="50" t="s">
        <v>248</v>
      </c>
      <c r="C439" s="66">
        <v>39773</v>
      </c>
      <c r="D439" s="53" t="s">
        <v>250</v>
      </c>
      <c r="E439" s="69" t="s">
        <v>166</v>
      </c>
      <c r="F439" s="97"/>
      <c r="G439" s="106"/>
      <c r="H439" s="70"/>
      <c r="I439" s="105"/>
      <c r="J439" s="99">
        <f>'BOLETIM DE MEDIÇÃO 05'!O96-'MEMORIAL DE CALCULO 03'!K439</f>
        <v>0</v>
      </c>
      <c r="K439" s="82">
        <f t="shared" si="20"/>
        <v>0</v>
      </c>
      <c r="L439" s="82">
        <f t="shared" si="21"/>
        <v>0</v>
      </c>
      <c r="M439" s="82">
        <f>'BOLETIM DE MEDIÇÃO 05'!G96</f>
        <v>2</v>
      </c>
      <c r="N439" s="86">
        <f t="shared" si="22"/>
        <v>2</v>
      </c>
    </row>
    <row r="440" spans="2:14" ht="33.75" hidden="1" x14ac:dyDescent="0.25">
      <c r="B440" s="50" t="s">
        <v>251</v>
      </c>
      <c r="C440" s="66">
        <v>101890</v>
      </c>
      <c r="D440" s="53" t="s">
        <v>253</v>
      </c>
      <c r="E440" s="69" t="s">
        <v>166</v>
      </c>
      <c r="F440" s="97"/>
      <c r="G440" s="106"/>
      <c r="H440" s="70"/>
      <c r="I440" s="105"/>
      <c r="J440" s="99">
        <f>'BOLETIM DE MEDIÇÃO 05'!O97-'MEMORIAL DE CALCULO 03'!K440</f>
        <v>0</v>
      </c>
      <c r="K440" s="82">
        <f t="shared" si="20"/>
        <v>0</v>
      </c>
      <c r="L440" s="82">
        <f t="shared" si="21"/>
        <v>0</v>
      </c>
      <c r="M440" s="82">
        <f>'BOLETIM DE MEDIÇÃO 05'!G97</f>
        <v>19</v>
      </c>
      <c r="N440" s="86">
        <f t="shared" si="22"/>
        <v>19</v>
      </c>
    </row>
    <row r="441" spans="2:14" ht="22.5" hidden="1" x14ac:dyDescent="0.25">
      <c r="B441" s="50" t="s">
        <v>254</v>
      </c>
      <c r="C441" s="66">
        <v>93670</v>
      </c>
      <c r="D441" s="53" t="s">
        <v>256</v>
      </c>
      <c r="E441" s="69" t="s">
        <v>166</v>
      </c>
      <c r="F441" s="97"/>
      <c r="G441" s="106"/>
      <c r="H441" s="70"/>
      <c r="I441" s="105"/>
      <c r="J441" s="99">
        <f>'BOLETIM DE MEDIÇÃO 05'!O98-'MEMORIAL DE CALCULO 03'!K441</f>
        <v>0</v>
      </c>
      <c r="K441" s="82">
        <f t="shared" si="20"/>
        <v>0</v>
      </c>
      <c r="L441" s="82">
        <f t="shared" si="21"/>
        <v>0</v>
      </c>
      <c r="M441" s="82">
        <f>'BOLETIM DE MEDIÇÃO 05'!G98</f>
        <v>1</v>
      </c>
      <c r="N441" s="86">
        <f t="shared" si="22"/>
        <v>1</v>
      </c>
    </row>
    <row r="442" spans="2:14" ht="22.5" hidden="1" x14ac:dyDescent="0.25">
      <c r="B442" s="50" t="s">
        <v>257</v>
      </c>
      <c r="C442" s="66">
        <v>93671</v>
      </c>
      <c r="D442" s="53" t="s">
        <v>259</v>
      </c>
      <c r="E442" s="69" t="s">
        <v>166</v>
      </c>
      <c r="F442" s="97"/>
      <c r="G442" s="106"/>
      <c r="H442" s="70"/>
      <c r="I442" s="105"/>
      <c r="J442" s="99">
        <f>'BOLETIM DE MEDIÇÃO 05'!O99-'MEMORIAL DE CALCULO 03'!K442</f>
        <v>0</v>
      </c>
      <c r="K442" s="82">
        <f t="shared" si="20"/>
        <v>0</v>
      </c>
      <c r="L442" s="82">
        <f t="shared" si="21"/>
        <v>0</v>
      </c>
      <c r="M442" s="82">
        <f>'BOLETIM DE MEDIÇÃO 05'!G99</f>
        <v>1</v>
      </c>
      <c r="N442" s="86">
        <f t="shared" si="22"/>
        <v>1</v>
      </c>
    </row>
    <row r="443" spans="2:14" ht="22.5" hidden="1" x14ac:dyDescent="0.25">
      <c r="B443" s="50" t="s">
        <v>260</v>
      </c>
      <c r="C443" s="66">
        <v>39466</v>
      </c>
      <c r="D443" s="53" t="s">
        <v>262</v>
      </c>
      <c r="E443" s="69" t="s">
        <v>166</v>
      </c>
      <c r="F443" s="97"/>
      <c r="G443" s="106"/>
      <c r="H443" s="70"/>
      <c r="I443" s="105"/>
      <c r="J443" s="99">
        <f>'BOLETIM DE MEDIÇÃO 05'!O100-'MEMORIAL DE CALCULO 03'!K443</f>
        <v>0</v>
      </c>
      <c r="K443" s="82">
        <f t="shared" si="20"/>
        <v>0</v>
      </c>
      <c r="L443" s="82">
        <f t="shared" si="21"/>
        <v>0</v>
      </c>
      <c r="M443" s="82">
        <f>'BOLETIM DE MEDIÇÃO 05'!G100</f>
        <v>6</v>
      </c>
      <c r="N443" s="86">
        <f t="shared" si="22"/>
        <v>6</v>
      </c>
    </row>
    <row r="444" spans="2:14" ht="22.5" hidden="1" x14ac:dyDescent="0.25">
      <c r="B444" s="50" t="s">
        <v>263</v>
      </c>
      <c r="C444" s="66">
        <v>39445</v>
      </c>
      <c r="D444" s="53" t="s">
        <v>265</v>
      </c>
      <c r="E444" s="69" t="s">
        <v>166</v>
      </c>
      <c r="F444" s="97"/>
      <c r="G444" s="106"/>
      <c r="H444" s="70"/>
      <c r="I444" s="105"/>
      <c r="J444" s="99">
        <f>'BOLETIM DE MEDIÇÃO 05'!O101-'MEMORIAL DE CALCULO 03'!K444</f>
        <v>0</v>
      </c>
      <c r="K444" s="82">
        <f t="shared" si="20"/>
        <v>0</v>
      </c>
      <c r="L444" s="82">
        <f t="shared" si="21"/>
        <v>0</v>
      </c>
      <c r="M444" s="82">
        <f>'BOLETIM DE MEDIÇÃO 05'!G101</f>
        <v>1</v>
      </c>
      <c r="N444" s="86">
        <f t="shared" si="22"/>
        <v>1</v>
      </c>
    </row>
    <row r="445" spans="2:14" ht="22.5" hidden="1" x14ac:dyDescent="0.25">
      <c r="B445" s="50" t="s">
        <v>266</v>
      </c>
      <c r="C445" s="66">
        <v>39446</v>
      </c>
      <c r="D445" s="53" t="s">
        <v>268</v>
      </c>
      <c r="E445" s="69" t="s">
        <v>166</v>
      </c>
      <c r="F445" s="97"/>
      <c r="G445" s="106"/>
      <c r="H445" s="70"/>
      <c r="I445" s="105"/>
      <c r="J445" s="99">
        <f>'BOLETIM DE MEDIÇÃO 05'!O102-'MEMORIAL DE CALCULO 03'!K445</f>
        <v>0</v>
      </c>
      <c r="K445" s="82">
        <f t="shared" si="20"/>
        <v>0</v>
      </c>
      <c r="L445" s="82">
        <f t="shared" si="21"/>
        <v>0</v>
      </c>
      <c r="M445" s="82">
        <f>'BOLETIM DE MEDIÇÃO 05'!G102</f>
        <v>1</v>
      </c>
      <c r="N445" s="86">
        <f t="shared" si="22"/>
        <v>1</v>
      </c>
    </row>
    <row r="446" spans="2:14" ht="33.75" hidden="1" x14ac:dyDescent="0.25">
      <c r="B446" s="50" t="s">
        <v>269</v>
      </c>
      <c r="C446" s="66">
        <v>91953</v>
      </c>
      <c r="D446" s="53" t="s">
        <v>271</v>
      </c>
      <c r="E446" s="69" t="s">
        <v>166</v>
      </c>
      <c r="F446" s="97"/>
      <c r="G446" s="106"/>
      <c r="H446" s="70"/>
      <c r="I446" s="105"/>
      <c r="J446" s="99">
        <f>'BOLETIM DE MEDIÇÃO 05'!O103-'MEMORIAL DE CALCULO 03'!K446</f>
        <v>0</v>
      </c>
      <c r="K446" s="82">
        <f t="shared" si="20"/>
        <v>0</v>
      </c>
      <c r="L446" s="82">
        <f t="shared" si="21"/>
        <v>0</v>
      </c>
      <c r="M446" s="82">
        <f>'BOLETIM DE MEDIÇÃO 05'!G103</f>
        <v>23</v>
      </c>
      <c r="N446" s="86">
        <f t="shared" si="22"/>
        <v>23</v>
      </c>
    </row>
    <row r="447" spans="2:14" ht="33.75" hidden="1" x14ac:dyDescent="0.25">
      <c r="B447" s="50" t="s">
        <v>272</v>
      </c>
      <c r="C447" s="66">
        <v>91967</v>
      </c>
      <c r="D447" s="53" t="s">
        <v>274</v>
      </c>
      <c r="E447" s="69" t="s">
        <v>166</v>
      </c>
      <c r="F447" s="97"/>
      <c r="G447" s="106"/>
      <c r="H447" s="70"/>
      <c r="I447" s="105"/>
      <c r="J447" s="99">
        <f>'BOLETIM DE MEDIÇÃO 05'!O104-'MEMORIAL DE CALCULO 03'!K447</f>
        <v>0</v>
      </c>
      <c r="K447" s="82">
        <f t="shared" si="20"/>
        <v>0</v>
      </c>
      <c r="L447" s="82">
        <f t="shared" si="21"/>
        <v>0</v>
      </c>
      <c r="M447" s="82">
        <f>'BOLETIM DE MEDIÇÃO 05'!G104</f>
        <v>1</v>
      </c>
      <c r="N447" s="86">
        <f t="shared" si="22"/>
        <v>1</v>
      </c>
    </row>
    <row r="448" spans="2:14" ht="33.75" hidden="1" x14ac:dyDescent="0.25">
      <c r="B448" s="50" t="s">
        <v>275</v>
      </c>
      <c r="C448" s="66">
        <v>92000</v>
      </c>
      <c r="D448" s="53" t="s">
        <v>277</v>
      </c>
      <c r="E448" s="69" t="s">
        <v>166</v>
      </c>
      <c r="F448" s="97"/>
      <c r="G448" s="106"/>
      <c r="H448" s="70"/>
      <c r="I448" s="105"/>
      <c r="J448" s="99">
        <f>'BOLETIM DE MEDIÇÃO 05'!O105-'MEMORIAL DE CALCULO 03'!K448</f>
        <v>0</v>
      </c>
      <c r="K448" s="82">
        <f t="shared" si="20"/>
        <v>0</v>
      </c>
      <c r="L448" s="82">
        <f t="shared" si="21"/>
        <v>0</v>
      </c>
      <c r="M448" s="82">
        <f>'BOLETIM DE MEDIÇÃO 05'!G105</f>
        <v>54</v>
      </c>
      <c r="N448" s="86">
        <f t="shared" si="22"/>
        <v>54</v>
      </c>
    </row>
    <row r="449" spans="2:14" ht="33.75" hidden="1" x14ac:dyDescent="0.25">
      <c r="B449" s="50" t="s">
        <v>278</v>
      </c>
      <c r="C449" s="66">
        <v>92008</v>
      </c>
      <c r="D449" s="53" t="s">
        <v>280</v>
      </c>
      <c r="E449" s="69" t="s">
        <v>166</v>
      </c>
      <c r="F449" s="97"/>
      <c r="G449" s="106"/>
      <c r="H449" s="70"/>
      <c r="I449" s="105"/>
      <c r="J449" s="99">
        <f>'BOLETIM DE MEDIÇÃO 05'!O106-'MEMORIAL DE CALCULO 03'!K449</f>
        <v>0</v>
      </c>
      <c r="K449" s="82">
        <f t="shared" si="20"/>
        <v>0</v>
      </c>
      <c r="L449" s="82">
        <f t="shared" si="21"/>
        <v>0</v>
      </c>
      <c r="M449" s="82">
        <f>'BOLETIM DE MEDIÇÃO 05'!G106</f>
        <v>8</v>
      </c>
      <c r="N449" s="86">
        <f t="shared" si="22"/>
        <v>8</v>
      </c>
    </row>
    <row r="450" spans="2:14" ht="33.75" hidden="1" x14ac:dyDescent="0.25">
      <c r="B450" s="50" t="s">
        <v>281</v>
      </c>
      <c r="C450" s="68">
        <v>91959</v>
      </c>
      <c r="D450" s="67" t="s">
        <v>283</v>
      </c>
      <c r="E450" s="69" t="s">
        <v>166</v>
      </c>
      <c r="F450" s="97"/>
      <c r="G450" s="106"/>
      <c r="H450" s="44"/>
      <c r="I450" s="105"/>
      <c r="J450" s="99">
        <f>'BOLETIM DE MEDIÇÃO 05'!O107-'MEMORIAL DE CALCULO 03'!K450</f>
        <v>0</v>
      </c>
      <c r="K450" s="82">
        <f t="shared" si="20"/>
        <v>0</v>
      </c>
      <c r="L450" s="82">
        <f t="shared" si="21"/>
        <v>0</v>
      </c>
      <c r="M450" s="82">
        <f>'BOLETIM DE MEDIÇÃO 05'!G107</f>
        <v>2</v>
      </c>
      <c r="N450" s="86">
        <f t="shared" si="22"/>
        <v>2</v>
      </c>
    </row>
    <row r="451" spans="2:14" ht="33.75" hidden="1" x14ac:dyDescent="0.25">
      <c r="B451" s="50" t="s">
        <v>284</v>
      </c>
      <c r="C451" s="68">
        <v>91834</v>
      </c>
      <c r="D451" s="67" t="s">
        <v>286</v>
      </c>
      <c r="E451" s="69" t="s">
        <v>37</v>
      </c>
      <c r="F451" s="97"/>
      <c r="G451" s="106"/>
      <c r="H451" s="44"/>
      <c r="I451" s="105"/>
      <c r="J451" s="99">
        <f>'BOLETIM DE MEDIÇÃO 05'!O108-'MEMORIAL DE CALCULO 03'!K451</f>
        <v>0</v>
      </c>
      <c r="K451" s="82">
        <f t="shared" si="20"/>
        <v>0</v>
      </c>
      <c r="L451" s="82">
        <f t="shared" si="21"/>
        <v>0</v>
      </c>
      <c r="M451" s="82">
        <f>'BOLETIM DE MEDIÇÃO 05'!G108</f>
        <v>830.48</v>
      </c>
      <c r="N451" s="86">
        <f t="shared" si="22"/>
        <v>830.48</v>
      </c>
    </row>
    <row r="452" spans="2:14" ht="33.75" hidden="1" x14ac:dyDescent="0.25">
      <c r="B452" s="50" t="s">
        <v>287</v>
      </c>
      <c r="C452" s="66">
        <v>91868</v>
      </c>
      <c r="D452" s="53" t="s">
        <v>289</v>
      </c>
      <c r="E452" s="69" t="s">
        <v>37</v>
      </c>
      <c r="F452" s="97"/>
      <c r="G452" s="106"/>
      <c r="H452" s="70"/>
      <c r="I452" s="105"/>
      <c r="J452" s="99">
        <f>'BOLETIM DE MEDIÇÃO 05'!O109-'MEMORIAL DE CALCULO 03'!K452</f>
        <v>0</v>
      </c>
      <c r="K452" s="82">
        <f t="shared" si="20"/>
        <v>0</v>
      </c>
      <c r="L452" s="82">
        <f t="shared" si="21"/>
        <v>0</v>
      </c>
      <c r="M452" s="82">
        <f>'BOLETIM DE MEDIÇÃO 05'!G109</f>
        <v>55.97</v>
      </c>
      <c r="N452" s="86">
        <f t="shared" si="22"/>
        <v>55.97</v>
      </c>
    </row>
    <row r="453" spans="2:14" ht="33.75" hidden="1" x14ac:dyDescent="0.25">
      <c r="B453" s="50" t="s">
        <v>290</v>
      </c>
      <c r="C453" s="66">
        <v>91867</v>
      </c>
      <c r="D453" s="53" t="s">
        <v>292</v>
      </c>
      <c r="E453" s="69" t="s">
        <v>37</v>
      </c>
      <c r="F453" s="97"/>
      <c r="G453" s="106"/>
      <c r="H453" s="70"/>
      <c r="I453" s="105"/>
      <c r="J453" s="99">
        <f>'BOLETIM DE MEDIÇÃO 05'!O110-'MEMORIAL DE CALCULO 03'!K453</f>
        <v>0</v>
      </c>
      <c r="K453" s="82">
        <f t="shared" si="20"/>
        <v>0</v>
      </c>
      <c r="L453" s="82">
        <f t="shared" si="21"/>
        <v>0</v>
      </c>
      <c r="M453" s="82">
        <f>'BOLETIM DE MEDIÇÃO 05'!G110</f>
        <v>36.19</v>
      </c>
      <c r="N453" s="86">
        <f t="shared" si="22"/>
        <v>36.19</v>
      </c>
    </row>
    <row r="454" spans="2:14" ht="22.5" hidden="1" x14ac:dyDescent="0.25">
      <c r="B454" s="50" t="s">
        <v>293</v>
      </c>
      <c r="C454" s="66">
        <v>101654</v>
      </c>
      <c r="D454" s="53" t="s">
        <v>295</v>
      </c>
      <c r="E454" s="69" t="s">
        <v>166</v>
      </c>
      <c r="F454" s="97"/>
      <c r="G454" s="106"/>
      <c r="H454" s="70"/>
      <c r="I454" s="105"/>
      <c r="J454" s="99">
        <f>'BOLETIM DE MEDIÇÃO 05'!O111-'MEMORIAL DE CALCULO 03'!K454</f>
        <v>0</v>
      </c>
      <c r="K454" s="82">
        <f t="shared" si="20"/>
        <v>0</v>
      </c>
      <c r="L454" s="82">
        <f t="shared" si="21"/>
        <v>0</v>
      </c>
      <c r="M454" s="82">
        <f>'BOLETIM DE MEDIÇÃO 05'!G111</f>
        <v>15</v>
      </c>
      <c r="N454" s="86">
        <f t="shared" si="22"/>
        <v>15</v>
      </c>
    </row>
    <row r="455" spans="2:14" ht="33.75" hidden="1" x14ac:dyDescent="0.25">
      <c r="B455" s="50" t="s">
        <v>296</v>
      </c>
      <c r="C455" s="66">
        <v>103782</v>
      </c>
      <c r="D455" s="53" t="s">
        <v>298</v>
      </c>
      <c r="E455" s="69" t="s">
        <v>166</v>
      </c>
      <c r="F455" s="97"/>
      <c r="G455" s="106"/>
      <c r="H455" s="70"/>
      <c r="I455" s="105"/>
      <c r="J455" s="99">
        <f>'BOLETIM DE MEDIÇÃO 05'!O112-'MEMORIAL DE CALCULO 03'!K455</f>
        <v>0</v>
      </c>
      <c r="K455" s="82">
        <f t="shared" si="20"/>
        <v>0</v>
      </c>
      <c r="L455" s="82">
        <f t="shared" si="21"/>
        <v>0</v>
      </c>
      <c r="M455" s="82">
        <f>'BOLETIM DE MEDIÇÃO 05'!G112</f>
        <v>76</v>
      </c>
      <c r="N455" s="86">
        <f t="shared" si="22"/>
        <v>76</v>
      </c>
    </row>
    <row r="456" spans="2:14" ht="33.75" hidden="1" x14ac:dyDescent="0.25">
      <c r="B456" s="50" t="s">
        <v>299</v>
      </c>
      <c r="C456" s="66">
        <v>101509</v>
      </c>
      <c r="D456" s="53" t="s">
        <v>301</v>
      </c>
      <c r="E456" s="69" t="s">
        <v>166</v>
      </c>
      <c r="F456" s="97"/>
      <c r="G456" s="106"/>
      <c r="H456" s="70"/>
      <c r="I456" s="105"/>
      <c r="J456" s="99">
        <f>'BOLETIM DE MEDIÇÃO 05'!O113-'MEMORIAL DE CALCULO 03'!K456</f>
        <v>0</v>
      </c>
      <c r="K456" s="82">
        <f t="shared" si="20"/>
        <v>0</v>
      </c>
      <c r="L456" s="82">
        <f t="shared" si="21"/>
        <v>0</v>
      </c>
      <c r="M456" s="82">
        <f>'BOLETIM DE MEDIÇÃO 05'!G113</f>
        <v>1</v>
      </c>
      <c r="N456" s="86">
        <f t="shared" si="22"/>
        <v>1</v>
      </c>
    </row>
    <row r="457" spans="2:14" ht="33.75" hidden="1" x14ac:dyDescent="0.25">
      <c r="B457" s="50" t="s">
        <v>302</v>
      </c>
      <c r="C457" s="66">
        <v>5044</v>
      </c>
      <c r="D457" s="53" t="s">
        <v>304</v>
      </c>
      <c r="E457" s="69" t="s">
        <v>166</v>
      </c>
      <c r="F457" s="97"/>
      <c r="G457" s="106"/>
      <c r="H457" s="70"/>
      <c r="I457" s="105"/>
      <c r="J457" s="99">
        <f>'BOLETIM DE MEDIÇÃO 05'!O114-'MEMORIAL DE CALCULO 03'!K457</f>
        <v>0</v>
      </c>
      <c r="K457" s="82">
        <f t="shared" si="20"/>
        <v>0</v>
      </c>
      <c r="L457" s="82">
        <f t="shared" si="21"/>
        <v>0</v>
      </c>
      <c r="M457" s="82">
        <f>'BOLETIM DE MEDIÇÃO 05'!G114</f>
        <v>1</v>
      </c>
      <c r="N457" s="86">
        <f t="shared" si="22"/>
        <v>1</v>
      </c>
    </row>
    <row r="458" spans="2:14" ht="45" hidden="1" x14ac:dyDescent="0.25">
      <c r="B458" s="50" t="s">
        <v>305</v>
      </c>
      <c r="C458" s="66">
        <v>101879</v>
      </c>
      <c r="D458" s="53" t="s">
        <v>307</v>
      </c>
      <c r="E458" s="69" t="s">
        <v>166</v>
      </c>
      <c r="F458" s="97"/>
      <c r="G458" s="106"/>
      <c r="H458" s="70"/>
      <c r="I458" s="105"/>
      <c r="J458" s="99">
        <f>'BOLETIM DE MEDIÇÃO 05'!O115-'MEMORIAL DE CALCULO 03'!K458</f>
        <v>0</v>
      </c>
      <c r="K458" s="82">
        <f t="shared" si="20"/>
        <v>0</v>
      </c>
      <c r="L458" s="82">
        <f t="shared" si="21"/>
        <v>0</v>
      </c>
      <c r="M458" s="82">
        <f>'BOLETIM DE MEDIÇÃO 05'!G115</f>
        <v>1</v>
      </c>
      <c r="N458" s="86">
        <f t="shared" si="22"/>
        <v>1</v>
      </c>
    </row>
    <row r="459" spans="2:14" ht="33.75" hidden="1" x14ac:dyDescent="0.25">
      <c r="B459" s="50" t="s">
        <v>308</v>
      </c>
      <c r="C459" s="66">
        <v>5044</v>
      </c>
      <c r="D459" s="53" t="s">
        <v>304</v>
      </c>
      <c r="E459" s="69" t="s">
        <v>166</v>
      </c>
      <c r="F459" s="97"/>
      <c r="G459" s="106"/>
      <c r="H459" s="70"/>
      <c r="I459" s="105"/>
      <c r="J459" s="99">
        <f>'BOLETIM DE MEDIÇÃO 05'!O116-'MEMORIAL DE CALCULO 03'!K459</f>
        <v>0</v>
      </c>
      <c r="K459" s="82">
        <f t="shared" si="20"/>
        <v>0</v>
      </c>
      <c r="L459" s="82">
        <f t="shared" si="21"/>
        <v>0</v>
      </c>
      <c r="M459" s="82">
        <f>'BOLETIM DE MEDIÇÃO 05'!G116</f>
        <v>1</v>
      </c>
      <c r="N459" s="86">
        <f t="shared" si="22"/>
        <v>1</v>
      </c>
    </row>
    <row r="460" spans="2:14" ht="33.75" hidden="1" x14ac:dyDescent="0.25">
      <c r="B460" s="50" t="s">
        <v>309</v>
      </c>
      <c r="C460" s="66">
        <v>92023</v>
      </c>
      <c r="D460" s="53" t="s">
        <v>311</v>
      </c>
      <c r="E460" s="69" t="s">
        <v>166</v>
      </c>
      <c r="F460" s="97"/>
      <c r="G460" s="106"/>
      <c r="H460" s="70"/>
      <c r="I460" s="105"/>
      <c r="J460" s="99">
        <f>'BOLETIM DE MEDIÇÃO 05'!O117-'MEMORIAL DE CALCULO 03'!K460</f>
        <v>0</v>
      </c>
      <c r="K460" s="82">
        <f t="shared" si="20"/>
        <v>0</v>
      </c>
      <c r="L460" s="82">
        <f t="shared" si="21"/>
        <v>0</v>
      </c>
      <c r="M460" s="82">
        <f>'BOLETIM DE MEDIÇÃO 05'!G117</f>
        <v>5</v>
      </c>
      <c r="N460" s="86">
        <f t="shared" si="22"/>
        <v>5</v>
      </c>
    </row>
    <row r="461" spans="2:14" hidden="1" x14ac:dyDescent="0.25">
      <c r="B461" s="51" t="s">
        <v>312</v>
      </c>
      <c r="C461" s="71" t="s">
        <v>313</v>
      </c>
      <c r="D461" s="53"/>
      <c r="E461" s="69"/>
      <c r="F461" s="97"/>
      <c r="G461" s="106"/>
      <c r="H461" s="70"/>
      <c r="I461" s="105"/>
      <c r="J461" s="99"/>
      <c r="K461" s="82">
        <f t="shared" si="20"/>
        <v>0</v>
      </c>
      <c r="L461" s="82"/>
      <c r="M461" s="82"/>
      <c r="N461" s="86"/>
    </row>
    <row r="462" spans="2:14" ht="22.5" hidden="1" x14ac:dyDescent="0.25">
      <c r="B462" s="50" t="s">
        <v>314</v>
      </c>
      <c r="C462" s="66">
        <v>96620</v>
      </c>
      <c r="D462" s="53" t="s">
        <v>316</v>
      </c>
      <c r="E462" s="44" t="s">
        <v>41</v>
      </c>
      <c r="F462" s="97"/>
      <c r="G462" s="106"/>
      <c r="H462" s="70"/>
      <c r="I462" s="105"/>
      <c r="J462" s="99">
        <f>'BOLETIM DE MEDIÇÃO 05'!O119-'MEMORIAL DE CALCULO 03'!K462</f>
        <v>0</v>
      </c>
      <c r="K462" s="82">
        <f t="shared" si="20"/>
        <v>0</v>
      </c>
      <c r="L462" s="82">
        <f t="shared" si="21"/>
        <v>0</v>
      </c>
      <c r="M462" s="82">
        <f>'BOLETIM DE MEDIÇÃO 05'!G119</f>
        <v>31.73</v>
      </c>
      <c r="N462" s="86">
        <f t="shared" si="22"/>
        <v>31.73</v>
      </c>
    </row>
    <row r="463" spans="2:14" ht="67.5" hidden="1" x14ac:dyDescent="0.25">
      <c r="B463" s="50" t="s">
        <v>317</v>
      </c>
      <c r="C463" s="66">
        <v>94439</v>
      </c>
      <c r="D463" s="53" t="s">
        <v>319</v>
      </c>
      <c r="E463" s="44" t="s">
        <v>17</v>
      </c>
      <c r="F463" s="97"/>
      <c r="G463" s="106"/>
      <c r="H463" s="70"/>
      <c r="I463" s="105"/>
      <c r="J463" s="99">
        <f>'BOLETIM DE MEDIÇÃO 05'!O120-'MEMORIAL DE CALCULO 03'!K463</f>
        <v>0</v>
      </c>
      <c r="K463" s="82">
        <f t="shared" si="20"/>
        <v>0</v>
      </c>
      <c r="L463" s="82">
        <f t="shared" si="21"/>
        <v>0</v>
      </c>
      <c r="M463" s="82">
        <f>'BOLETIM DE MEDIÇÃO 05'!G120</f>
        <v>634.5</v>
      </c>
      <c r="N463" s="86">
        <f t="shared" si="22"/>
        <v>634.5</v>
      </c>
    </row>
    <row r="464" spans="2:14" ht="33.75" hidden="1" x14ac:dyDescent="0.25">
      <c r="B464" s="50" t="s">
        <v>320</v>
      </c>
      <c r="C464" s="66">
        <v>87257</v>
      </c>
      <c r="D464" s="53" t="s">
        <v>322</v>
      </c>
      <c r="E464" s="44" t="s">
        <v>17</v>
      </c>
      <c r="F464" s="97"/>
      <c r="G464" s="106"/>
      <c r="H464" s="70"/>
      <c r="I464" s="105"/>
      <c r="J464" s="99">
        <f>'BOLETIM DE MEDIÇÃO 05'!O121-'MEMORIAL DE CALCULO 03'!K464</f>
        <v>0</v>
      </c>
      <c r="K464" s="82">
        <f t="shared" si="20"/>
        <v>0</v>
      </c>
      <c r="L464" s="82">
        <f t="shared" si="21"/>
        <v>0</v>
      </c>
      <c r="M464" s="82">
        <f>'BOLETIM DE MEDIÇÃO 05'!G121</f>
        <v>634.5</v>
      </c>
      <c r="N464" s="86">
        <f t="shared" si="22"/>
        <v>634.5</v>
      </c>
    </row>
    <row r="465" spans="2:14" ht="33.75" hidden="1" x14ac:dyDescent="0.25">
      <c r="B465" s="50" t="s">
        <v>323</v>
      </c>
      <c r="C465" s="66">
        <v>92403</v>
      </c>
      <c r="D465" s="53" t="s">
        <v>325</v>
      </c>
      <c r="E465" s="44" t="s">
        <v>17</v>
      </c>
      <c r="F465" s="97"/>
      <c r="G465" s="106"/>
      <c r="H465" s="70"/>
      <c r="I465" s="105"/>
      <c r="J465" s="99">
        <f>'BOLETIM DE MEDIÇÃO 05'!O122-'MEMORIAL DE CALCULO 03'!K465</f>
        <v>0</v>
      </c>
      <c r="K465" s="82">
        <f t="shared" si="20"/>
        <v>0</v>
      </c>
      <c r="L465" s="82">
        <f t="shared" si="21"/>
        <v>0</v>
      </c>
      <c r="M465" s="82">
        <f>'BOLETIM DE MEDIÇÃO 05'!G122</f>
        <v>629.38</v>
      </c>
      <c r="N465" s="86">
        <f t="shared" si="22"/>
        <v>629.38</v>
      </c>
    </row>
    <row r="466" spans="2:14" ht="56.25" hidden="1" x14ac:dyDescent="0.25">
      <c r="B466" s="50" t="s">
        <v>326</v>
      </c>
      <c r="C466" s="66">
        <v>94273</v>
      </c>
      <c r="D466" s="53" t="s">
        <v>328</v>
      </c>
      <c r="E466" s="44" t="s">
        <v>37</v>
      </c>
      <c r="F466" s="97"/>
      <c r="G466" s="106"/>
      <c r="H466" s="70"/>
      <c r="I466" s="105"/>
      <c r="J466" s="99">
        <f>'BOLETIM DE MEDIÇÃO 05'!O123-'MEMORIAL DE CALCULO 03'!K466</f>
        <v>0</v>
      </c>
      <c r="K466" s="82">
        <f t="shared" si="20"/>
        <v>0</v>
      </c>
      <c r="L466" s="82">
        <f t="shared" si="21"/>
        <v>0</v>
      </c>
      <c r="M466" s="82">
        <f>'BOLETIM DE MEDIÇÃO 05'!G123</f>
        <v>126.37</v>
      </c>
      <c r="N466" s="86">
        <f t="shared" si="22"/>
        <v>126.37</v>
      </c>
    </row>
    <row r="467" spans="2:14" ht="22.5" hidden="1" x14ac:dyDescent="0.25">
      <c r="B467" s="50" t="s">
        <v>329</v>
      </c>
      <c r="C467" s="66">
        <v>368</v>
      </c>
      <c r="D467" s="53" t="s">
        <v>331</v>
      </c>
      <c r="E467" s="44" t="s">
        <v>41</v>
      </c>
      <c r="F467" s="97"/>
      <c r="G467" s="106"/>
      <c r="H467" s="70"/>
      <c r="I467" s="105"/>
      <c r="J467" s="99">
        <f>'BOLETIM DE MEDIÇÃO 05'!O124-'MEMORIAL DE CALCULO 03'!K467</f>
        <v>0</v>
      </c>
      <c r="K467" s="82">
        <f t="shared" si="20"/>
        <v>0</v>
      </c>
      <c r="L467" s="82">
        <f t="shared" si="21"/>
        <v>0</v>
      </c>
      <c r="M467" s="82">
        <f>'BOLETIM DE MEDIÇÃO 05'!G124</f>
        <v>7.46</v>
      </c>
      <c r="N467" s="86">
        <f t="shared" si="22"/>
        <v>7.46</v>
      </c>
    </row>
    <row r="468" spans="2:14" hidden="1" x14ac:dyDescent="0.25">
      <c r="B468" s="50" t="s">
        <v>332</v>
      </c>
      <c r="C468" s="66">
        <v>98504</v>
      </c>
      <c r="D468" s="53" t="s">
        <v>334</v>
      </c>
      <c r="E468" s="44" t="s">
        <v>17</v>
      </c>
      <c r="F468" s="97"/>
      <c r="G468" s="106"/>
      <c r="H468" s="70"/>
      <c r="I468" s="105"/>
      <c r="J468" s="99">
        <f>'BOLETIM DE MEDIÇÃO 05'!O125-'MEMORIAL DE CALCULO 03'!K468</f>
        <v>0</v>
      </c>
      <c r="K468" s="82">
        <f t="shared" si="20"/>
        <v>0</v>
      </c>
      <c r="L468" s="82">
        <f t="shared" si="21"/>
        <v>0</v>
      </c>
      <c r="M468" s="82">
        <f>'BOLETIM DE MEDIÇÃO 05'!G125</f>
        <v>25.6</v>
      </c>
      <c r="N468" s="86">
        <f t="shared" si="22"/>
        <v>25.6</v>
      </c>
    </row>
    <row r="469" spans="2:14" ht="22.5" hidden="1" x14ac:dyDescent="0.25">
      <c r="B469" s="50" t="s">
        <v>335</v>
      </c>
      <c r="C469" s="66">
        <v>103913</v>
      </c>
      <c r="D469" s="53" t="s">
        <v>337</v>
      </c>
      <c r="E469" s="44" t="s">
        <v>17</v>
      </c>
      <c r="F469" s="97"/>
      <c r="G469" s="106"/>
      <c r="H469" s="70"/>
      <c r="I469" s="105"/>
      <c r="J469" s="99">
        <f>'BOLETIM DE MEDIÇÃO 05'!O126-'MEMORIAL DE CALCULO 03'!K469</f>
        <v>0</v>
      </c>
      <c r="K469" s="82">
        <f t="shared" si="20"/>
        <v>0</v>
      </c>
      <c r="L469" s="82">
        <f t="shared" si="21"/>
        <v>0</v>
      </c>
      <c r="M469" s="82">
        <f>'BOLETIM DE MEDIÇÃO 05'!G126</f>
        <v>39.6</v>
      </c>
      <c r="N469" s="86">
        <f t="shared" si="22"/>
        <v>39.6</v>
      </c>
    </row>
    <row r="470" spans="2:14" hidden="1" x14ac:dyDescent="0.25">
      <c r="B470" s="51" t="s">
        <v>338</v>
      </c>
      <c r="C470" s="71" t="s">
        <v>339</v>
      </c>
      <c r="D470" s="53"/>
      <c r="E470" s="44"/>
      <c r="F470" s="97"/>
      <c r="G470" s="106"/>
      <c r="H470" s="70"/>
      <c r="I470" s="105"/>
      <c r="J470" s="99"/>
      <c r="K470" s="82">
        <f t="shared" si="20"/>
        <v>0</v>
      </c>
      <c r="L470" s="82"/>
      <c r="M470" s="82"/>
      <c r="N470" s="86"/>
    </row>
    <row r="471" spans="2:14" ht="45" hidden="1" x14ac:dyDescent="0.25">
      <c r="B471" s="50" t="s">
        <v>340</v>
      </c>
      <c r="C471" s="66">
        <v>94207</v>
      </c>
      <c r="D471" s="53" t="s">
        <v>342</v>
      </c>
      <c r="E471" s="44" t="s">
        <v>17</v>
      </c>
      <c r="F471" s="97"/>
      <c r="G471" s="106"/>
      <c r="H471" s="70"/>
      <c r="I471" s="105"/>
      <c r="J471" s="99">
        <f>'BOLETIM DE MEDIÇÃO 05'!O128-'MEMORIAL DE CALCULO 03'!K471</f>
        <v>0</v>
      </c>
      <c r="K471" s="82">
        <f t="shared" si="20"/>
        <v>0</v>
      </c>
      <c r="L471" s="82">
        <f t="shared" si="21"/>
        <v>0</v>
      </c>
      <c r="M471" s="82">
        <f>'BOLETIM DE MEDIÇÃO 05'!G128</f>
        <v>610.20000000000005</v>
      </c>
      <c r="N471" s="86">
        <f t="shared" si="22"/>
        <v>610.20000000000005</v>
      </c>
    </row>
    <row r="472" spans="2:14" ht="33.75" hidden="1" x14ac:dyDescent="0.25">
      <c r="B472" s="50" t="s">
        <v>343</v>
      </c>
      <c r="C472" s="66">
        <v>98546</v>
      </c>
      <c r="D472" s="53" t="s">
        <v>345</v>
      </c>
      <c r="E472" s="44" t="s">
        <v>17</v>
      </c>
      <c r="F472" s="97"/>
      <c r="G472" s="106"/>
      <c r="H472" s="70"/>
      <c r="I472" s="105"/>
      <c r="J472" s="99">
        <f>'BOLETIM DE MEDIÇÃO 05'!O129-'MEMORIAL DE CALCULO 03'!K472</f>
        <v>0</v>
      </c>
      <c r="K472" s="82">
        <f t="shared" si="20"/>
        <v>0</v>
      </c>
      <c r="L472" s="82">
        <f t="shared" si="21"/>
        <v>0</v>
      </c>
      <c r="M472" s="82">
        <f>'BOLETIM DE MEDIÇÃO 05'!G129</f>
        <v>181.61</v>
      </c>
      <c r="N472" s="86">
        <f t="shared" si="22"/>
        <v>181.61</v>
      </c>
    </row>
    <row r="473" spans="2:14" ht="33.75" hidden="1" x14ac:dyDescent="0.25">
      <c r="B473" s="50" t="s">
        <v>346</v>
      </c>
      <c r="C473" s="66">
        <v>98565</v>
      </c>
      <c r="D473" s="53" t="s">
        <v>348</v>
      </c>
      <c r="E473" s="44" t="s">
        <v>17</v>
      </c>
      <c r="F473" s="97"/>
      <c r="G473" s="106"/>
      <c r="H473" s="70"/>
      <c r="I473" s="105"/>
      <c r="J473" s="99">
        <f>'BOLETIM DE MEDIÇÃO 05'!O130-'MEMORIAL DE CALCULO 03'!K473</f>
        <v>0</v>
      </c>
      <c r="K473" s="82">
        <f t="shared" si="20"/>
        <v>0</v>
      </c>
      <c r="L473" s="82">
        <f t="shared" si="21"/>
        <v>0</v>
      </c>
      <c r="M473" s="82">
        <f>'BOLETIM DE MEDIÇÃO 05'!G130</f>
        <v>181.61</v>
      </c>
      <c r="N473" s="86">
        <f t="shared" si="22"/>
        <v>181.61</v>
      </c>
    </row>
    <row r="474" spans="2:14" ht="45" hidden="1" x14ac:dyDescent="0.25">
      <c r="B474" s="50" t="s">
        <v>349</v>
      </c>
      <c r="C474" s="66">
        <v>100374</v>
      </c>
      <c r="D474" s="53" t="s">
        <v>351</v>
      </c>
      <c r="E474" s="44" t="s">
        <v>166</v>
      </c>
      <c r="F474" s="97"/>
      <c r="G474" s="106"/>
      <c r="H474" s="70"/>
      <c r="I474" s="105"/>
      <c r="J474" s="99">
        <f>'BOLETIM DE MEDIÇÃO 05'!O131-'MEMORIAL DE CALCULO 03'!K474</f>
        <v>0</v>
      </c>
      <c r="K474" s="82">
        <f t="shared" si="20"/>
        <v>0</v>
      </c>
      <c r="L474" s="82">
        <f t="shared" si="21"/>
        <v>0</v>
      </c>
      <c r="M474" s="82">
        <f>'BOLETIM DE MEDIÇÃO 05'!G131</f>
        <v>10</v>
      </c>
      <c r="N474" s="86">
        <f t="shared" si="22"/>
        <v>10</v>
      </c>
    </row>
    <row r="475" spans="2:14" ht="45" hidden="1" x14ac:dyDescent="0.25">
      <c r="B475" s="50" t="s">
        <v>352</v>
      </c>
      <c r="C475" s="66">
        <v>100375</v>
      </c>
      <c r="D475" s="53" t="s">
        <v>354</v>
      </c>
      <c r="E475" s="44" t="s">
        <v>166</v>
      </c>
      <c r="F475" s="97"/>
      <c r="G475" s="106"/>
      <c r="H475" s="70"/>
      <c r="I475" s="105"/>
      <c r="J475" s="99">
        <f>'BOLETIM DE MEDIÇÃO 05'!O132-'MEMORIAL DE CALCULO 03'!K475</f>
        <v>0</v>
      </c>
      <c r="K475" s="82">
        <f t="shared" si="20"/>
        <v>0</v>
      </c>
      <c r="L475" s="82">
        <f t="shared" si="21"/>
        <v>0</v>
      </c>
      <c r="M475" s="82">
        <f>'BOLETIM DE MEDIÇÃO 05'!G132</f>
        <v>10</v>
      </c>
      <c r="N475" s="86">
        <f t="shared" si="22"/>
        <v>10</v>
      </c>
    </row>
    <row r="476" spans="2:14" ht="45" hidden="1" x14ac:dyDescent="0.25">
      <c r="B476" s="50" t="s">
        <v>355</v>
      </c>
      <c r="C476" s="66">
        <v>92544</v>
      </c>
      <c r="D476" s="53" t="s">
        <v>357</v>
      </c>
      <c r="E476" s="44" t="s">
        <v>17</v>
      </c>
      <c r="F476" s="97"/>
      <c r="G476" s="106"/>
      <c r="H476" s="70"/>
      <c r="I476" s="105"/>
      <c r="J476" s="99">
        <f>'BOLETIM DE MEDIÇÃO 05'!O133-'MEMORIAL DE CALCULO 03'!K476</f>
        <v>0</v>
      </c>
      <c r="K476" s="82">
        <f t="shared" si="20"/>
        <v>0</v>
      </c>
      <c r="L476" s="82">
        <f t="shared" si="21"/>
        <v>0</v>
      </c>
      <c r="M476" s="82">
        <f>'BOLETIM DE MEDIÇÃO 05'!G133</f>
        <v>610.20000000000005</v>
      </c>
      <c r="N476" s="86">
        <f t="shared" si="22"/>
        <v>610.20000000000005</v>
      </c>
    </row>
    <row r="477" spans="2:14" ht="33.75" hidden="1" x14ac:dyDescent="0.25">
      <c r="B477" s="50" t="s">
        <v>358</v>
      </c>
      <c r="C477" s="66">
        <v>100435</v>
      </c>
      <c r="D477" s="53" t="s">
        <v>360</v>
      </c>
      <c r="E477" s="44" t="s">
        <v>37</v>
      </c>
      <c r="F477" s="97"/>
      <c r="G477" s="106"/>
      <c r="H477" s="70"/>
      <c r="I477" s="105"/>
      <c r="J477" s="99">
        <f>'BOLETIM DE MEDIÇÃO 05'!O134-'MEMORIAL DE CALCULO 03'!K477</f>
        <v>0</v>
      </c>
      <c r="K477" s="82">
        <f t="shared" si="20"/>
        <v>0</v>
      </c>
      <c r="L477" s="82">
        <f t="shared" si="21"/>
        <v>0</v>
      </c>
      <c r="M477" s="82">
        <f>'BOLETIM DE MEDIÇÃO 05'!G134</f>
        <v>113.1</v>
      </c>
      <c r="N477" s="86">
        <f t="shared" si="22"/>
        <v>113.1</v>
      </c>
    </row>
    <row r="478" spans="2:14" ht="33.75" hidden="1" x14ac:dyDescent="0.25">
      <c r="B478" s="50" t="s">
        <v>361</v>
      </c>
      <c r="C478" s="66">
        <v>94229</v>
      </c>
      <c r="D478" s="53" t="s">
        <v>363</v>
      </c>
      <c r="E478" s="44" t="s">
        <v>37</v>
      </c>
      <c r="F478" s="97"/>
      <c r="G478" s="106"/>
      <c r="H478" s="70"/>
      <c r="I478" s="105"/>
      <c r="J478" s="99">
        <f>'BOLETIM DE MEDIÇÃO 05'!O135-'MEMORIAL DE CALCULO 03'!K478</f>
        <v>0</v>
      </c>
      <c r="K478" s="82">
        <f t="shared" si="20"/>
        <v>0</v>
      </c>
      <c r="L478" s="82">
        <f t="shared" si="21"/>
        <v>0</v>
      </c>
      <c r="M478" s="82">
        <f>'BOLETIM DE MEDIÇÃO 05'!G135</f>
        <v>52.64</v>
      </c>
      <c r="N478" s="86">
        <f t="shared" si="22"/>
        <v>52.64</v>
      </c>
    </row>
    <row r="479" spans="2:14" ht="22.5" hidden="1" x14ac:dyDescent="0.25">
      <c r="B479" s="50" t="s">
        <v>364</v>
      </c>
      <c r="C479" s="66">
        <v>96113</v>
      </c>
      <c r="D479" s="53" t="s">
        <v>366</v>
      </c>
      <c r="E479" s="44" t="s">
        <v>17</v>
      </c>
      <c r="F479" s="97"/>
      <c r="G479" s="106"/>
      <c r="H479" s="70"/>
      <c r="I479" s="105"/>
      <c r="J479" s="99">
        <f>'BOLETIM DE MEDIÇÃO 05'!O136-'MEMORIAL DE CALCULO 03'!K479</f>
        <v>0</v>
      </c>
      <c r="K479" s="82">
        <f t="shared" si="20"/>
        <v>0</v>
      </c>
      <c r="L479" s="82">
        <f t="shared" si="21"/>
        <v>0</v>
      </c>
      <c r="M479" s="82">
        <f>'BOLETIM DE MEDIÇÃO 05'!G136</f>
        <v>634.5</v>
      </c>
      <c r="N479" s="86">
        <f t="shared" si="22"/>
        <v>634.5</v>
      </c>
    </row>
    <row r="480" spans="2:14" ht="14.45" hidden="1" customHeight="1" x14ac:dyDescent="0.25">
      <c r="B480" s="51">
        <v>1.1299999999999999</v>
      </c>
      <c r="C480" s="65" t="s">
        <v>368</v>
      </c>
      <c r="D480" s="53"/>
      <c r="E480" s="44"/>
      <c r="F480" s="97"/>
      <c r="G480" s="106"/>
      <c r="H480" s="70"/>
      <c r="I480" s="105"/>
      <c r="J480" s="99"/>
      <c r="K480" s="82">
        <f t="shared" ref="K480:K515" si="23">(F480*G480*I480)</f>
        <v>0</v>
      </c>
      <c r="L480" s="82"/>
      <c r="M480" s="82"/>
      <c r="N480" s="86"/>
    </row>
    <row r="481" spans="2:14" ht="56.25" hidden="1" x14ac:dyDescent="0.25">
      <c r="B481" s="50" t="s">
        <v>369</v>
      </c>
      <c r="C481" s="66">
        <v>91785</v>
      </c>
      <c r="D481" s="53" t="s">
        <v>371</v>
      </c>
      <c r="E481" s="44" t="s">
        <v>37</v>
      </c>
      <c r="F481" s="97"/>
      <c r="G481" s="106"/>
      <c r="H481" s="69"/>
      <c r="I481" s="105"/>
      <c r="J481" s="99">
        <f>'BOLETIM DE MEDIÇÃO 05'!O138-'MEMORIAL DE CALCULO 03'!K481</f>
        <v>0</v>
      </c>
      <c r="K481" s="82">
        <f t="shared" si="23"/>
        <v>0</v>
      </c>
      <c r="L481" s="82">
        <f t="shared" si="21"/>
        <v>0</v>
      </c>
      <c r="M481" s="82">
        <f>'BOLETIM DE MEDIÇÃO 05'!G138</f>
        <v>98.77</v>
      </c>
      <c r="N481" s="86">
        <f t="shared" si="22"/>
        <v>98.77</v>
      </c>
    </row>
    <row r="482" spans="2:14" ht="56.25" hidden="1" x14ac:dyDescent="0.25">
      <c r="B482" s="50" t="s">
        <v>372</v>
      </c>
      <c r="C482" s="66">
        <v>91784</v>
      </c>
      <c r="D482" s="53" t="s">
        <v>374</v>
      </c>
      <c r="E482" s="44" t="s">
        <v>37</v>
      </c>
      <c r="F482" s="97"/>
      <c r="G482" s="106"/>
      <c r="H482" s="69"/>
      <c r="I482" s="105"/>
      <c r="J482" s="99">
        <f>'BOLETIM DE MEDIÇÃO 05'!O139-'MEMORIAL DE CALCULO 03'!K482</f>
        <v>0</v>
      </c>
      <c r="K482" s="82">
        <f t="shared" si="23"/>
        <v>0</v>
      </c>
      <c r="L482" s="82">
        <f t="shared" si="21"/>
        <v>0</v>
      </c>
      <c r="M482" s="82">
        <f>'BOLETIM DE MEDIÇÃO 05'!G139</f>
        <v>62.17</v>
      </c>
      <c r="N482" s="86">
        <f t="shared" si="22"/>
        <v>62.17</v>
      </c>
    </row>
    <row r="483" spans="2:14" ht="56.25" hidden="1" x14ac:dyDescent="0.25">
      <c r="B483" s="50" t="s">
        <v>375</v>
      </c>
      <c r="C483" s="66">
        <v>91786</v>
      </c>
      <c r="D483" s="53" t="s">
        <v>377</v>
      </c>
      <c r="E483" s="44" t="s">
        <v>37</v>
      </c>
      <c r="F483" s="97"/>
      <c r="G483" s="106"/>
      <c r="H483" s="69"/>
      <c r="I483" s="105"/>
      <c r="J483" s="99">
        <f>'BOLETIM DE MEDIÇÃO 05'!O140-'MEMORIAL DE CALCULO 03'!K483</f>
        <v>0</v>
      </c>
      <c r="K483" s="82">
        <f t="shared" si="23"/>
        <v>0</v>
      </c>
      <c r="L483" s="82">
        <f t="shared" si="21"/>
        <v>0</v>
      </c>
      <c r="M483" s="82">
        <f>'BOLETIM DE MEDIÇÃO 05'!G140</f>
        <v>24.75</v>
      </c>
      <c r="N483" s="86">
        <f t="shared" si="22"/>
        <v>24.75</v>
      </c>
    </row>
    <row r="484" spans="2:14" ht="56.25" hidden="1" x14ac:dyDescent="0.25">
      <c r="B484" s="50" t="s">
        <v>378</v>
      </c>
      <c r="C484" s="66">
        <v>91787</v>
      </c>
      <c r="D484" s="53" t="s">
        <v>380</v>
      </c>
      <c r="E484" s="44" t="s">
        <v>37</v>
      </c>
      <c r="F484" s="97"/>
      <c r="G484" s="106"/>
      <c r="H484" s="69"/>
      <c r="I484" s="105"/>
      <c r="J484" s="99">
        <f>'BOLETIM DE MEDIÇÃO 05'!O141-'MEMORIAL DE CALCULO 03'!K484</f>
        <v>0</v>
      </c>
      <c r="K484" s="82">
        <f t="shared" si="23"/>
        <v>0</v>
      </c>
      <c r="L484" s="82">
        <f t="shared" si="21"/>
        <v>0</v>
      </c>
      <c r="M484" s="82">
        <f>'BOLETIM DE MEDIÇÃO 05'!G141</f>
        <v>25.92</v>
      </c>
      <c r="N484" s="86">
        <f t="shared" si="22"/>
        <v>25.92</v>
      </c>
    </row>
    <row r="485" spans="2:14" ht="33.75" hidden="1" x14ac:dyDescent="0.25">
      <c r="B485" s="50" t="s">
        <v>381</v>
      </c>
      <c r="C485" s="66">
        <v>89987</v>
      </c>
      <c r="D485" s="53" t="s">
        <v>383</v>
      </c>
      <c r="E485" s="44" t="s">
        <v>166</v>
      </c>
      <c r="F485" s="97"/>
      <c r="G485" s="106"/>
      <c r="H485" s="69"/>
      <c r="I485" s="105"/>
      <c r="J485" s="99">
        <f>'BOLETIM DE MEDIÇÃO 05'!O142-'MEMORIAL DE CALCULO 03'!K485</f>
        <v>0</v>
      </c>
      <c r="K485" s="82">
        <f t="shared" si="23"/>
        <v>0</v>
      </c>
      <c r="L485" s="82">
        <f t="shared" si="21"/>
        <v>0</v>
      </c>
      <c r="M485" s="82">
        <f>'BOLETIM DE MEDIÇÃO 05'!G142</f>
        <v>10</v>
      </c>
      <c r="N485" s="86">
        <f t="shared" si="22"/>
        <v>10</v>
      </c>
    </row>
    <row r="486" spans="2:14" ht="22.5" hidden="1" x14ac:dyDescent="0.25">
      <c r="B486" s="50" t="s">
        <v>384</v>
      </c>
      <c r="C486" s="66">
        <v>94490</v>
      </c>
      <c r="D486" s="53" t="s">
        <v>386</v>
      </c>
      <c r="E486" s="44" t="s">
        <v>166</v>
      </c>
      <c r="F486" s="97"/>
      <c r="G486" s="106"/>
      <c r="H486" s="69"/>
      <c r="I486" s="105"/>
      <c r="J486" s="99">
        <f>'BOLETIM DE MEDIÇÃO 05'!O143-'MEMORIAL DE CALCULO 03'!K486</f>
        <v>0</v>
      </c>
      <c r="K486" s="82">
        <f t="shared" si="23"/>
        <v>0</v>
      </c>
      <c r="L486" s="82">
        <f t="shared" ref="L486:L591" si="24">J486+K486</f>
        <v>0</v>
      </c>
      <c r="M486" s="82">
        <f>'BOLETIM DE MEDIÇÃO 05'!G143</f>
        <v>2</v>
      </c>
      <c r="N486" s="86">
        <f t="shared" ref="N486:N591" si="25">M486-L486</f>
        <v>2</v>
      </c>
    </row>
    <row r="487" spans="2:14" ht="33.75" hidden="1" x14ac:dyDescent="0.25">
      <c r="B487" s="50" t="s">
        <v>387</v>
      </c>
      <c r="C487" s="66">
        <v>89985</v>
      </c>
      <c r="D487" s="53" t="s">
        <v>389</v>
      </c>
      <c r="E487" s="44" t="s">
        <v>166</v>
      </c>
      <c r="F487" s="97"/>
      <c r="G487" s="106"/>
      <c r="H487" s="69"/>
      <c r="I487" s="105"/>
      <c r="J487" s="99">
        <f>'BOLETIM DE MEDIÇÃO 05'!O144-'MEMORIAL DE CALCULO 03'!K487</f>
        <v>0</v>
      </c>
      <c r="K487" s="82">
        <f t="shared" si="23"/>
        <v>0</v>
      </c>
      <c r="L487" s="82">
        <f t="shared" si="24"/>
        <v>0</v>
      </c>
      <c r="M487" s="82">
        <f>'BOLETIM DE MEDIÇÃO 05'!G144</f>
        <v>6</v>
      </c>
      <c r="N487" s="86">
        <f t="shared" si="25"/>
        <v>6</v>
      </c>
    </row>
    <row r="488" spans="2:14" ht="33.75" hidden="1" x14ac:dyDescent="0.25">
      <c r="B488" s="50" t="s">
        <v>390</v>
      </c>
      <c r="C488" s="66">
        <v>102613</v>
      </c>
      <c r="D488" s="53" t="s">
        <v>392</v>
      </c>
      <c r="E488" s="44" t="s">
        <v>166</v>
      </c>
      <c r="F488" s="97"/>
      <c r="G488" s="106"/>
      <c r="H488" s="69"/>
      <c r="I488" s="105"/>
      <c r="J488" s="99">
        <f>'BOLETIM DE MEDIÇÃO 05'!O145-'MEMORIAL DE CALCULO 03'!K488</f>
        <v>0</v>
      </c>
      <c r="K488" s="82">
        <f t="shared" si="23"/>
        <v>0</v>
      </c>
      <c r="L488" s="82">
        <f t="shared" si="24"/>
        <v>0</v>
      </c>
      <c r="M488" s="82">
        <f>'BOLETIM DE MEDIÇÃO 05'!G145</f>
        <v>2</v>
      </c>
      <c r="N488" s="86">
        <f t="shared" si="25"/>
        <v>2</v>
      </c>
    </row>
    <row r="489" spans="2:14" ht="22.5" hidden="1" x14ac:dyDescent="0.25">
      <c r="B489" s="50" t="s">
        <v>393</v>
      </c>
      <c r="C489" s="66">
        <v>102609</v>
      </c>
      <c r="D489" s="53" t="s">
        <v>395</v>
      </c>
      <c r="E489" s="44" t="s">
        <v>166</v>
      </c>
      <c r="F489" s="97"/>
      <c r="G489" s="106"/>
      <c r="H489" s="69"/>
      <c r="I489" s="105"/>
      <c r="J489" s="99">
        <f>'BOLETIM DE MEDIÇÃO 05'!O146-'MEMORIAL DE CALCULO 03'!K489</f>
        <v>0</v>
      </c>
      <c r="K489" s="82">
        <f t="shared" si="23"/>
        <v>0</v>
      </c>
      <c r="L489" s="82">
        <f t="shared" si="24"/>
        <v>0</v>
      </c>
      <c r="M489" s="82">
        <f>'BOLETIM DE MEDIÇÃO 05'!G146</f>
        <v>2</v>
      </c>
      <c r="N489" s="86">
        <f t="shared" si="25"/>
        <v>2</v>
      </c>
    </row>
    <row r="490" spans="2:14" ht="22.5" hidden="1" x14ac:dyDescent="0.25">
      <c r="B490" s="50" t="s">
        <v>396</v>
      </c>
      <c r="C490" s="66">
        <v>94796</v>
      </c>
      <c r="D490" s="53" t="s">
        <v>398</v>
      </c>
      <c r="E490" s="44" t="s">
        <v>166</v>
      </c>
      <c r="F490" s="97"/>
      <c r="G490" s="106"/>
      <c r="H490" s="69"/>
      <c r="I490" s="105"/>
      <c r="J490" s="99">
        <f>'BOLETIM DE MEDIÇÃO 05'!O147-'MEMORIAL DE CALCULO 03'!K490</f>
        <v>0</v>
      </c>
      <c r="K490" s="82">
        <f t="shared" si="23"/>
        <v>0</v>
      </c>
      <c r="L490" s="82">
        <f t="shared" si="24"/>
        <v>0</v>
      </c>
      <c r="M490" s="82">
        <f>'BOLETIM DE MEDIÇÃO 05'!G147</f>
        <v>4</v>
      </c>
      <c r="N490" s="86">
        <f t="shared" si="25"/>
        <v>4</v>
      </c>
    </row>
    <row r="491" spans="2:14" ht="22.5" hidden="1" x14ac:dyDescent="0.25">
      <c r="B491" s="50" t="s">
        <v>399</v>
      </c>
      <c r="C491" s="66">
        <v>94491</v>
      </c>
      <c r="D491" s="53" t="s">
        <v>401</v>
      </c>
      <c r="E491" s="44" t="s">
        <v>166</v>
      </c>
      <c r="F491" s="97"/>
      <c r="G491" s="106"/>
      <c r="H491" s="69"/>
      <c r="I491" s="105"/>
      <c r="J491" s="99">
        <f>'BOLETIM DE MEDIÇÃO 05'!O148-'MEMORIAL DE CALCULO 03'!K491</f>
        <v>0</v>
      </c>
      <c r="K491" s="82">
        <f t="shared" si="23"/>
        <v>0</v>
      </c>
      <c r="L491" s="82">
        <f t="shared" si="24"/>
        <v>0</v>
      </c>
      <c r="M491" s="82">
        <f>'BOLETIM DE MEDIÇÃO 05'!G148</f>
        <v>4</v>
      </c>
      <c r="N491" s="86">
        <f t="shared" si="25"/>
        <v>4</v>
      </c>
    </row>
    <row r="492" spans="2:14" ht="22.5" hidden="1" x14ac:dyDescent="0.25">
      <c r="B492" s="50" t="s">
        <v>402</v>
      </c>
      <c r="C492" s="66">
        <v>94492</v>
      </c>
      <c r="D492" s="53" t="s">
        <v>404</v>
      </c>
      <c r="E492" s="44" t="s">
        <v>166</v>
      </c>
      <c r="F492" s="97"/>
      <c r="G492" s="106"/>
      <c r="H492" s="69"/>
      <c r="I492" s="105"/>
      <c r="J492" s="99">
        <f>'BOLETIM DE MEDIÇÃO 05'!O149-'MEMORIAL DE CALCULO 03'!K492</f>
        <v>0</v>
      </c>
      <c r="K492" s="82">
        <f t="shared" si="23"/>
        <v>0</v>
      </c>
      <c r="L492" s="82">
        <f t="shared" si="24"/>
        <v>0</v>
      </c>
      <c r="M492" s="82">
        <f>'BOLETIM DE MEDIÇÃO 05'!G149</f>
        <v>2</v>
      </c>
      <c r="N492" s="86">
        <f t="shared" si="25"/>
        <v>2</v>
      </c>
    </row>
    <row r="493" spans="2:14" ht="22.5" hidden="1" x14ac:dyDescent="0.25">
      <c r="B493" s="50" t="s">
        <v>405</v>
      </c>
      <c r="C493" s="66">
        <v>95675</v>
      </c>
      <c r="D493" s="53" t="s">
        <v>407</v>
      </c>
      <c r="E493" s="44" t="s">
        <v>166</v>
      </c>
      <c r="F493" s="97"/>
      <c r="G493" s="106"/>
      <c r="H493" s="69"/>
      <c r="I493" s="105"/>
      <c r="J493" s="99">
        <f>'BOLETIM DE MEDIÇÃO 05'!O150-'MEMORIAL DE CALCULO 03'!K493</f>
        <v>0</v>
      </c>
      <c r="K493" s="82">
        <f t="shared" si="23"/>
        <v>0</v>
      </c>
      <c r="L493" s="82">
        <f t="shared" si="24"/>
        <v>0</v>
      </c>
      <c r="M493" s="82">
        <f>'BOLETIM DE MEDIÇÃO 05'!G150</f>
        <v>1</v>
      </c>
      <c r="N493" s="86">
        <f t="shared" si="25"/>
        <v>1</v>
      </c>
    </row>
    <row r="494" spans="2:14" ht="45" hidden="1" x14ac:dyDescent="0.25">
      <c r="B494" s="50" t="s">
        <v>408</v>
      </c>
      <c r="C494" s="66">
        <v>97902</v>
      </c>
      <c r="D494" s="53" t="s">
        <v>410</v>
      </c>
      <c r="E494" s="44" t="s">
        <v>166</v>
      </c>
      <c r="F494" s="97"/>
      <c r="G494" s="106"/>
      <c r="H494" s="69"/>
      <c r="I494" s="105"/>
      <c r="J494" s="99">
        <f>'BOLETIM DE MEDIÇÃO 05'!O151-'MEMORIAL DE CALCULO 03'!K494</f>
        <v>0</v>
      </c>
      <c r="K494" s="82">
        <f t="shared" si="23"/>
        <v>0</v>
      </c>
      <c r="L494" s="82">
        <f t="shared" si="24"/>
        <v>0</v>
      </c>
      <c r="M494" s="82">
        <f>'BOLETIM DE MEDIÇÃO 05'!G151</f>
        <v>7</v>
      </c>
      <c r="N494" s="86">
        <f t="shared" si="25"/>
        <v>7</v>
      </c>
    </row>
    <row r="495" spans="2:14" ht="45" hidden="1" x14ac:dyDescent="0.25">
      <c r="B495" s="50" t="s">
        <v>411</v>
      </c>
      <c r="C495" s="66">
        <v>99258</v>
      </c>
      <c r="D495" s="53" t="s">
        <v>413</v>
      </c>
      <c r="E495" s="44" t="s">
        <v>166</v>
      </c>
      <c r="F495" s="97"/>
      <c r="G495" s="106"/>
      <c r="H495" s="69"/>
      <c r="I495" s="105"/>
      <c r="J495" s="99">
        <f>'BOLETIM DE MEDIÇÃO 05'!O152-'MEMORIAL DE CALCULO 03'!K495</f>
        <v>0</v>
      </c>
      <c r="K495" s="82">
        <f t="shared" si="23"/>
        <v>0</v>
      </c>
      <c r="L495" s="82">
        <f t="shared" si="24"/>
        <v>0</v>
      </c>
      <c r="M495" s="82">
        <f>'BOLETIM DE MEDIÇÃO 05'!G152</f>
        <v>1</v>
      </c>
      <c r="N495" s="86">
        <f t="shared" si="25"/>
        <v>1</v>
      </c>
    </row>
    <row r="496" spans="2:14" ht="33.75" hidden="1" x14ac:dyDescent="0.25">
      <c r="B496" s="50" t="s">
        <v>414</v>
      </c>
      <c r="C496" s="66">
        <v>89482</v>
      </c>
      <c r="D496" s="53" t="s">
        <v>416</v>
      </c>
      <c r="E496" s="44" t="s">
        <v>166</v>
      </c>
      <c r="F496" s="97"/>
      <c r="G496" s="106"/>
      <c r="H496" s="69"/>
      <c r="I496" s="105"/>
      <c r="J496" s="99">
        <f>'BOLETIM DE MEDIÇÃO 05'!O153-'MEMORIAL DE CALCULO 03'!K496</f>
        <v>0</v>
      </c>
      <c r="K496" s="82">
        <f t="shared" si="23"/>
        <v>0</v>
      </c>
      <c r="L496" s="82">
        <f t="shared" si="24"/>
        <v>0</v>
      </c>
      <c r="M496" s="82">
        <f>'BOLETIM DE MEDIÇÃO 05'!G153</f>
        <v>10</v>
      </c>
      <c r="N496" s="86">
        <f t="shared" si="25"/>
        <v>10</v>
      </c>
    </row>
    <row r="497" spans="2:14" ht="56.25" hidden="1" x14ac:dyDescent="0.25">
      <c r="B497" s="50" t="s">
        <v>417</v>
      </c>
      <c r="C497" s="66">
        <v>91792</v>
      </c>
      <c r="D497" s="53" t="s">
        <v>419</v>
      </c>
      <c r="E497" s="44" t="s">
        <v>37</v>
      </c>
      <c r="F497" s="97"/>
      <c r="G497" s="106"/>
      <c r="H497" s="69"/>
      <c r="I497" s="105"/>
      <c r="J497" s="99">
        <f>'BOLETIM DE MEDIÇÃO 05'!O154-'MEMORIAL DE CALCULO 03'!K497</f>
        <v>0</v>
      </c>
      <c r="K497" s="82">
        <f t="shared" si="23"/>
        <v>0</v>
      </c>
      <c r="L497" s="82">
        <f t="shared" si="24"/>
        <v>0</v>
      </c>
      <c r="M497" s="82">
        <f>'BOLETIM DE MEDIÇÃO 05'!G154</f>
        <v>38.85</v>
      </c>
      <c r="N497" s="86">
        <f t="shared" si="25"/>
        <v>38.85</v>
      </c>
    </row>
    <row r="498" spans="2:14" ht="56.25" hidden="1" x14ac:dyDescent="0.25">
      <c r="B498" s="50" t="s">
        <v>420</v>
      </c>
      <c r="C498" s="66">
        <v>91793</v>
      </c>
      <c r="D498" s="53" t="s">
        <v>422</v>
      </c>
      <c r="E498" s="44" t="s">
        <v>37</v>
      </c>
      <c r="F498" s="97"/>
      <c r="G498" s="106"/>
      <c r="H498" s="69"/>
      <c r="I498" s="105"/>
      <c r="J498" s="99">
        <f>'BOLETIM DE MEDIÇÃO 05'!O155-'MEMORIAL DE CALCULO 03'!K498</f>
        <v>0</v>
      </c>
      <c r="K498" s="82">
        <f t="shared" si="23"/>
        <v>0</v>
      </c>
      <c r="L498" s="82">
        <f t="shared" si="24"/>
        <v>0</v>
      </c>
      <c r="M498" s="82">
        <f>'BOLETIM DE MEDIÇÃO 05'!G155</f>
        <v>46.51</v>
      </c>
      <c r="N498" s="86">
        <f t="shared" si="25"/>
        <v>46.51</v>
      </c>
    </row>
    <row r="499" spans="2:14" ht="45" hidden="1" x14ac:dyDescent="0.25">
      <c r="B499" s="50" t="s">
        <v>423</v>
      </c>
      <c r="C499" s="66">
        <v>98107</v>
      </c>
      <c r="D499" s="53" t="s">
        <v>425</v>
      </c>
      <c r="E499" s="44" t="s">
        <v>166</v>
      </c>
      <c r="F499" s="97"/>
      <c r="G499" s="106"/>
      <c r="H499" s="69"/>
      <c r="I499" s="105"/>
      <c r="J499" s="99">
        <f>'BOLETIM DE MEDIÇÃO 05'!O156-'MEMORIAL DE CALCULO 03'!K499</f>
        <v>0</v>
      </c>
      <c r="K499" s="82">
        <f t="shared" si="23"/>
        <v>0</v>
      </c>
      <c r="L499" s="82">
        <f t="shared" si="24"/>
        <v>0</v>
      </c>
      <c r="M499" s="82">
        <f>'BOLETIM DE MEDIÇÃO 05'!G156</f>
        <v>1</v>
      </c>
      <c r="N499" s="86">
        <f t="shared" si="25"/>
        <v>1</v>
      </c>
    </row>
    <row r="500" spans="2:14" ht="56.25" hidden="1" x14ac:dyDescent="0.25">
      <c r="B500" s="50" t="s">
        <v>426</v>
      </c>
      <c r="C500" s="66">
        <v>91795</v>
      </c>
      <c r="D500" s="53" t="s">
        <v>428</v>
      </c>
      <c r="E500" s="44" t="s">
        <v>37</v>
      </c>
      <c r="F500" s="97"/>
      <c r="G500" s="106"/>
      <c r="H500" s="69"/>
      <c r="I500" s="105"/>
      <c r="J500" s="99">
        <f>'BOLETIM DE MEDIÇÃO 05'!O157-'MEMORIAL DE CALCULO 03'!K500</f>
        <v>0</v>
      </c>
      <c r="K500" s="82">
        <f t="shared" si="23"/>
        <v>0</v>
      </c>
      <c r="L500" s="82">
        <f t="shared" si="24"/>
        <v>0</v>
      </c>
      <c r="M500" s="82">
        <f>'BOLETIM DE MEDIÇÃO 05'!G157</f>
        <v>132.77000000000001</v>
      </c>
      <c r="N500" s="86">
        <f t="shared" si="25"/>
        <v>132.77000000000001</v>
      </c>
    </row>
    <row r="501" spans="2:14" ht="45" hidden="1" x14ac:dyDescent="0.25">
      <c r="B501" s="50" t="s">
        <v>429</v>
      </c>
      <c r="C501" s="68">
        <v>99251</v>
      </c>
      <c r="D501" s="67" t="s">
        <v>431</v>
      </c>
      <c r="E501" s="44" t="s">
        <v>166</v>
      </c>
      <c r="F501" s="97"/>
      <c r="G501" s="106"/>
      <c r="H501" s="69"/>
      <c r="I501" s="105"/>
      <c r="J501" s="99">
        <f>'BOLETIM DE MEDIÇÃO 05'!O158-'MEMORIAL DE CALCULO 03'!K501</f>
        <v>0</v>
      </c>
      <c r="K501" s="82">
        <f t="shared" si="23"/>
        <v>0</v>
      </c>
      <c r="L501" s="82">
        <f t="shared" si="24"/>
        <v>0</v>
      </c>
      <c r="M501" s="82">
        <f>'BOLETIM DE MEDIÇÃO 05'!G158</f>
        <v>2</v>
      </c>
      <c r="N501" s="86">
        <f t="shared" si="25"/>
        <v>2</v>
      </c>
    </row>
    <row r="502" spans="2:14" ht="56.25" hidden="1" x14ac:dyDescent="0.25">
      <c r="B502" s="50" t="s">
        <v>432</v>
      </c>
      <c r="C502" s="68">
        <v>91790</v>
      </c>
      <c r="D502" s="67" t="s">
        <v>434</v>
      </c>
      <c r="E502" s="44" t="s">
        <v>37</v>
      </c>
      <c r="F502" s="97"/>
      <c r="G502" s="106"/>
      <c r="H502" s="69"/>
      <c r="I502" s="105"/>
      <c r="J502" s="99">
        <f>'BOLETIM DE MEDIÇÃO 05'!O159-'MEMORIAL DE CALCULO 03'!K502</f>
        <v>0</v>
      </c>
      <c r="K502" s="82">
        <f t="shared" si="23"/>
        <v>0</v>
      </c>
      <c r="L502" s="82">
        <f t="shared" si="24"/>
        <v>0</v>
      </c>
      <c r="M502" s="82">
        <f>'BOLETIM DE MEDIÇÃO 05'!G159</f>
        <v>43.01</v>
      </c>
      <c r="N502" s="86">
        <f t="shared" si="25"/>
        <v>43.01</v>
      </c>
    </row>
    <row r="503" spans="2:14" ht="14.45" hidden="1" customHeight="1" x14ac:dyDescent="0.25">
      <c r="B503" s="51">
        <v>1.1399999999999999</v>
      </c>
      <c r="C503" s="65" t="s">
        <v>436</v>
      </c>
      <c r="D503" s="53"/>
      <c r="E503" s="44"/>
      <c r="F503" s="95"/>
      <c r="G503" s="106"/>
      <c r="H503" s="70"/>
      <c r="I503" s="105"/>
      <c r="J503" s="99"/>
      <c r="K503" s="82">
        <f t="shared" si="23"/>
        <v>0</v>
      </c>
      <c r="L503" s="82"/>
      <c r="M503" s="82"/>
      <c r="N503" s="86"/>
    </row>
    <row r="504" spans="2:14" ht="22.5" hidden="1" x14ac:dyDescent="0.25">
      <c r="B504" s="50" t="s">
        <v>437</v>
      </c>
      <c r="C504" s="59" t="s">
        <v>438</v>
      </c>
      <c r="D504" s="53" t="s">
        <v>439</v>
      </c>
      <c r="E504" s="44" t="s">
        <v>17</v>
      </c>
      <c r="F504" s="95"/>
      <c r="G504" s="106"/>
      <c r="H504" s="70"/>
      <c r="I504" s="105"/>
      <c r="J504" s="99">
        <f>'BOLETIM DE MEDIÇÃO 05'!O161-'MEMORIAL DE CALCULO 03'!K504</f>
        <v>0</v>
      </c>
      <c r="K504" s="82">
        <f t="shared" si="23"/>
        <v>0</v>
      </c>
      <c r="L504" s="82">
        <f t="shared" si="24"/>
        <v>0</v>
      </c>
      <c r="M504" s="82">
        <f>'BOLETIM DE MEDIÇÃO 05'!G161</f>
        <v>14.07</v>
      </c>
      <c r="N504" s="86">
        <f t="shared" si="25"/>
        <v>14.07</v>
      </c>
    </row>
    <row r="505" spans="2:14" ht="33.75" hidden="1" x14ac:dyDescent="0.25">
      <c r="B505" s="50" t="s">
        <v>440</v>
      </c>
      <c r="C505" s="68">
        <v>86906</v>
      </c>
      <c r="D505" s="67" t="s">
        <v>442</v>
      </c>
      <c r="E505" s="44" t="s">
        <v>166</v>
      </c>
      <c r="F505" s="128"/>
      <c r="G505" s="106"/>
      <c r="H505" s="44"/>
      <c r="I505" s="105"/>
      <c r="J505" s="99">
        <f>'BOLETIM DE MEDIÇÃO 05'!O162-'MEMORIAL DE CALCULO 03'!K505</f>
        <v>0</v>
      </c>
      <c r="K505" s="82">
        <f t="shared" si="23"/>
        <v>0</v>
      </c>
      <c r="L505" s="82">
        <f t="shared" si="24"/>
        <v>0</v>
      </c>
      <c r="M505" s="82">
        <f>'BOLETIM DE MEDIÇÃO 05'!G162</f>
        <v>10</v>
      </c>
      <c r="N505" s="86">
        <f t="shared" si="25"/>
        <v>10</v>
      </c>
    </row>
    <row r="506" spans="2:14" ht="33.75" hidden="1" x14ac:dyDescent="0.25">
      <c r="B506" s="50" t="s">
        <v>443</v>
      </c>
      <c r="C506" s="66">
        <v>86911</v>
      </c>
      <c r="D506" s="53" t="s">
        <v>445</v>
      </c>
      <c r="E506" s="44" t="s">
        <v>166</v>
      </c>
      <c r="F506" s="95"/>
      <c r="G506" s="106"/>
      <c r="H506" s="70"/>
      <c r="I506" s="105"/>
      <c r="J506" s="99">
        <f>'BOLETIM DE MEDIÇÃO 05'!O163-'MEMORIAL DE CALCULO 03'!K506</f>
        <v>0</v>
      </c>
      <c r="K506" s="82">
        <f t="shared" si="23"/>
        <v>0</v>
      </c>
      <c r="L506" s="82">
        <f t="shared" si="24"/>
        <v>0</v>
      </c>
      <c r="M506" s="82">
        <f>'BOLETIM DE MEDIÇÃO 05'!G163</f>
        <v>3</v>
      </c>
      <c r="N506" s="86">
        <f t="shared" si="25"/>
        <v>3</v>
      </c>
    </row>
    <row r="507" spans="2:14" ht="33.75" hidden="1" x14ac:dyDescent="0.25">
      <c r="B507" s="50" t="s">
        <v>446</v>
      </c>
      <c r="C507" s="66">
        <v>10428</v>
      </c>
      <c r="D507" s="53" t="s">
        <v>448</v>
      </c>
      <c r="E507" s="44" t="s">
        <v>166</v>
      </c>
      <c r="F507" s="95"/>
      <c r="G507" s="106"/>
      <c r="H507" s="70"/>
      <c r="I507" s="105"/>
      <c r="J507" s="99">
        <f>'BOLETIM DE MEDIÇÃO 05'!O164-'MEMORIAL DE CALCULO 03'!K507</f>
        <v>0</v>
      </c>
      <c r="K507" s="82">
        <f t="shared" si="23"/>
        <v>0</v>
      </c>
      <c r="L507" s="82">
        <f t="shared" si="24"/>
        <v>0</v>
      </c>
      <c r="M507" s="82">
        <f>'BOLETIM DE MEDIÇÃO 05'!G164</f>
        <v>8</v>
      </c>
      <c r="N507" s="86">
        <f t="shared" si="25"/>
        <v>8</v>
      </c>
    </row>
    <row r="508" spans="2:14" ht="45" hidden="1" x14ac:dyDescent="0.25">
      <c r="B508" s="50" t="s">
        <v>449</v>
      </c>
      <c r="C508" s="66">
        <v>86932</v>
      </c>
      <c r="D508" s="53" t="s">
        <v>451</v>
      </c>
      <c r="E508" s="44" t="s">
        <v>166</v>
      </c>
      <c r="F508" s="95"/>
      <c r="G508" s="106"/>
      <c r="H508" s="70"/>
      <c r="I508" s="105"/>
      <c r="J508" s="99">
        <f>'BOLETIM DE MEDIÇÃO 05'!O165-'MEMORIAL DE CALCULO 03'!K508</f>
        <v>0</v>
      </c>
      <c r="K508" s="82">
        <f t="shared" si="23"/>
        <v>0</v>
      </c>
      <c r="L508" s="82">
        <f t="shared" si="24"/>
        <v>0</v>
      </c>
      <c r="M508" s="82">
        <f>'BOLETIM DE MEDIÇÃO 05'!G165</f>
        <v>9</v>
      </c>
      <c r="N508" s="86">
        <f t="shared" si="25"/>
        <v>9</v>
      </c>
    </row>
    <row r="509" spans="2:14" ht="45" hidden="1" x14ac:dyDescent="0.25">
      <c r="B509" s="50" t="s">
        <v>452</v>
      </c>
      <c r="C509" s="66">
        <v>86935</v>
      </c>
      <c r="D509" s="53" t="s">
        <v>454</v>
      </c>
      <c r="E509" s="44" t="s">
        <v>166</v>
      </c>
      <c r="F509" s="95"/>
      <c r="G509" s="106"/>
      <c r="H509" s="70"/>
      <c r="I509" s="105"/>
      <c r="J509" s="99">
        <f>'BOLETIM DE MEDIÇÃO 05'!O166-'MEMORIAL DE CALCULO 03'!K509</f>
        <v>0</v>
      </c>
      <c r="K509" s="82">
        <f t="shared" si="23"/>
        <v>0</v>
      </c>
      <c r="L509" s="82">
        <f t="shared" si="24"/>
        <v>0</v>
      </c>
      <c r="M509" s="82">
        <f>'BOLETIM DE MEDIÇÃO 05'!G166</f>
        <v>2</v>
      </c>
      <c r="N509" s="86">
        <f t="shared" si="25"/>
        <v>2</v>
      </c>
    </row>
    <row r="510" spans="2:14" ht="33.75" hidden="1" x14ac:dyDescent="0.25">
      <c r="B510" s="50" t="s">
        <v>455</v>
      </c>
      <c r="C510" s="66">
        <v>100868</v>
      </c>
      <c r="D510" s="53" t="s">
        <v>457</v>
      </c>
      <c r="E510" s="44" t="s">
        <v>166</v>
      </c>
      <c r="F510" s="95"/>
      <c r="G510" s="106"/>
      <c r="H510" s="70"/>
      <c r="I510" s="105"/>
      <c r="J510" s="99">
        <f>'BOLETIM DE MEDIÇÃO 05'!O167-'MEMORIAL DE CALCULO 03'!K510</f>
        <v>0</v>
      </c>
      <c r="K510" s="82">
        <f t="shared" si="23"/>
        <v>0</v>
      </c>
      <c r="L510" s="82">
        <f t="shared" si="24"/>
        <v>0</v>
      </c>
      <c r="M510" s="82">
        <f>'BOLETIM DE MEDIÇÃO 05'!G167</f>
        <v>2</v>
      </c>
      <c r="N510" s="86">
        <f t="shared" si="25"/>
        <v>2</v>
      </c>
    </row>
    <row r="511" spans="2:14" ht="56.25" hidden="1" x14ac:dyDescent="0.25">
      <c r="B511" s="50" t="s">
        <v>458</v>
      </c>
      <c r="C511" s="66">
        <v>86942</v>
      </c>
      <c r="D511" s="53" t="s">
        <v>460</v>
      </c>
      <c r="E511" s="44" t="s">
        <v>166</v>
      </c>
      <c r="F511" s="95"/>
      <c r="G511" s="106"/>
      <c r="H511" s="70"/>
      <c r="I511" s="105"/>
      <c r="J511" s="99">
        <f>'BOLETIM DE MEDIÇÃO 05'!O168-'MEMORIAL DE CALCULO 03'!K511</f>
        <v>0</v>
      </c>
      <c r="K511" s="82">
        <f t="shared" si="23"/>
        <v>0</v>
      </c>
      <c r="L511" s="82">
        <f t="shared" si="24"/>
        <v>0</v>
      </c>
      <c r="M511" s="82">
        <f>'BOLETIM DE MEDIÇÃO 05'!G168</f>
        <v>1</v>
      </c>
      <c r="N511" s="86">
        <f t="shared" si="25"/>
        <v>1</v>
      </c>
    </row>
    <row r="512" spans="2:14" ht="56.25" hidden="1" x14ac:dyDescent="0.25">
      <c r="B512" s="50" t="s">
        <v>461</v>
      </c>
      <c r="C512" s="66">
        <v>86923</v>
      </c>
      <c r="D512" s="53" t="s">
        <v>463</v>
      </c>
      <c r="E512" s="44" t="s">
        <v>166</v>
      </c>
      <c r="F512" s="95"/>
      <c r="G512" s="106"/>
      <c r="H512" s="70"/>
      <c r="I512" s="105"/>
      <c r="J512" s="99">
        <f>'BOLETIM DE MEDIÇÃO 05'!O169-'MEMORIAL DE CALCULO 03'!K512</f>
        <v>0</v>
      </c>
      <c r="K512" s="82">
        <f t="shared" si="23"/>
        <v>0</v>
      </c>
      <c r="L512" s="82">
        <f t="shared" si="24"/>
        <v>0</v>
      </c>
      <c r="M512" s="82">
        <f>'BOLETIM DE MEDIÇÃO 05'!G169</f>
        <v>1</v>
      </c>
      <c r="N512" s="86">
        <f t="shared" si="25"/>
        <v>1</v>
      </c>
    </row>
    <row r="513" spans="2:14" ht="45" hidden="1" x14ac:dyDescent="0.25">
      <c r="B513" s="50" t="s">
        <v>464</v>
      </c>
      <c r="C513" s="66">
        <v>95472</v>
      </c>
      <c r="D513" s="53" t="s">
        <v>466</v>
      </c>
      <c r="E513" s="44" t="s">
        <v>166</v>
      </c>
      <c r="F513" s="95"/>
      <c r="G513" s="106"/>
      <c r="H513" s="70"/>
      <c r="I513" s="105"/>
      <c r="J513" s="99">
        <f>'BOLETIM DE MEDIÇÃO 05'!O170-'MEMORIAL DE CALCULO 03'!K513</f>
        <v>0</v>
      </c>
      <c r="K513" s="82">
        <f t="shared" si="23"/>
        <v>0</v>
      </c>
      <c r="L513" s="82">
        <f t="shared" si="24"/>
        <v>0</v>
      </c>
      <c r="M513" s="82">
        <f>'BOLETIM DE MEDIÇÃO 05'!G170</f>
        <v>1</v>
      </c>
      <c r="N513" s="86">
        <f t="shared" si="25"/>
        <v>1</v>
      </c>
    </row>
    <row r="514" spans="2:14" ht="33.75" hidden="1" x14ac:dyDescent="0.25">
      <c r="B514" s="50" t="s">
        <v>467</v>
      </c>
      <c r="C514" s="66">
        <v>102253</v>
      </c>
      <c r="D514" s="53" t="s">
        <v>469</v>
      </c>
      <c r="E514" s="44" t="s">
        <v>17</v>
      </c>
      <c r="F514" s="95"/>
      <c r="G514" s="106"/>
      <c r="H514" s="70"/>
      <c r="I514" s="105"/>
      <c r="J514" s="99">
        <f>'BOLETIM DE MEDIÇÃO 05'!O171-'MEMORIAL DE CALCULO 03'!K514</f>
        <v>0</v>
      </c>
      <c r="K514" s="82">
        <f t="shared" si="23"/>
        <v>0</v>
      </c>
      <c r="L514" s="82">
        <f t="shared" si="24"/>
        <v>0</v>
      </c>
      <c r="M514" s="82">
        <f>'BOLETIM DE MEDIÇÃO 05'!G171</f>
        <v>33.92</v>
      </c>
      <c r="N514" s="86">
        <f t="shared" si="25"/>
        <v>33.92</v>
      </c>
    </row>
    <row r="515" spans="2:14" ht="22.5" hidden="1" x14ac:dyDescent="0.25">
      <c r="B515" s="50" t="s">
        <v>470</v>
      </c>
      <c r="C515" s="66">
        <v>100860</v>
      </c>
      <c r="D515" s="53" t="s">
        <v>472</v>
      </c>
      <c r="E515" s="44" t="s">
        <v>166</v>
      </c>
      <c r="F515" s="95"/>
      <c r="G515" s="106"/>
      <c r="H515" s="70"/>
      <c r="I515" s="105"/>
      <c r="J515" s="99">
        <f>'BOLETIM DE MEDIÇÃO 05'!O172-'MEMORIAL DE CALCULO 03'!K515</f>
        <v>0</v>
      </c>
      <c r="K515" s="82">
        <f t="shared" si="23"/>
        <v>0</v>
      </c>
      <c r="L515" s="82">
        <f t="shared" si="24"/>
        <v>0</v>
      </c>
      <c r="M515" s="82">
        <f>'BOLETIM DE MEDIÇÃO 05'!G172</f>
        <v>4</v>
      </c>
      <c r="N515" s="86">
        <f t="shared" si="25"/>
        <v>4</v>
      </c>
    </row>
    <row r="516" spans="2:14" ht="14.45" customHeight="1" x14ac:dyDescent="0.25">
      <c r="B516" s="51">
        <v>1.1499999999999999</v>
      </c>
      <c r="C516" s="65" t="s">
        <v>474</v>
      </c>
      <c r="D516" s="53"/>
      <c r="E516" s="44"/>
      <c r="F516" s="95"/>
      <c r="G516" s="468"/>
      <c r="H516" s="469"/>
      <c r="I516" s="470"/>
      <c r="J516" s="99"/>
      <c r="K516" s="81"/>
      <c r="L516" s="82"/>
      <c r="M516" s="82"/>
      <c r="N516" s="86"/>
    </row>
    <row r="517" spans="2:14" ht="33.75" hidden="1" x14ac:dyDescent="0.25">
      <c r="B517" s="50" t="s">
        <v>475</v>
      </c>
      <c r="C517" s="66">
        <v>99059</v>
      </c>
      <c r="D517" s="53" t="s">
        <v>36</v>
      </c>
      <c r="E517" s="44" t="s">
        <v>37</v>
      </c>
      <c r="F517" s="95">
        <v>1</v>
      </c>
      <c r="G517" s="106">
        <v>130.85</v>
      </c>
      <c r="H517" s="70"/>
      <c r="I517" s="105"/>
      <c r="J517" s="99">
        <f>'BOLETIM DE MEDIÇÃO 05'!O174-'MEMORIAL DE CALCULO 03'!K517</f>
        <v>0</v>
      </c>
      <c r="K517" s="81">
        <f>F517*G517</f>
        <v>130.85</v>
      </c>
      <c r="L517" s="82">
        <f t="shared" si="24"/>
        <v>130.85</v>
      </c>
      <c r="M517" s="82">
        <f>'BOLETIM DE MEDIÇÃO 05'!G174</f>
        <v>130.85</v>
      </c>
      <c r="N517" s="86">
        <f t="shared" si="25"/>
        <v>0</v>
      </c>
    </row>
    <row r="518" spans="2:14" ht="22.5" hidden="1" x14ac:dyDescent="0.25">
      <c r="B518" s="50" t="s">
        <v>476</v>
      </c>
      <c r="C518" s="66">
        <v>93358</v>
      </c>
      <c r="D518" s="53" t="s">
        <v>40</v>
      </c>
      <c r="E518" s="44" t="s">
        <v>41</v>
      </c>
      <c r="F518" s="95"/>
      <c r="G518" s="106"/>
      <c r="H518" s="70"/>
      <c r="I518" s="105"/>
      <c r="J518" s="99">
        <f>'BOLETIM DE MEDIÇÃO 05'!O175-'MEMORIAL DE CALCULO 03'!K518</f>
        <v>3.9520000000052846E-3</v>
      </c>
      <c r="K518" s="81">
        <f>SUM(K519:K520)</f>
        <v>32.676047999999994</v>
      </c>
      <c r="L518" s="82">
        <f t="shared" si="24"/>
        <v>32.68</v>
      </c>
      <c r="M518" s="82">
        <f>'BOLETIM DE MEDIÇÃO 05'!G175</f>
        <v>32.68</v>
      </c>
      <c r="N518" s="86">
        <f t="shared" si="25"/>
        <v>0</v>
      </c>
    </row>
    <row r="519" spans="2:14" hidden="1" x14ac:dyDescent="0.25">
      <c r="B519" s="50"/>
      <c r="C519" s="66"/>
      <c r="D519" s="118" t="s">
        <v>577</v>
      </c>
      <c r="E519" s="44"/>
      <c r="F519" s="95">
        <v>43</v>
      </c>
      <c r="G519" s="106">
        <v>0.6</v>
      </c>
      <c r="H519" s="70">
        <v>0.6</v>
      </c>
      <c r="I519" s="105">
        <v>1.3501000000000001</v>
      </c>
      <c r="J519" s="99"/>
      <c r="K519" s="82">
        <f>F519*(G519*H519*I519)</f>
        <v>20.899547999999999</v>
      </c>
      <c r="L519" s="82"/>
      <c r="M519" s="82"/>
      <c r="N519" s="86"/>
    </row>
    <row r="520" spans="2:14" hidden="1" x14ac:dyDescent="0.25">
      <c r="B520" s="50"/>
      <c r="C520" s="66"/>
      <c r="D520" s="118" t="s">
        <v>578</v>
      </c>
      <c r="E520" s="44"/>
      <c r="F520" s="95">
        <v>1</v>
      </c>
      <c r="G520" s="106">
        <v>130.85</v>
      </c>
      <c r="H520" s="70">
        <v>0.3</v>
      </c>
      <c r="I520" s="105">
        <v>0.3</v>
      </c>
      <c r="J520" s="99"/>
      <c r="K520" s="82">
        <f>F520*(G520*H520*I520)</f>
        <v>11.776499999999999</v>
      </c>
      <c r="L520" s="82"/>
      <c r="M520" s="82"/>
      <c r="N520" s="86"/>
    </row>
    <row r="521" spans="2:14" hidden="1" x14ac:dyDescent="0.25">
      <c r="B521" s="50" t="s">
        <v>477</v>
      </c>
      <c r="C521" s="66">
        <v>96995</v>
      </c>
      <c r="D521" s="53" t="s">
        <v>44</v>
      </c>
      <c r="E521" s="44" t="s">
        <v>41</v>
      </c>
      <c r="F521" s="95"/>
      <c r="G521" s="106"/>
      <c r="H521" s="70"/>
      <c r="I521" s="105"/>
      <c r="J521" s="99">
        <f>'BOLETIM DE MEDIÇÃO 05'!O176-'MEMORIAL DE CALCULO 03'!K521</f>
        <v>0</v>
      </c>
      <c r="K521" s="81">
        <f>G522</f>
        <v>11.01</v>
      </c>
      <c r="L521" s="82">
        <f t="shared" si="24"/>
        <v>11.01</v>
      </c>
      <c r="M521" s="82">
        <f>'BOLETIM DE MEDIÇÃO 05'!G176</f>
        <v>11.01</v>
      </c>
      <c r="N521" s="86">
        <f t="shared" si="25"/>
        <v>0</v>
      </c>
    </row>
    <row r="522" spans="2:14" hidden="1" x14ac:dyDescent="0.25">
      <c r="B522" s="50"/>
      <c r="C522" s="66"/>
      <c r="D522" s="118" t="s">
        <v>708</v>
      </c>
      <c r="E522" s="44"/>
      <c r="F522" s="95">
        <v>1</v>
      </c>
      <c r="G522" s="468">
        <v>11.01</v>
      </c>
      <c r="H522" s="469"/>
      <c r="I522" s="470"/>
      <c r="J522" s="99"/>
      <c r="K522" s="81"/>
      <c r="L522" s="82"/>
      <c r="M522" s="82"/>
      <c r="N522" s="86"/>
    </row>
    <row r="523" spans="2:14" hidden="1" x14ac:dyDescent="0.25">
      <c r="B523" s="50"/>
      <c r="C523" s="66"/>
      <c r="D523" s="118"/>
      <c r="E523" s="44"/>
      <c r="F523" s="95"/>
      <c r="G523" s="106"/>
      <c r="H523" s="70"/>
      <c r="I523" s="105"/>
      <c r="J523" s="99"/>
      <c r="K523" s="81"/>
      <c r="L523" s="82"/>
      <c r="M523" s="82"/>
      <c r="N523" s="86"/>
    </row>
    <row r="524" spans="2:14" ht="22.5" x14ac:dyDescent="0.25">
      <c r="B524" s="50" t="s">
        <v>478</v>
      </c>
      <c r="C524" s="166">
        <v>93205</v>
      </c>
      <c r="D524" s="53" t="s">
        <v>480</v>
      </c>
      <c r="E524" s="44" t="s">
        <v>37</v>
      </c>
      <c r="F524" s="95"/>
      <c r="G524" s="468"/>
      <c r="H524" s="469"/>
      <c r="I524" s="470"/>
      <c r="J524" s="99">
        <v>0</v>
      </c>
      <c r="K524" s="81">
        <f>G525*F525</f>
        <v>67.27</v>
      </c>
      <c r="L524" s="82">
        <f t="shared" si="24"/>
        <v>67.27</v>
      </c>
      <c r="M524" s="82">
        <f>'BOLETIM DE MEDIÇÃO 05'!G177</f>
        <v>244.5</v>
      </c>
      <c r="N524" s="86">
        <f t="shared" si="25"/>
        <v>177.23000000000002</v>
      </c>
    </row>
    <row r="525" spans="2:14" x14ac:dyDescent="0.25">
      <c r="B525" s="50"/>
      <c r="C525" s="166"/>
      <c r="D525" s="187" t="s">
        <v>785</v>
      </c>
      <c r="E525" s="44"/>
      <c r="F525" s="95">
        <v>1</v>
      </c>
      <c r="G525" s="468">
        <v>67.27</v>
      </c>
      <c r="H525" s="469"/>
      <c r="I525" s="470"/>
      <c r="J525" s="99"/>
      <c r="K525" s="81"/>
      <c r="L525" s="82"/>
      <c r="M525" s="82"/>
      <c r="N525" s="86"/>
    </row>
    <row r="526" spans="2:14" ht="22.5" hidden="1" x14ac:dyDescent="0.25">
      <c r="B526" s="50" t="s">
        <v>481</v>
      </c>
      <c r="C526" s="166">
        <v>101616</v>
      </c>
      <c r="D526" s="53" t="s">
        <v>55</v>
      </c>
      <c r="E526" s="44" t="s">
        <v>17</v>
      </c>
      <c r="F526" s="95">
        <v>8</v>
      </c>
      <c r="G526" s="106">
        <v>0.6</v>
      </c>
      <c r="H526" s="70">
        <v>0.6</v>
      </c>
      <c r="I526" s="105"/>
      <c r="J526" s="99">
        <f>'BOLETIM DE MEDIÇÃO 05'!O178-'MEMORIAL DE CALCULO 03'!K526</f>
        <v>12.600000000000001</v>
      </c>
      <c r="K526" s="81">
        <f>(F526*G526*H526)</f>
        <v>2.88</v>
      </c>
      <c r="L526" s="82">
        <f t="shared" si="24"/>
        <v>15.48</v>
      </c>
      <c r="M526" s="82">
        <f>'BOLETIM DE MEDIÇÃO 05'!G178</f>
        <v>15.48</v>
      </c>
      <c r="N526" s="86">
        <f t="shared" si="25"/>
        <v>0</v>
      </c>
    </row>
    <row r="527" spans="2:14" ht="33.75" hidden="1" x14ac:dyDescent="0.25">
      <c r="B527" s="50" t="s">
        <v>482</v>
      </c>
      <c r="C527" s="166">
        <v>96619</v>
      </c>
      <c r="D527" s="53" t="s">
        <v>58</v>
      </c>
      <c r="E527" s="44" t="s">
        <v>17</v>
      </c>
      <c r="F527" s="95">
        <v>8</v>
      </c>
      <c r="G527" s="106">
        <v>0.6</v>
      </c>
      <c r="H527" s="70">
        <v>0.6</v>
      </c>
      <c r="I527" s="105"/>
      <c r="J527" s="99">
        <f>'BOLETIM DE MEDIÇÃO 05'!O179-'MEMORIAL DE CALCULO 03'!K527</f>
        <v>12.600000000000001</v>
      </c>
      <c r="K527" s="81">
        <f>(F527*G527*H527)</f>
        <v>2.88</v>
      </c>
      <c r="L527" s="82">
        <f t="shared" si="24"/>
        <v>15.48</v>
      </c>
      <c r="M527" s="82">
        <f>'BOLETIM DE MEDIÇÃO 05'!G179</f>
        <v>15.48</v>
      </c>
      <c r="N527" s="86">
        <f t="shared" si="25"/>
        <v>0</v>
      </c>
    </row>
    <row r="528" spans="2:14" ht="22.5" hidden="1" x14ac:dyDescent="0.25">
      <c r="B528" s="50" t="s">
        <v>483</v>
      </c>
      <c r="C528" s="166">
        <v>96545</v>
      </c>
      <c r="D528" s="67" t="s">
        <v>61</v>
      </c>
      <c r="E528" s="44" t="s">
        <v>62</v>
      </c>
      <c r="F528" s="95"/>
      <c r="G528" s="106"/>
      <c r="H528" s="44"/>
      <c r="I528" s="105"/>
      <c r="J528" s="99">
        <f>'BOLETIM DE MEDIÇÃO 05'!O180-'MEMORIAL DE CALCULO 03'!K528</f>
        <v>133.69999999999999</v>
      </c>
      <c r="K528" s="81">
        <f>G529</f>
        <v>33.43</v>
      </c>
      <c r="L528" s="82">
        <f t="shared" si="24"/>
        <v>167.13</v>
      </c>
      <c r="M528" s="82">
        <f>'BOLETIM DE MEDIÇÃO 05'!G180</f>
        <v>167.13</v>
      </c>
      <c r="N528" s="86">
        <f t="shared" si="25"/>
        <v>0</v>
      </c>
    </row>
    <row r="529" spans="2:14" ht="22.5" hidden="1" x14ac:dyDescent="0.25">
      <c r="B529" s="50"/>
      <c r="C529" s="166"/>
      <c r="D529" s="117" t="s">
        <v>709</v>
      </c>
      <c r="E529" s="44"/>
      <c r="F529" s="95">
        <v>1</v>
      </c>
      <c r="G529" s="106">
        <v>33.43</v>
      </c>
      <c r="H529" s="44"/>
      <c r="I529" s="105"/>
      <c r="J529" s="99"/>
      <c r="K529" s="81"/>
      <c r="L529" s="82"/>
      <c r="M529" s="82"/>
      <c r="N529" s="86"/>
    </row>
    <row r="530" spans="2:14" ht="33.75" x14ac:dyDescent="0.25">
      <c r="B530" s="50" t="s">
        <v>484</v>
      </c>
      <c r="C530" s="166">
        <v>94966</v>
      </c>
      <c r="D530" s="67" t="s">
        <v>65</v>
      </c>
      <c r="E530" s="44" t="s">
        <v>41</v>
      </c>
      <c r="F530" s="95"/>
      <c r="G530" s="106"/>
      <c r="H530" s="44"/>
      <c r="I530" s="105"/>
      <c r="J530" s="99">
        <f>'BOLETIM DE MEDIÇÃO 05'!O181-'MEMORIAL DE CALCULO 03'!K530</f>
        <v>8.3708099999999988</v>
      </c>
      <c r="K530" s="81">
        <f>SUM(K532:K541)</f>
        <v>1.5192000000000005</v>
      </c>
      <c r="L530" s="82">
        <f t="shared" si="24"/>
        <v>9.8900100000000002</v>
      </c>
      <c r="M530" s="82">
        <f>'BOLETIM DE MEDIÇÃO 05'!G181</f>
        <v>9.89</v>
      </c>
      <c r="N530" s="86">
        <f t="shared" si="25"/>
        <v>-9.9999999996214228E-6</v>
      </c>
    </row>
    <row r="531" spans="2:14" x14ac:dyDescent="0.25">
      <c r="B531" s="50"/>
      <c r="C531" s="166"/>
      <c r="D531" s="188"/>
      <c r="E531" s="189"/>
      <c r="F531" s="190"/>
      <c r="G531" s="133" t="s">
        <v>558</v>
      </c>
      <c r="H531" s="191" t="s">
        <v>559</v>
      </c>
      <c r="I531" s="127" t="s">
        <v>560</v>
      </c>
      <c r="J531" s="99"/>
      <c r="K531" s="81"/>
      <c r="L531" s="82"/>
      <c r="M531" s="82"/>
      <c r="N531" s="86"/>
    </row>
    <row r="532" spans="2:14" x14ac:dyDescent="0.25">
      <c r="B532" s="50"/>
      <c r="C532" s="166"/>
      <c r="D532" s="117" t="s">
        <v>782</v>
      </c>
      <c r="E532" s="189"/>
      <c r="F532" s="190">
        <v>5</v>
      </c>
      <c r="G532" s="133">
        <v>0.2</v>
      </c>
      <c r="H532" s="191">
        <v>0.2</v>
      </c>
      <c r="I532" s="105">
        <v>2.5</v>
      </c>
      <c r="J532" s="99"/>
      <c r="K532" s="81">
        <f>G532*H532*I532*F532</f>
        <v>0.50000000000000011</v>
      </c>
      <c r="L532" s="82"/>
      <c r="M532" s="82"/>
      <c r="N532" s="86"/>
    </row>
    <row r="533" spans="2:14" x14ac:dyDescent="0.25">
      <c r="B533" s="50"/>
      <c r="C533" s="166"/>
      <c r="D533" s="117" t="s">
        <v>783</v>
      </c>
      <c r="E533" s="189"/>
      <c r="F533" s="190">
        <v>1</v>
      </c>
      <c r="G533" s="133">
        <v>0.2</v>
      </c>
      <c r="H533" s="191">
        <v>0.2</v>
      </c>
      <c r="I533" s="105">
        <f>2.5+0.51</f>
        <v>3.01</v>
      </c>
      <c r="J533" s="99"/>
      <c r="K533" s="81">
        <f t="shared" ref="K533:K541" si="26">G533*H533*I533*F533</f>
        <v>0.12040000000000002</v>
      </c>
      <c r="L533" s="82"/>
      <c r="M533" s="82"/>
      <c r="N533" s="86"/>
    </row>
    <row r="534" spans="2:14" x14ac:dyDescent="0.25">
      <c r="B534" s="50"/>
      <c r="C534" s="166"/>
      <c r="D534" s="117" t="s">
        <v>783</v>
      </c>
      <c r="E534" s="189"/>
      <c r="F534" s="190">
        <v>1</v>
      </c>
      <c r="G534" s="133">
        <v>0.2</v>
      </c>
      <c r="H534" s="191">
        <v>0.2</v>
      </c>
      <c r="I534" s="105">
        <f>2.5+0.49</f>
        <v>2.99</v>
      </c>
      <c r="J534" s="99"/>
      <c r="K534" s="81">
        <f t="shared" si="26"/>
        <v>0.11960000000000003</v>
      </c>
      <c r="L534" s="82"/>
      <c r="M534" s="82"/>
      <c r="N534" s="86"/>
    </row>
    <row r="535" spans="2:14" x14ac:dyDescent="0.25">
      <c r="B535" s="50"/>
      <c r="C535" s="166"/>
      <c r="D535" s="117" t="s">
        <v>783</v>
      </c>
      <c r="E535" s="189"/>
      <c r="F535" s="190">
        <v>1</v>
      </c>
      <c r="G535" s="133">
        <v>0.2</v>
      </c>
      <c r="H535" s="191">
        <v>0.2</v>
      </c>
      <c r="I535" s="105">
        <f>2.5+0.46</f>
        <v>2.96</v>
      </c>
      <c r="J535" s="99"/>
      <c r="K535" s="81">
        <f t="shared" si="26"/>
        <v>0.11840000000000002</v>
      </c>
      <c r="L535" s="82"/>
      <c r="M535" s="82"/>
      <c r="N535" s="86"/>
    </row>
    <row r="536" spans="2:14" x14ac:dyDescent="0.25">
      <c r="B536" s="50"/>
      <c r="C536" s="166"/>
      <c r="D536" s="117" t="s">
        <v>783</v>
      </c>
      <c r="E536" s="189"/>
      <c r="F536" s="190">
        <v>1</v>
      </c>
      <c r="G536" s="133">
        <v>0.2</v>
      </c>
      <c r="H536" s="191">
        <v>0.2</v>
      </c>
      <c r="I536" s="105">
        <f>2.5+0.47</f>
        <v>2.9699999999999998</v>
      </c>
      <c r="J536" s="99"/>
      <c r="K536" s="81">
        <f t="shared" si="26"/>
        <v>0.11880000000000002</v>
      </c>
      <c r="L536" s="82"/>
      <c r="M536" s="82"/>
      <c r="N536" s="86"/>
    </row>
    <row r="537" spans="2:14" x14ac:dyDescent="0.25">
      <c r="B537" s="50"/>
      <c r="C537" s="166"/>
      <c r="D537" s="117" t="s">
        <v>783</v>
      </c>
      <c r="E537" s="189"/>
      <c r="F537" s="190">
        <v>1</v>
      </c>
      <c r="G537" s="133">
        <v>0.2</v>
      </c>
      <c r="H537" s="191">
        <v>0.2</v>
      </c>
      <c r="I537" s="105">
        <f>2.5+0.38</f>
        <v>2.88</v>
      </c>
      <c r="J537" s="99"/>
      <c r="K537" s="81">
        <f t="shared" si="26"/>
        <v>0.11520000000000002</v>
      </c>
      <c r="L537" s="82"/>
      <c r="M537" s="82"/>
      <c r="N537" s="86"/>
    </row>
    <row r="538" spans="2:14" x14ac:dyDescent="0.25">
      <c r="B538" s="50"/>
      <c r="C538" s="166"/>
      <c r="D538" s="117" t="s">
        <v>783</v>
      </c>
      <c r="E538" s="189"/>
      <c r="F538" s="190">
        <v>1</v>
      </c>
      <c r="G538" s="133">
        <v>0.2</v>
      </c>
      <c r="H538" s="191">
        <v>0.2</v>
      </c>
      <c r="I538" s="105">
        <f>2.5+0.3</f>
        <v>2.8</v>
      </c>
      <c r="J538" s="99"/>
      <c r="K538" s="81">
        <f t="shared" si="26"/>
        <v>0.11200000000000002</v>
      </c>
      <c r="L538" s="82"/>
      <c r="M538" s="82"/>
      <c r="N538" s="86"/>
    </row>
    <row r="539" spans="2:14" x14ac:dyDescent="0.25">
      <c r="B539" s="50"/>
      <c r="C539" s="166"/>
      <c r="D539" s="117" t="s">
        <v>783</v>
      </c>
      <c r="E539" s="189"/>
      <c r="F539" s="190">
        <v>1</v>
      </c>
      <c r="G539" s="133">
        <v>0.2</v>
      </c>
      <c r="H539" s="191">
        <v>0.2</v>
      </c>
      <c r="I539" s="105">
        <f>2.5+0.2</f>
        <v>2.7</v>
      </c>
      <c r="J539" s="99"/>
      <c r="K539" s="81">
        <f t="shared" si="26"/>
        <v>0.10800000000000003</v>
      </c>
      <c r="L539" s="82"/>
      <c r="M539" s="82"/>
      <c r="N539" s="86"/>
    </row>
    <row r="540" spans="2:14" x14ac:dyDescent="0.25">
      <c r="B540" s="50"/>
      <c r="C540" s="166"/>
      <c r="D540" s="117" t="s">
        <v>783</v>
      </c>
      <c r="E540" s="189"/>
      <c r="F540" s="190">
        <v>1</v>
      </c>
      <c r="G540" s="133">
        <v>0.2</v>
      </c>
      <c r="H540" s="191">
        <v>0.2</v>
      </c>
      <c r="I540" s="105">
        <f>2.5+0.1</f>
        <v>2.6</v>
      </c>
      <c r="J540" s="99"/>
      <c r="K540" s="81">
        <f t="shared" si="26"/>
        <v>0.10400000000000002</v>
      </c>
      <c r="L540" s="82"/>
      <c r="M540" s="82"/>
      <c r="N540" s="86"/>
    </row>
    <row r="541" spans="2:14" x14ac:dyDescent="0.25">
      <c r="B541" s="50"/>
      <c r="C541" s="166"/>
      <c r="D541" s="117" t="s">
        <v>783</v>
      </c>
      <c r="E541" s="189"/>
      <c r="F541" s="190">
        <v>1</v>
      </c>
      <c r="G541" s="133">
        <v>0.2</v>
      </c>
      <c r="H541" s="191">
        <v>0.2</v>
      </c>
      <c r="I541" s="105">
        <f>2.5+0.07</f>
        <v>2.57</v>
      </c>
      <c r="J541" s="99"/>
      <c r="K541" s="81">
        <f t="shared" si="26"/>
        <v>0.10280000000000002</v>
      </c>
      <c r="L541" s="82"/>
      <c r="M541" s="82"/>
      <c r="N541" s="86"/>
    </row>
    <row r="542" spans="2:14" ht="45" hidden="1" x14ac:dyDescent="0.25">
      <c r="B542" s="50" t="s">
        <v>485</v>
      </c>
      <c r="C542" s="166">
        <v>103800</v>
      </c>
      <c r="D542" s="53" t="s">
        <v>487</v>
      </c>
      <c r="E542" s="44" t="s">
        <v>41</v>
      </c>
      <c r="F542" s="95">
        <v>1</v>
      </c>
      <c r="G542" s="106">
        <v>120.88</v>
      </c>
      <c r="H542" s="70">
        <v>0.3</v>
      </c>
      <c r="I542" s="105">
        <v>0.3</v>
      </c>
      <c r="J542" s="99">
        <f>'BOLETIM DE MEDIÇÃO 05'!O182-'MEMORIAL DE CALCULO 03'!K542</f>
        <v>0.90080000000000204</v>
      </c>
      <c r="K542" s="81">
        <f>F542*(G542*H542*I542)</f>
        <v>10.879199999999999</v>
      </c>
      <c r="L542" s="82">
        <f t="shared" si="24"/>
        <v>11.780000000000001</v>
      </c>
      <c r="M542" s="82">
        <f>'BOLETIM DE MEDIÇÃO 05'!G182</f>
        <v>11.78</v>
      </c>
      <c r="N542" s="86">
        <f t="shared" si="25"/>
        <v>0</v>
      </c>
    </row>
    <row r="543" spans="2:14" ht="22.5" x14ac:dyDescent="0.25">
      <c r="B543" s="50" t="s">
        <v>488</v>
      </c>
      <c r="C543" s="166">
        <v>103670</v>
      </c>
      <c r="D543" s="53" t="s">
        <v>71</v>
      </c>
      <c r="E543" s="44" t="s">
        <v>41</v>
      </c>
      <c r="F543" s="95"/>
      <c r="G543" s="106"/>
      <c r="H543" s="70"/>
      <c r="I543" s="105"/>
      <c r="J543" s="99">
        <f>'BOLETIM DE MEDIÇÃO 05'!O183-'MEMORIAL DE CALCULO 03'!K543</f>
        <v>8.3708300000000015</v>
      </c>
      <c r="K543" s="81">
        <f>G544</f>
        <v>1.5192000000000005</v>
      </c>
      <c r="L543" s="82">
        <f t="shared" si="24"/>
        <v>9.890030000000003</v>
      </c>
      <c r="M543" s="82">
        <f>'BOLETIM DE MEDIÇÃO 05'!G183</f>
        <v>9.89</v>
      </c>
      <c r="N543" s="86">
        <f t="shared" si="25"/>
        <v>-3.0000000002416982E-5</v>
      </c>
    </row>
    <row r="544" spans="2:14" x14ac:dyDescent="0.25">
      <c r="B544" s="50"/>
      <c r="C544" s="166"/>
      <c r="D544" s="118" t="s">
        <v>581</v>
      </c>
      <c r="E544" s="44"/>
      <c r="F544" s="95">
        <v>1</v>
      </c>
      <c r="G544" s="468">
        <f>K530</f>
        <v>1.5192000000000005</v>
      </c>
      <c r="H544" s="469"/>
      <c r="I544" s="470"/>
      <c r="J544" s="99"/>
      <c r="K544" s="81"/>
      <c r="L544" s="82"/>
      <c r="M544" s="82"/>
      <c r="N544" s="86"/>
    </row>
    <row r="545" spans="2:14" s="167" customFormat="1" ht="22.5" x14ac:dyDescent="0.25">
      <c r="B545" s="50" t="s">
        <v>489</v>
      </c>
      <c r="C545" s="166">
        <v>96543</v>
      </c>
      <c r="D545" s="53" t="s">
        <v>74</v>
      </c>
      <c r="E545" s="44" t="s">
        <v>62</v>
      </c>
      <c r="F545" s="95"/>
      <c r="G545" s="106" t="s">
        <v>583</v>
      </c>
      <c r="H545" s="70" t="s">
        <v>584</v>
      </c>
      <c r="I545" s="105" t="s">
        <v>781</v>
      </c>
      <c r="J545" s="99">
        <f>'BOLETIM DE MEDIÇÃO 05'!O184-'MEMORIAL DE CALCULO 03'!K545</f>
        <v>122.24819599999995</v>
      </c>
      <c r="K545" s="81">
        <f>SUM(K546:K555)</f>
        <v>39.772656000000005</v>
      </c>
      <c r="L545" s="82">
        <f>J545+K545</f>
        <v>162.02085199999996</v>
      </c>
      <c r="M545" s="82">
        <f>'BOLETIM DE MEDIÇÃO 05'!G184</f>
        <v>162.02000000000001</v>
      </c>
      <c r="N545" s="86">
        <f t="shared" si="25"/>
        <v>-8.5199999995211328E-4</v>
      </c>
    </row>
    <row r="546" spans="2:14" s="167" customFormat="1" x14ac:dyDescent="0.25">
      <c r="B546" s="50"/>
      <c r="C546" s="166"/>
      <c r="D546" s="117" t="s">
        <v>782</v>
      </c>
      <c r="E546" s="44"/>
      <c r="F546" s="95">
        <v>5</v>
      </c>
      <c r="G546" s="106">
        <v>0.68</v>
      </c>
      <c r="H546" s="70">
        <v>0.1</v>
      </c>
      <c r="I546" s="105">
        <v>2.5</v>
      </c>
      <c r="J546" s="192"/>
      <c r="K546" s="64">
        <f>(I546/H546)*G546*0.154*F546</f>
        <v>13.09</v>
      </c>
      <c r="L546" s="82"/>
      <c r="M546" s="82"/>
      <c r="N546" s="86"/>
    </row>
    <row r="547" spans="2:14" s="167" customFormat="1" x14ac:dyDescent="0.25">
      <c r="B547" s="50"/>
      <c r="C547" s="166"/>
      <c r="D547" s="117" t="s">
        <v>783</v>
      </c>
      <c r="E547" s="44"/>
      <c r="F547" s="95">
        <v>1</v>
      </c>
      <c r="G547" s="106">
        <v>0.68</v>
      </c>
      <c r="H547" s="70">
        <v>0.1</v>
      </c>
      <c r="I547" s="105">
        <f>2.5+0.51</f>
        <v>3.01</v>
      </c>
      <c r="J547" s="192"/>
      <c r="K547" s="64">
        <f t="shared" ref="K547:K555" si="27">(I547/H547)*G547*0.154*F547</f>
        <v>3.152072</v>
      </c>
      <c r="L547" s="82"/>
      <c r="M547" s="82"/>
      <c r="N547" s="86"/>
    </row>
    <row r="548" spans="2:14" s="167" customFormat="1" x14ac:dyDescent="0.25">
      <c r="B548" s="50"/>
      <c r="C548" s="166"/>
      <c r="D548" s="117" t="s">
        <v>783</v>
      </c>
      <c r="E548" s="44"/>
      <c r="F548" s="95">
        <v>1</v>
      </c>
      <c r="G548" s="106">
        <v>0.68</v>
      </c>
      <c r="H548" s="70">
        <v>0.1</v>
      </c>
      <c r="I548" s="105">
        <f>2.5+0.49</f>
        <v>2.99</v>
      </c>
      <c r="J548" s="192"/>
      <c r="K548" s="64">
        <f t="shared" si="27"/>
        <v>3.1311280000000008</v>
      </c>
      <c r="L548" s="82"/>
      <c r="M548" s="82"/>
      <c r="N548" s="86"/>
    </row>
    <row r="549" spans="2:14" s="167" customFormat="1" x14ac:dyDescent="0.25">
      <c r="B549" s="50"/>
      <c r="C549" s="166"/>
      <c r="D549" s="117" t="s">
        <v>783</v>
      </c>
      <c r="E549" s="44"/>
      <c r="F549" s="95">
        <v>1</v>
      </c>
      <c r="G549" s="106">
        <v>0.68</v>
      </c>
      <c r="H549" s="70">
        <v>0.1</v>
      </c>
      <c r="I549" s="105">
        <f>2.5+0.46</f>
        <v>2.96</v>
      </c>
      <c r="J549" s="192"/>
      <c r="K549" s="64">
        <f t="shared" si="27"/>
        <v>3.0997119999999998</v>
      </c>
      <c r="L549" s="82"/>
      <c r="M549" s="82"/>
      <c r="N549" s="86"/>
    </row>
    <row r="550" spans="2:14" s="167" customFormat="1" x14ac:dyDescent="0.25">
      <c r="B550" s="50"/>
      <c r="C550" s="166"/>
      <c r="D550" s="117" t="s">
        <v>783</v>
      </c>
      <c r="E550" s="44"/>
      <c r="F550" s="95">
        <v>1</v>
      </c>
      <c r="G550" s="106">
        <v>0.68</v>
      </c>
      <c r="H550" s="70">
        <v>0.1</v>
      </c>
      <c r="I550" s="105">
        <f>2.5+0.47</f>
        <v>2.9699999999999998</v>
      </c>
      <c r="J550" s="192"/>
      <c r="K550" s="64">
        <f t="shared" si="27"/>
        <v>3.1101839999999998</v>
      </c>
      <c r="L550" s="82"/>
      <c r="M550" s="82"/>
      <c r="N550" s="86"/>
    </row>
    <row r="551" spans="2:14" s="167" customFormat="1" x14ac:dyDescent="0.25">
      <c r="B551" s="50"/>
      <c r="C551" s="166"/>
      <c r="D551" s="117" t="s">
        <v>783</v>
      </c>
      <c r="E551" s="44"/>
      <c r="F551" s="95">
        <v>1</v>
      </c>
      <c r="G551" s="106">
        <v>0.68</v>
      </c>
      <c r="H551" s="70">
        <v>0.1</v>
      </c>
      <c r="I551" s="105">
        <f>2.5+0.38</f>
        <v>2.88</v>
      </c>
      <c r="J551" s="192"/>
      <c r="K551" s="64">
        <f t="shared" si="27"/>
        <v>3.015936</v>
      </c>
      <c r="L551" s="82"/>
      <c r="M551" s="82"/>
      <c r="N551" s="86"/>
    </row>
    <row r="552" spans="2:14" s="167" customFormat="1" x14ac:dyDescent="0.25">
      <c r="B552" s="50"/>
      <c r="C552" s="166"/>
      <c r="D552" s="117" t="s">
        <v>783</v>
      </c>
      <c r="E552" s="44"/>
      <c r="F552" s="95">
        <v>1</v>
      </c>
      <c r="G552" s="106">
        <v>0.68</v>
      </c>
      <c r="H552" s="70">
        <v>0.1</v>
      </c>
      <c r="I552" s="105">
        <f>2.5+0.3</f>
        <v>2.8</v>
      </c>
      <c r="J552" s="192"/>
      <c r="K552" s="64">
        <f t="shared" si="27"/>
        <v>2.9321599999999997</v>
      </c>
      <c r="L552" s="82"/>
      <c r="M552" s="82"/>
      <c r="N552" s="86"/>
    </row>
    <row r="553" spans="2:14" s="167" customFormat="1" x14ac:dyDescent="0.25">
      <c r="B553" s="50"/>
      <c r="C553" s="166"/>
      <c r="D553" s="117" t="s">
        <v>783</v>
      </c>
      <c r="E553" s="44"/>
      <c r="F553" s="95">
        <v>1</v>
      </c>
      <c r="G553" s="106">
        <v>0.68</v>
      </c>
      <c r="H553" s="70">
        <v>0.1</v>
      </c>
      <c r="I553" s="105">
        <f>2.5+0.2</f>
        <v>2.7</v>
      </c>
      <c r="J553" s="192"/>
      <c r="K553" s="64">
        <f t="shared" si="27"/>
        <v>2.8274400000000006</v>
      </c>
      <c r="L553" s="82"/>
      <c r="M553" s="82"/>
      <c r="N553" s="86"/>
    </row>
    <row r="554" spans="2:14" s="167" customFormat="1" x14ac:dyDescent="0.25">
      <c r="B554" s="50"/>
      <c r="C554" s="166"/>
      <c r="D554" s="117" t="s">
        <v>783</v>
      </c>
      <c r="E554" s="44"/>
      <c r="F554" s="95">
        <v>1</v>
      </c>
      <c r="G554" s="106">
        <v>0.68</v>
      </c>
      <c r="H554" s="70">
        <v>0.1</v>
      </c>
      <c r="I554" s="105">
        <f>2.5+0.1</f>
        <v>2.6</v>
      </c>
      <c r="J554" s="192"/>
      <c r="K554" s="64">
        <f t="shared" si="27"/>
        <v>2.7227199999999998</v>
      </c>
      <c r="L554" s="82"/>
      <c r="M554" s="82"/>
      <c r="N554" s="86"/>
    </row>
    <row r="555" spans="2:14" s="167" customFormat="1" x14ac:dyDescent="0.25">
      <c r="B555" s="50"/>
      <c r="C555" s="166"/>
      <c r="D555" s="117" t="s">
        <v>783</v>
      </c>
      <c r="E555" s="44"/>
      <c r="F555" s="95">
        <v>1</v>
      </c>
      <c r="G555" s="106">
        <v>0.68</v>
      </c>
      <c r="H555" s="70">
        <v>0.1</v>
      </c>
      <c r="I555" s="105">
        <f>2.5+0.07</f>
        <v>2.57</v>
      </c>
      <c r="J555" s="192"/>
      <c r="K555" s="64">
        <f t="shared" si="27"/>
        <v>2.6913039999999997</v>
      </c>
      <c r="L555" s="82"/>
      <c r="M555" s="82"/>
      <c r="N555" s="86"/>
    </row>
    <row r="556" spans="2:14" s="167" customFormat="1" ht="19.899999999999999" customHeight="1" x14ac:dyDescent="0.25">
      <c r="B556" s="50" t="s">
        <v>490</v>
      </c>
      <c r="C556" s="166">
        <v>96546</v>
      </c>
      <c r="D556" s="67" t="s">
        <v>80</v>
      </c>
      <c r="E556" s="44" t="s">
        <v>62</v>
      </c>
      <c r="F556" s="95"/>
      <c r="G556" s="468" t="s">
        <v>586</v>
      </c>
      <c r="H556" s="471"/>
      <c r="I556" s="122" t="s">
        <v>784</v>
      </c>
      <c r="J556" s="99">
        <f>'BOLETIM DE MEDIÇÃO 05'!O185-'MEMORIAL DE CALCULO 03'!K556</f>
        <v>284.06223999999997</v>
      </c>
      <c r="K556" s="81">
        <f>SUM(K557:K566)</f>
        <v>93.734639999999985</v>
      </c>
      <c r="L556" s="82">
        <f t="shared" si="24"/>
        <v>377.79687999999999</v>
      </c>
      <c r="M556" s="82">
        <f>'BOLETIM DE MEDIÇÃO 05'!G185</f>
        <v>377.8</v>
      </c>
      <c r="N556" s="86">
        <f t="shared" si="25"/>
        <v>3.1200000000239925E-3</v>
      </c>
    </row>
    <row r="557" spans="2:14" s="167" customFormat="1" ht="19.899999999999999" customHeight="1" x14ac:dyDescent="0.25">
      <c r="B557" s="119"/>
      <c r="C557" s="193"/>
      <c r="D557" s="117" t="s">
        <v>782</v>
      </c>
      <c r="E557" s="44"/>
      <c r="F557" s="95">
        <v>5</v>
      </c>
      <c r="G557" s="468">
        <v>4</v>
      </c>
      <c r="H557" s="471"/>
      <c r="I557" s="105">
        <v>2.5</v>
      </c>
      <c r="J557" s="192"/>
      <c r="K557" s="64">
        <f>I557*G557*F557*0.617</f>
        <v>30.85</v>
      </c>
      <c r="L557" s="82"/>
      <c r="M557" s="82"/>
      <c r="N557" s="86"/>
    </row>
    <row r="558" spans="2:14" s="167" customFormat="1" ht="19.899999999999999" customHeight="1" x14ac:dyDescent="0.25">
      <c r="B558" s="119"/>
      <c r="C558" s="193"/>
      <c r="D558" s="117" t="s">
        <v>783</v>
      </c>
      <c r="E558" s="189"/>
      <c r="F558" s="190">
        <v>1</v>
      </c>
      <c r="G558" s="468">
        <v>4</v>
      </c>
      <c r="H558" s="471"/>
      <c r="I558" s="105">
        <f>2.5+0.51</f>
        <v>3.01</v>
      </c>
      <c r="J558" s="192"/>
      <c r="K558" s="64">
        <f t="shared" ref="K558:K566" si="28">I558*G558*F558*0.617</f>
        <v>7.4286799999999991</v>
      </c>
      <c r="L558" s="82"/>
      <c r="M558" s="82"/>
      <c r="N558" s="86"/>
    </row>
    <row r="559" spans="2:14" s="167" customFormat="1" ht="19.899999999999999" customHeight="1" x14ac:dyDescent="0.25">
      <c r="B559" s="119"/>
      <c r="C559" s="193"/>
      <c r="D559" s="117" t="s">
        <v>783</v>
      </c>
      <c r="E559" s="189"/>
      <c r="F559" s="190">
        <v>1</v>
      </c>
      <c r="G559" s="468">
        <v>4</v>
      </c>
      <c r="H559" s="471"/>
      <c r="I559" s="105">
        <f>2.5+0.49</f>
        <v>2.99</v>
      </c>
      <c r="J559" s="192"/>
      <c r="K559" s="64">
        <f t="shared" si="28"/>
        <v>7.3793200000000008</v>
      </c>
      <c r="L559" s="82"/>
      <c r="M559" s="82"/>
      <c r="N559" s="86"/>
    </row>
    <row r="560" spans="2:14" s="167" customFormat="1" ht="19.899999999999999" customHeight="1" x14ac:dyDescent="0.25">
      <c r="B560" s="119"/>
      <c r="C560" s="193"/>
      <c r="D560" s="117" t="s">
        <v>783</v>
      </c>
      <c r="E560" s="189"/>
      <c r="F560" s="190">
        <v>1</v>
      </c>
      <c r="G560" s="468">
        <v>4</v>
      </c>
      <c r="H560" s="471"/>
      <c r="I560" s="105">
        <f>2.5+0.46</f>
        <v>2.96</v>
      </c>
      <c r="J560" s="192"/>
      <c r="K560" s="64">
        <f t="shared" si="28"/>
        <v>7.3052799999999998</v>
      </c>
      <c r="L560" s="82"/>
      <c r="M560" s="82"/>
      <c r="N560" s="86"/>
    </row>
    <row r="561" spans="1:14" s="167" customFormat="1" ht="19.899999999999999" customHeight="1" x14ac:dyDescent="0.25">
      <c r="B561" s="119"/>
      <c r="C561" s="193"/>
      <c r="D561" s="117" t="s">
        <v>783</v>
      </c>
      <c r="E561" s="189"/>
      <c r="F561" s="190">
        <v>1</v>
      </c>
      <c r="G561" s="468">
        <v>4</v>
      </c>
      <c r="H561" s="471"/>
      <c r="I561" s="105">
        <f>2.5+0.47</f>
        <v>2.9699999999999998</v>
      </c>
      <c r="J561" s="192"/>
      <c r="K561" s="64">
        <f t="shared" si="28"/>
        <v>7.3299599999999989</v>
      </c>
      <c r="L561" s="82"/>
      <c r="M561" s="82"/>
      <c r="N561" s="86"/>
    </row>
    <row r="562" spans="1:14" s="167" customFormat="1" ht="19.899999999999999" customHeight="1" x14ac:dyDescent="0.25">
      <c r="B562" s="119"/>
      <c r="C562" s="193"/>
      <c r="D562" s="117" t="s">
        <v>783</v>
      </c>
      <c r="E562" s="189"/>
      <c r="F562" s="190">
        <v>1</v>
      </c>
      <c r="G562" s="468">
        <v>4</v>
      </c>
      <c r="H562" s="471"/>
      <c r="I562" s="105">
        <f>2.5+0.38</f>
        <v>2.88</v>
      </c>
      <c r="J562" s="192"/>
      <c r="K562" s="64">
        <f t="shared" si="28"/>
        <v>7.1078399999999995</v>
      </c>
      <c r="L562" s="82"/>
      <c r="M562" s="82"/>
      <c r="N562" s="86"/>
    </row>
    <row r="563" spans="1:14" s="167" customFormat="1" ht="19.899999999999999" customHeight="1" x14ac:dyDescent="0.25">
      <c r="B563" s="119"/>
      <c r="C563" s="193"/>
      <c r="D563" s="117" t="s">
        <v>783</v>
      </c>
      <c r="E563" s="189"/>
      <c r="F563" s="190">
        <v>1</v>
      </c>
      <c r="G563" s="468">
        <v>4</v>
      </c>
      <c r="H563" s="471"/>
      <c r="I563" s="105">
        <f>2.5+0.3</f>
        <v>2.8</v>
      </c>
      <c r="J563" s="192"/>
      <c r="K563" s="64">
        <f t="shared" si="28"/>
        <v>6.9103999999999992</v>
      </c>
      <c r="L563" s="82"/>
      <c r="M563" s="82"/>
      <c r="N563" s="86"/>
    </row>
    <row r="564" spans="1:14" s="167" customFormat="1" ht="19.899999999999999" customHeight="1" x14ac:dyDescent="0.25">
      <c r="B564" s="119"/>
      <c r="C564" s="193"/>
      <c r="D564" s="117" t="s">
        <v>783</v>
      </c>
      <c r="E564" s="189"/>
      <c r="F564" s="190">
        <v>1</v>
      </c>
      <c r="G564" s="468">
        <v>4</v>
      </c>
      <c r="H564" s="471"/>
      <c r="I564" s="105">
        <f>2.5+0.2</f>
        <v>2.7</v>
      </c>
      <c r="J564" s="192"/>
      <c r="K564" s="64">
        <f t="shared" si="28"/>
        <v>6.6636000000000006</v>
      </c>
      <c r="L564" s="82"/>
      <c r="M564" s="82"/>
      <c r="N564" s="86"/>
    </row>
    <row r="565" spans="1:14" s="167" customFormat="1" ht="19.899999999999999" customHeight="1" x14ac:dyDescent="0.25">
      <c r="B565" s="119"/>
      <c r="C565" s="193"/>
      <c r="D565" s="117" t="s">
        <v>783</v>
      </c>
      <c r="E565" s="189"/>
      <c r="F565" s="190">
        <v>1</v>
      </c>
      <c r="G565" s="468">
        <v>4</v>
      </c>
      <c r="H565" s="471"/>
      <c r="I565" s="105">
        <f>2.5+0.1</f>
        <v>2.6</v>
      </c>
      <c r="J565" s="192"/>
      <c r="K565" s="64">
        <f t="shared" si="28"/>
        <v>6.4168000000000003</v>
      </c>
      <c r="L565" s="82"/>
      <c r="M565" s="82"/>
      <c r="N565" s="86"/>
    </row>
    <row r="566" spans="1:14" s="167" customFormat="1" ht="19.899999999999999" customHeight="1" x14ac:dyDescent="0.25">
      <c r="B566" s="119"/>
      <c r="C566" s="193"/>
      <c r="D566" s="117" t="s">
        <v>783</v>
      </c>
      <c r="E566" s="189"/>
      <c r="F566" s="190">
        <v>1</v>
      </c>
      <c r="G566" s="468">
        <v>4</v>
      </c>
      <c r="H566" s="471"/>
      <c r="I566" s="105">
        <f>2.5+0.07</f>
        <v>2.57</v>
      </c>
      <c r="J566" s="192"/>
      <c r="K566" s="64">
        <f t="shared" si="28"/>
        <v>6.3427599999999993</v>
      </c>
      <c r="L566" s="82"/>
      <c r="M566" s="82"/>
      <c r="N566" s="86"/>
    </row>
    <row r="567" spans="1:14" s="167" customFormat="1" ht="34.5" thickBot="1" x14ac:dyDescent="0.3">
      <c r="B567" s="119" t="s">
        <v>491</v>
      </c>
      <c r="C567" s="193">
        <v>96536</v>
      </c>
      <c r="D567" s="75" t="s">
        <v>86</v>
      </c>
      <c r="E567" s="76" t="s">
        <v>17</v>
      </c>
      <c r="F567" s="132"/>
      <c r="G567" s="468"/>
      <c r="H567" s="469"/>
      <c r="I567" s="470"/>
      <c r="J567" s="99">
        <f>'BOLETIM DE MEDIÇÃO 05'!O186-'MEMORIAL DE CALCULO 03'!K567</f>
        <v>119.21400000000001</v>
      </c>
      <c r="K567" s="81">
        <f>SUM(K569:K578)</f>
        <v>30.383999999999997</v>
      </c>
      <c r="L567" s="82">
        <f t="shared" si="24"/>
        <v>149.59800000000001</v>
      </c>
      <c r="M567" s="82">
        <f>'BOLETIM DE MEDIÇÃO 05'!G186</f>
        <v>149.6</v>
      </c>
      <c r="N567" s="86">
        <f t="shared" si="25"/>
        <v>1.999999999981128E-3</v>
      </c>
    </row>
    <row r="568" spans="1:14" s="167" customFormat="1" x14ac:dyDescent="0.25">
      <c r="B568" s="119"/>
      <c r="C568" s="193"/>
      <c r="D568" s="188"/>
      <c r="E568" s="189"/>
      <c r="F568" s="190"/>
      <c r="G568" s="133" t="s">
        <v>558</v>
      </c>
      <c r="H568" s="191" t="s">
        <v>559</v>
      </c>
      <c r="I568" s="127" t="s">
        <v>560</v>
      </c>
      <c r="J568" s="99"/>
      <c r="K568" s="81"/>
      <c r="L568" s="82"/>
      <c r="M568" s="82"/>
      <c r="N568" s="86"/>
    </row>
    <row r="569" spans="1:14" s="167" customFormat="1" x14ac:dyDescent="0.25">
      <c r="B569" s="119"/>
      <c r="C569" s="193"/>
      <c r="D569" s="117" t="s">
        <v>782</v>
      </c>
      <c r="E569" s="189"/>
      <c r="F569" s="190">
        <v>5</v>
      </c>
      <c r="G569" s="133">
        <v>0.2</v>
      </c>
      <c r="H569" s="191">
        <v>0.2</v>
      </c>
      <c r="I569" s="105">
        <v>2.5</v>
      </c>
      <c r="J569" s="99"/>
      <c r="K569" s="81">
        <f>((G569+H569)*2)*I569*F569</f>
        <v>10</v>
      </c>
      <c r="L569" s="82"/>
      <c r="M569" s="82"/>
      <c r="N569" s="86"/>
    </row>
    <row r="570" spans="1:14" s="167" customFormat="1" x14ac:dyDescent="0.25">
      <c r="B570" s="119"/>
      <c r="C570" s="193"/>
      <c r="D570" s="117" t="s">
        <v>783</v>
      </c>
      <c r="E570" s="189"/>
      <c r="F570" s="190">
        <v>1</v>
      </c>
      <c r="G570" s="133">
        <v>0.2</v>
      </c>
      <c r="H570" s="191">
        <v>0.2</v>
      </c>
      <c r="I570" s="105">
        <f>2.5+0.51</f>
        <v>3.01</v>
      </c>
      <c r="J570" s="99"/>
      <c r="K570" s="81">
        <f t="shared" ref="K570:K578" si="29">((G570+H570)*2)*I570*F570</f>
        <v>2.4079999999999999</v>
      </c>
      <c r="L570" s="82"/>
      <c r="M570" s="82"/>
      <c r="N570" s="86"/>
    </row>
    <row r="571" spans="1:14" s="167" customFormat="1" x14ac:dyDescent="0.25">
      <c r="B571" s="119"/>
      <c r="C571" s="193"/>
      <c r="D571" s="117" t="s">
        <v>783</v>
      </c>
      <c r="E571" s="189"/>
      <c r="F571" s="190">
        <v>1</v>
      </c>
      <c r="G571" s="133">
        <v>0.2</v>
      </c>
      <c r="H571" s="191">
        <v>0.2</v>
      </c>
      <c r="I571" s="105">
        <f>2.5+0.49</f>
        <v>2.99</v>
      </c>
      <c r="J571" s="99"/>
      <c r="K571" s="81">
        <f t="shared" si="29"/>
        <v>2.3920000000000003</v>
      </c>
      <c r="L571" s="82"/>
      <c r="M571" s="82"/>
      <c r="N571" s="86"/>
    </row>
    <row r="572" spans="1:14" s="167" customFormat="1" x14ac:dyDescent="0.25">
      <c r="A572" s="234"/>
      <c r="B572" s="119"/>
      <c r="C572" s="193"/>
      <c r="D572" s="267" t="s">
        <v>783</v>
      </c>
      <c r="E572" s="44"/>
      <c r="F572" s="130">
        <v>1</v>
      </c>
      <c r="G572" s="133">
        <v>0.2</v>
      </c>
      <c r="H572" s="191">
        <v>0.2</v>
      </c>
      <c r="I572" s="105">
        <f>2.5+0.46</f>
        <v>2.96</v>
      </c>
      <c r="J572" s="99"/>
      <c r="K572" s="81">
        <f t="shared" si="29"/>
        <v>2.3679999999999999</v>
      </c>
      <c r="L572" s="82"/>
      <c r="M572" s="82"/>
      <c r="N572" s="86"/>
    </row>
    <row r="573" spans="1:14" s="167" customFormat="1" x14ac:dyDescent="0.25">
      <c r="A573" s="234"/>
      <c r="B573" s="119"/>
      <c r="C573" s="193"/>
      <c r="D573" s="267" t="s">
        <v>783</v>
      </c>
      <c r="E573" s="189"/>
      <c r="F573" s="190">
        <v>1</v>
      </c>
      <c r="G573" s="133">
        <v>0.2</v>
      </c>
      <c r="H573" s="191">
        <v>0.2</v>
      </c>
      <c r="I573" s="105">
        <f>2.5+0.47</f>
        <v>2.9699999999999998</v>
      </c>
      <c r="J573" s="99"/>
      <c r="K573" s="81">
        <f t="shared" si="29"/>
        <v>2.3759999999999999</v>
      </c>
      <c r="L573" s="82"/>
      <c r="M573" s="82"/>
      <c r="N573" s="86"/>
    </row>
    <row r="574" spans="1:14" s="167" customFormat="1" x14ac:dyDescent="0.25">
      <c r="A574" s="234"/>
      <c r="B574" s="119"/>
      <c r="C574" s="193"/>
      <c r="D574" s="117" t="s">
        <v>783</v>
      </c>
      <c r="E574" s="189"/>
      <c r="F574" s="190">
        <v>1</v>
      </c>
      <c r="G574" s="133">
        <v>0.2</v>
      </c>
      <c r="H574" s="191">
        <v>0.2</v>
      </c>
      <c r="I574" s="105">
        <f>2.5+0.38</f>
        <v>2.88</v>
      </c>
      <c r="J574" s="99"/>
      <c r="K574" s="81">
        <f t="shared" si="29"/>
        <v>2.3039999999999998</v>
      </c>
      <c r="L574" s="82"/>
      <c r="M574" s="82"/>
      <c r="N574" s="86"/>
    </row>
    <row r="575" spans="1:14" s="167" customFormat="1" x14ac:dyDescent="0.25">
      <c r="A575" s="234"/>
      <c r="B575" s="119"/>
      <c r="C575" s="193"/>
      <c r="D575" s="117" t="s">
        <v>783</v>
      </c>
      <c r="E575" s="189"/>
      <c r="F575" s="190">
        <v>1</v>
      </c>
      <c r="G575" s="133">
        <v>0.2</v>
      </c>
      <c r="H575" s="191">
        <v>0.2</v>
      </c>
      <c r="I575" s="105">
        <f>2.5+0.3</f>
        <v>2.8</v>
      </c>
      <c r="J575" s="99"/>
      <c r="K575" s="81">
        <f t="shared" si="29"/>
        <v>2.2399999999999998</v>
      </c>
      <c r="L575" s="82"/>
      <c r="M575" s="82"/>
      <c r="N575" s="86"/>
    </row>
    <row r="576" spans="1:14" s="167" customFormat="1" x14ac:dyDescent="0.25">
      <c r="A576" s="234"/>
      <c r="B576" s="119"/>
      <c r="C576" s="193"/>
      <c r="D576" s="117" t="s">
        <v>783</v>
      </c>
      <c r="E576" s="189"/>
      <c r="F576" s="190">
        <v>1</v>
      </c>
      <c r="G576" s="133">
        <v>0.2</v>
      </c>
      <c r="H576" s="191">
        <v>0.2</v>
      </c>
      <c r="I576" s="105">
        <f>2.5+0.2</f>
        <v>2.7</v>
      </c>
      <c r="J576" s="99"/>
      <c r="K576" s="81">
        <f t="shared" si="29"/>
        <v>2.16</v>
      </c>
      <c r="L576" s="82"/>
      <c r="M576" s="82"/>
      <c r="N576" s="86"/>
    </row>
    <row r="577" spans="1:14" s="167" customFormat="1" x14ac:dyDescent="0.25">
      <c r="B577" s="119"/>
      <c r="C577" s="193"/>
      <c r="D577" s="117" t="s">
        <v>783</v>
      </c>
      <c r="E577" s="189"/>
      <c r="F577" s="190">
        <v>1</v>
      </c>
      <c r="G577" s="133">
        <v>0.2</v>
      </c>
      <c r="H577" s="191">
        <v>0.2</v>
      </c>
      <c r="I577" s="105">
        <f>2.5+0.1</f>
        <v>2.6</v>
      </c>
      <c r="J577" s="99"/>
      <c r="K577" s="81">
        <f t="shared" si="29"/>
        <v>2.08</v>
      </c>
      <c r="L577" s="82"/>
      <c r="M577" s="82"/>
      <c r="N577" s="86"/>
    </row>
    <row r="578" spans="1:14" s="167" customFormat="1" x14ac:dyDescent="0.25">
      <c r="A578" s="234"/>
      <c r="B578" s="264"/>
      <c r="C578" s="264"/>
      <c r="D578" s="117" t="s">
        <v>783</v>
      </c>
      <c r="E578" s="189"/>
      <c r="F578" s="190">
        <v>1</v>
      </c>
      <c r="G578" s="133">
        <v>0.2</v>
      </c>
      <c r="H578" s="191">
        <v>0.2</v>
      </c>
      <c r="I578" s="105">
        <f>2.5+0.07</f>
        <v>2.57</v>
      </c>
      <c r="J578" s="99"/>
      <c r="K578" s="81">
        <f t="shared" si="29"/>
        <v>2.056</v>
      </c>
      <c r="L578" s="82"/>
      <c r="M578" s="82"/>
      <c r="N578" s="86"/>
    </row>
    <row r="579" spans="1:14" s="167" customFormat="1" ht="38.450000000000003" customHeight="1" x14ac:dyDescent="0.25">
      <c r="A579" s="234"/>
      <c r="B579" s="264" t="s">
        <v>492</v>
      </c>
      <c r="C579" s="264"/>
      <c r="D579" s="262" t="s">
        <v>89</v>
      </c>
      <c r="E579" s="44"/>
      <c r="F579" s="130"/>
      <c r="G579" s="533"/>
      <c r="H579" s="534"/>
      <c r="I579" s="535"/>
      <c r="J579" s="192"/>
      <c r="K579" s="64"/>
      <c r="L579" s="82"/>
      <c r="M579" s="82"/>
      <c r="N579" s="86"/>
    </row>
    <row r="580" spans="1:14" s="167" customFormat="1" x14ac:dyDescent="0.25">
      <c r="A580" s="234"/>
      <c r="B580" s="264"/>
      <c r="C580" s="264"/>
      <c r="D580" s="263"/>
      <c r="E580" s="114" t="s">
        <v>17</v>
      </c>
      <c r="F580" s="283">
        <v>1</v>
      </c>
      <c r="G580" s="269">
        <f>G525</f>
        <v>67.27</v>
      </c>
      <c r="H580" s="270">
        <v>0.5</v>
      </c>
      <c r="I580" s="256"/>
      <c r="J580" s="253">
        <f>'BOLETIM DE MEDIÇÃO 05'!O187-'MEMORIAL DE CALCULO 03'!K580</f>
        <v>31.800000000000004</v>
      </c>
      <c r="K580" s="81">
        <f>F580*G580*H580</f>
        <v>33.634999999999998</v>
      </c>
      <c r="L580" s="109">
        <f t="shared" si="24"/>
        <v>65.435000000000002</v>
      </c>
      <c r="M580" s="109">
        <f>'BOLETIM DE MEDIÇÃO 05'!G187</f>
        <v>65.430000000000007</v>
      </c>
      <c r="N580" s="110">
        <f t="shared" si="25"/>
        <v>-4.9999999999954525E-3</v>
      </c>
    </row>
    <row r="581" spans="1:14" ht="45" x14ac:dyDescent="0.25">
      <c r="A581" s="79"/>
      <c r="B581" s="265" t="s">
        <v>493</v>
      </c>
      <c r="C581" s="66">
        <v>103356</v>
      </c>
      <c r="D581" s="53" t="s">
        <v>137</v>
      </c>
      <c r="E581" s="44" t="s">
        <v>17</v>
      </c>
      <c r="F581" s="283"/>
      <c r="G581" s="468"/>
      <c r="H581" s="469"/>
      <c r="I581" s="470"/>
      <c r="J581" s="99"/>
      <c r="K581" s="268">
        <f>SUM(K582:K584)</f>
        <v>208.53700000000003</v>
      </c>
      <c r="L581" s="82">
        <f t="shared" si="24"/>
        <v>208.53700000000003</v>
      </c>
      <c r="M581" s="82">
        <f>'BOLETIM DE MEDIÇÃO 05'!G188</f>
        <v>405.64</v>
      </c>
      <c r="N581" s="86">
        <f t="shared" si="25"/>
        <v>197.10299999999995</v>
      </c>
    </row>
    <row r="582" spans="1:14" ht="22.5" x14ac:dyDescent="0.25">
      <c r="A582" s="79"/>
      <c r="B582" s="265"/>
      <c r="C582" s="66"/>
      <c r="D582" s="53" t="s">
        <v>875</v>
      </c>
      <c r="E582" s="44"/>
      <c r="F582" s="283">
        <v>1</v>
      </c>
      <c r="G582" s="121"/>
      <c r="H582" s="70">
        <v>27.1</v>
      </c>
      <c r="I582" s="105">
        <v>3.1</v>
      </c>
      <c r="J582" s="99"/>
      <c r="K582" s="268">
        <f>H582*I582*F582</f>
        <v>84.01</v>
      </c>
      <c r="L582" s="82"/>
      <c r="M582" s="82"/>
      <c r="N582" s="86"/>
    </row>
    <row r="583" spans="1:14" ht="22.5" x14ac:dyDescent="0.25">
      <c r="A583" s="79"/>
      <c r="B583" s="265"/>
      <c r="C583" s="66"/>
      <c r="D583" s="53" t="s">
        <v>878</v>
      </c>
      <c r="E583" s="44"/>
      <c r="F583" s="283">
        <v>1</v>
      </c>
      <c r="G583" s="121"/>
      <c r="H583" s="70">
        <v>11.67</v>
      </c>
      <c r="I583" s="105">
        <v>3.1</v>
      </c>
      <c r="J583" s="99"/>
      <c r="K583" s="268">
        <f t="shared" ref="K583:K591" si="30">H583*I583*F583</f>
        <v>36.177</v>
      </c>
      <c r="L583" s="82"/>
      <c r="M583" s="82"/>
      <c r="N583" s="86"/>
    </row>
    <row r="584" spans="1:14" ht="33.75" x14ac:dyDescent="0.25">
      <c r="A584" s="79"/>
      <c r="B584" s="50"/>
      <c r="C584" s="66"/>
      <c r="D584" s="53" t="s">
        <v>877</v>
      </c>
      <c r="E584" s="44"/>
      <c r="F584" s="283">
        <v>1</v>
      </c>
      <c r="G584" s="121"/>
      <c r="H584" s="70">
        <v>28.5</v>
      </c>
      <c r="I584" s="105">
        <v>3.1</v>
      </c>
      <c r="J584" s="99"/>
      <c r="K584" s="268">
        <f t="shared" si="30"/>
        <v>88.350000000000009</v>
      </c>
      <c r="L584" s="82"/>
      <c r="M584" s="82"/>
      <c r="N584" s="86"/>
    </row>
    <row r="585" spans="1:14" ht="45" hidden="1" x14ac:dyDescent="0.25">
      <c r="A585" s="79"/>
      <c r="B585" s="50" t="s">
        <v>494</v>
      </c>
      <c r="C585" s="66">
        <v>87893</v>
      </c>
      <c r="D585" s="53" t="s">
        <v>151</v>
      </c>
      <c r="E585" s="44" t="s">
        <v>17</v>
      </c>
      <c r="F585" s="259"/>
      <c r="G585" s="121"/>
      <c r="H585" s="70"/>
      <c r="I585" s="105"/>
      <c r="J585" s="99">
        <f>'BOLETIM DE MEDIÇÃO 05'!O189-'MEMORIAL DE CALCULO 03'!K585</f>
        <v>811.2700000000001</v>
      </c>
      <c r="K585" s="240">
        <f t="shared" si="30"/>
        <v>0</v>
      </c>
      <c r="L585" s="82">
        <f t="shared" si="24"/>
        <v>811.2700000000001</v>
      </c>
      <c r="M585" s="82">
        <f>'BOLETIM DE MEDIÇÃO 05'!G189</f>
        <v>811.27</v>
      </c>
      <c r="N585" s="86">
        <f t="shared" si="25"/>
        <v>0</v>
      </c>
    </row>
    <row r="586" spans="1:14" ht="56.25" hidden="1" x14ac:dyDescent="0.25">
      <c r="A586" s="79"/>
      <c r="B586" s="50" t="s">
        <v>495</v>
      </c>
      <c r="C586" s="66">
        <v>87548</v>
      </c>
      <c r="D586" s="53" t="s">
        <v>154</v>
      </c>
      <c r="E586" s="44" t="s">
        <v>17</v>
      </c>
      <c r="F586" s="259"/>
      <c r="G586" s="121"/>
      <c r="H586" s="70"/>
      <c r="I586" s="105"/>
      <c r="J586" s="99">
        <f>'BOLETIM DE MEDIÇÃO 05'!O190-'MEMORIAL DE CALCULO 03'!K586</f>
        <v>405.66600000000005</v>
      </c>
      <c r="K586" s="240">
        <f t="shared" si="30"/>
        <v>0</v>
      </c>
      <c r="L586" s="82">
        <f t="shared" si="24"/>
        <v>405.66600000000005</v>
      </c>
      <c r="M586" s="82">
        <f>'BOLETIM DE MEDIÇÃO 05'!G190</f>
        <v>811.27</v>
      </c>
      <c r="N586" s="86">
        <f t="shared" si="25"/>
        <v>405.60399999999993</v>
      </c>
    </row>
    <row r="587" spans="1:14" ht="22.5" hidden="1" x14ac:dyDescent="0.25">
      <c r="A587" s="79"/>
      <c r="B587" s="50" t="s">
        <v>496</v>
      </c>
      <c r="C587" s="66">
        <v>88489</v>
      </c>
      <c r="D587" s="53" t="s">
        <v>198</v>
      </c>
      <c r="E587" s="44" t="s">
        <v>17</v>
      </c>
      <c r="F587" s="259"/>
      <c r="G587" s="121"/>
      <c r="H587" s="70"/>
      <c r="I587" s="105"/>
      <c r="J587" s="99">
        <f>'BOLETIM DE MEDIÇÃO 05'!O191-'MEMORIAL DE CALCULO 03'!K587</f>
        <v>0</v>
      </c>
      <c r="K587" s="240">
        <f t="shared" si="30"/>
        <v>0</v>
      </c>
      <c r="L587" s="82">
        <f t="shared" si="24"/>
        <v>0</v>
      </c>
      <c r="M587" s="82">
        <f>'BOLETIM DE MEDIÇÃO 05'!G191</f>
        <v>811.27</v>
      </c>
      <c r="N587" s="86">
        <f t="shared" si="25"/>
        <v>811.27</v>
      </c>
    </row>
    <row r="588" spans="1:14" ht="22.5" hidden="1" x14ac:dyDescent="0.25">
      <c r="A588" s="79"/>
      <c r="B588" s="50" t="s">
        <v>497</v>
      </c>
      <c r="C588" s="66">
        <v>95305</v>
      </c>
      <c r="D588" s="53" t="s">
        <v>499</v>
      </c>
      <c r="E588" s="44" t="s">
        <v>17</v>
      </c>
      <c r="F588" s="259"/>
      <c r="G588" s="121"/>
      <c r="H588" s="70"/>
      <c r="I588" s="105"/>
      <c r="J588" s="99">
        <f>'BOLETIM DE MEDIÇÃO 05'!O192-'MEMORIAL DE CALCULO 03'!K588</f>
        <v>0</v>
      </c>
      <c r="K588" s="240">
        <f t="shared" si="30"/>
        <v>0</v>
      </c>
      <c r="L588" s="82">
        <f t="shared" si="24"/>
        <v>0</v>
      </c>
      <c r="M588" s="82">
        <f>'BOLETIM DE MEDIÇÃO 05'!G192</f>
        <v>811.27</v>
      </c>
      <c r="N588" s="86">
        <f t="shared" si="25"/>
        <v>811.27</v>
      </c>
    </row>
    <row r="589" spans="1:14" ht="14.45" hidden="1" customHeight="1" x14ac:dyDescent="0.25">
      <c r="A589" s="79"/>
      <c r="B589" s="51">
        <v>1.1599999999999999</v>
      </c>
      <c r="C589" s="65" t="s">
        <v>501</v>
      </c>
      <c r="D589" s="53"/>
      <c r="E589" s="44"/>
      <c r="F589" s="259"/>
      <c r="G589" s="121"/>
      <c r="H589" s="271"/>
      <c r="I589" s="105"/>
      <c r="J589" s="99"/>
      <c r="K589" s="240">
        <f t="shared" si="30"/>
        <v>0</v>
      </c>
      <c r="L589" s="82"/>
      <c r="M589" s="82"/>
      <c r="N589" s="86"/>
    </row>
    <row r="590" spans="1:14" ht="33.75" hidden="1" x14ac:dyDescent="0.25">
      <c r="A590" s="79"/>
      <c r="B590" s="50" t="s">
        <v>502</v>
      </c>
      <c r="C590" s="59" t="s">
        <v>503</v>
      </c>
      <c r="D590" s="53" t="s">
        <v>504</v>
      </c>
      <c r="E590" s="44" t="s">
        <v>166</v>
      </c>
      <c r="F590" s="259"/>
      <c r="G590" s="121"/>
      <c r="H590" s="70"/>
      <c r="I590" s="105"/>
      <c r="J590" s="99">
        <f>'BOLETIM DE MEDIÇÃO 05'!O194-'MEMORIAL DE CALCULO 03'!K590</f>
        <v>0</v>
      </c>
      <c r="K590" s="240">
        <f t="shared" si="30"/>
        <v>0</v>
      </c>
      <c r="L590" s="82">
        <f t="shared" si="24"/>
        <v>0</v>
      </c>
      <c r="M590" s="82">
        <f>'BOLETIM DE MEDIÇÃO 05'!G194</f>
        <v>2</v>
      </c>
      <c r="N590" s="86">
        <f t="shared" si="25"/>
        <v>2</v>
      </c>
    </row>
    <row r="591" spans="1:14" ht="45" hidden="1" x14ac:dyDescent="0.25">
      <c r="A591" s="79"/>
      <c r="B591" s="119" t="s">
        <v>505</v>
      </c>
      <c r="C591" s="235" t="s">
        <v>506</v>
      </c>
      <c r="D591" s="188" t="s">
        <v>507</v>
      </c>
      <c r="E591" s="189" t="s">
        <v>166</v>
      </c>
      <c r="F591" s="260"/>
      <c r="G591" s="191"/>
      <c r="H591" s="134"/>
      <c r="I591" s="257"/>
      <c r="J591" s="254">
        <f>'BOLETIM DE MEDIÇÃO 05'!O195-'MEMORIAL DE CALCULO 03'!K591</f>
        <v>0</v>
      </c>
      <c r="K591" s="240">
        <f t="shared" si="30"/>
        <v>0</v>
      </c>
      <c r="L591" s="236">
        <f t="shared" si="24"/>
        <v>0</v>
      </c>
      <c r="M591" s="236">
        <f>'BOLETIM DE MEDIÇÃO 05'!G195</f>
        <v>1</v>
      </c>
      <c r="N591" s="237">
        <f t="shared" si="25"/>
        <v>1</v>
      </c>
    </row>
    <row r="592" spans="1:14" x14ac:dyDescent="0.25">
      <c r="A592" s="79"/>
      <c r="B592" s="266"/>
      <c r="C592" s="266"/>
      <c r="D592" s="255"/>
      <c r="E592" s="238"/>
      <c r="F592" s="261"/>
      <c r="G592" s="272"/>
      <c r="H592" s="273"/>
      <c r="I592" s="274"/>
      <c r="J592" s="255"/>
      <c r="K592" s="238"/>
      <c r="L592" s="238"/>
      <c r="M592" s="238"/>
      <c r="N592" s="258"/>
    </row>
    <row r="595" spans="4:13" ht="69.599999999999994" customHeight="1" x14ac:dyDescent="0.25">
      <c r="D595" s="278" t="s">
        <v>832</v>
      </c>
      <c r="E595" s="277" t="s">
        <v>41</v>
      </c>
      <c r="F595" s="279"/>
      <c r="G595" s="539" t="s">
        <v>836</v>
      </c>
      <c r="H595" s="539"/>
      <c r="I595" s="539"/>
      <c r="J595" s="279"/>
      <c r="K595" s="280">
        <f>SUM(K598:K602)</f>
        <v>16.472439999999999</v>
      </c>
      <c r="M595" s="282"/>
    </row>
    <row r="596" spans="4:13" x14ac:dyDescent="0.25">
      <c r="D596" s="239"/>
      <c r="E596" s="239"/>
      <c r="F596" s="239"/>
      <c r="G596" s="239"/>
      <c r="H596" s="239"/>
      <c r="I596" s="239"/>
      <c r="J596" s="239"/>
      <c r="K596" s="239"/>
    </row>
    <row r="597" spans="4:13" ht="36.6" customHeight="1" x14ac:dyDescent="0.25">
      <c r="D597" s="281"/>
      <c r="E597" s="239"/>
      <c r="F597" s="275" t="s">
        <v>556</v>
      </c>
      <c r="G597" s="276" t="s">
        <v>833</v>
      </c>
      <c r="H597" s="276" t="s">
        <v>834</v>
      </c>
      <c r="I597" s="276" t="s">
        <v>835</v>
      </c>
      <c r="J597" s="239"/>
      <c r="K597" s="239"/>
    </row>
    <row r="598" spans="4:13" x14ac:dyDescent="0.25">
      <c r="D598" s="288" t="s">
        <v>879</v>
      </c>
      <c r="E598" s="239"/>
      <c r="F598" s="245">
        <v>1</v>
      </c>
      <c r="G598" s="245">
        <v>12.5</v>
      </c>
      <c r="H598" s="245">
        <v>0.1</v>
      </c>
      <c r="I598" s="245">
        <v>0.36</v>
      </c>
      <c r="J598" s="277"/>
      <c r="K598" s="245">
        <f>((I598+H598/2)*G598)*0.2</f>
        <v>1.0250000000000001</v>
      </c>
    </row>
    <row r="599" spans="4:13" ht="22.5" x14ac:dyDescent="0.25">
      <c r="D599" s="288" t="s">
        <v>876</v>
      </c>
      <c r="E599" s="239"/>
      <c r="F599" s="245">
        <v>1</v>
      </c>
      <c r="G599" s="245">
        <v>11.67</v>
      </c>
      <c r="H599" s="245">
        <v>0.36</v>
      </c>
      <c r="I599" s="245">
        <v>0.53</v>
      </c>
      <c r="J599" s="277"/>
      <c r="K599" s="245">
        <f t="shared" ref="K599:K602" si="31">((I599+H599/2)*G599)*0.2</f>
        <v>1.6571400000000001</v>
      </c>
    </row>
    <row r="600" spans="4:13" ht="33.75" x14ac:dyDescent="0.25">
      <c r="D600" s="288" t="s">
        <v>880</v>
      </c>
      <c r="E600" s="239"/>
      <c r="F600" s="245">
        <v>1</v>
      </c>
      <c r="G600" s="245">
        <v>27.1</v>
      </c>
      <c r="H600" s="245">
        <v>0.53</v>
      </c>
      <c r="I600" s="245">
        <v>0.74</v>
      </c>
      <c r="J600" s="277"/>
      <c r="K600" s="245">
        <f t="shared" si="31"/>
        <v>5.4470999999999998</v>
      </c>
    </row>
    <row r="601" spans="4:13" ht="33.75" x14ac:dyDescent="0.25">
      <c r="D601" s="288" t="s">
        <v>881</v>
      </c>
      <c r="E601" s="239"/>
      <c r="F601" s="245">
        <v>1</v>
      </c>
      <c r="G601" s="245">
        <v>33.9</v>
      </c>
      <c r="H601" s="245">
        <v>0.74</v>
      </c>
      <c r="I601" s="245">
        <v>0.61</v>
      </c>
      <c r="J601" s="277"/>
      <c r="K601" s="245">
        <f t="shared" si="31"/>
        <v>6.644400000000001</v>
      </c>
    </row>
    <row r="602" spans="4:13" ht="22.5" x14ac:dyDescent="0.25">
      <c r="D602" s="288" t="s">
        <v>882</v>
      </c>
      <c r="E602" s="239"/>
      <c r="F602" s="245">
        <v>1</v>
      </c>
      <c r="G602" s="245">
        <v>12.4</v>
      </c>
      <c r="H602" s="245">
        <v>0.61</v>
      </c>
      <c r="I602" s="245">
        <v>0.38</v>
      </c>
      <c r="J602" s="277"/>
      <c r="K602" s="245">
        <f t="shared" si="31"/>
        <v>1.6988000000000003</v>
      </c>
    </row>
  </sheetData>
  <mergeCells count="262">
    <mergeCell ref="G581:I581"/>
    <mergeCell ref="G579:I579"/>
    <mergeCell ref="G257:I257"/>
    <mergeCell ref="G595:I595"/>
    <mergeCell ref="F70:F71"/>
    <mergeCell ref="G260:I260"/>
    <mergeCell ref="G190:H190"/>
    <mergeCell ref="G191:H191"/>
    <mergeCell ref="G174:H174"/>
    <mergeCell ref="G175:H175"/>
    <mergeCell ref="G176:H176"/>
    <mergeCell ref="G177:H177"/>
    <mergeCell ref="G178:H178"/>
    <mergeCell ref="G249:I249"/>
    <mergeCell ref="G208:I208"/>
    <mergeCell ref="G245:H245"/>
    <mergeCell ref="G246:H246"/>
    <mergeCell ref="G247:H247"/>
    <mergeCell ref="G248:I248"/>
    <mergeCell ref="G258:I258"/>
    <mergeCell ref="G259:I259"/>
    <mergeCell ref="G239:H239"/>
    <mergeCell ref="G240:H240"/>
    <mergeCell ref="G241:H241"/>
    <mergeCell ref="G365:H365"/>
    <mergeCell ref="G366:H366"/>
    <mergeCell ref="G367:H367"/>
    <mergeCell ref="G368:H368"/>
    <mergeCell ref="G369:H369"/>
    <mergeCell ref="G370:H370"/>
    <mergeCell ref="G339:I339"/>
    <mergeCell ref="G330:I330"/>
    <mergeCell ref="G341:I341"/>
    <mergeCell ref="G340:I340"/>
    <mergeCell ref="G359:H359"/>
    <mergeCell ref="G360:H360"/>
    <mergeCell ref="G361:H361"/>
    <mergeCell ref="G362:H362"/>
    <mergeCell ref="G363:H363"/>
    <mergeCell ref="G364:H364"/>
    <mergeCell ref="G353:H353"/>
    <mergeCell ref="G354:H354"/>
    <mergeCell ref="G355:H355"/>
    <mergeCell ref="G356:H356"/>
    <mergeCell ref="G357:H357"/>
    <mergeCell ref="G358:H358"/>
    <mergeCell ref="G350:H350"/>
    <mergeCell ref="G351:H351"/>
    <mergeCell ref="G556:H556"/>
    <mergeCell ref="G557:H557"/>
    <mergeCell ref="G377:H377"/>
    <mergeCell ref="G378:H378"/>
    <mergeCell ref="G379:H379"/>
    <mergeCell ref="G380:H380"/>
    <mergeCell ref="G522:I522"/>
    <mergeCell ref="G544:I544"/>
    <mergeCell ref="G371:H371"/>
    <mergeCell ref="G372:H372"/>
    <mergeCell ref="G373:H373"/>
    <mergeCell ref="G374:H374"/>
    <mergeCell ref="G375:H375"/>
    <mergeCell ref="G376:H376"/>
    <mergeCell ref="G525:I525"/>
    <mergeCell ref="G524:I524"/>
    <mergeCell ref="G516:I516"/>
    <mergeCell ref="G352:H352"/>
    <mergeCell ref="G338:H338"/>
    <mergeCell ref="G332:H332"/>
    <mergeCell ref="G333:H333"/>
    <mergeCell ref="G334:H334"/>
    <mergeCell ref="G335:H335"/>
    <mergeCell ref="G336:H336"/>
    <mergeCell ref="G337:H337"/>
    <mergeCell ref="G325:H325"/>
    <mergeCell ref="G326:H326"/>
    <mergeCell ref="G327:H327"/>
    <mergeCell ref="G328:H328"/>
    <mergeCell ref="G329:H329"/>
    <mergeCell ref="G331:H331"/>
    <mergeCell ref="G319:H319"/>
    <mergeCell ref="G320:H320"/>
    <mergeCell ref="G321:H321"/>
    <mergeCell ref="G322:H322"/>
    <mergeCell ref="G323:H323"/>
    <mergeCell ref="G324:H324"/>
    <mergeCell ref="G313:H313"/>
    <mergeCell ref="G314:H314"/>
    <mergeCell ref="G315:H315"/>
    <mergeCell ref="G316:H316"/>
    <mergeCell ref="G317:H317"/>
    <mergeCell ref="G318:H318"/>
    <mergeCell ref="G307:H307"/>
    <mergeCell ref="G308:H308"/>
    <mergeCell ref="G309:H309"/>
    <mergeCell ref="G310:H310"/>
    <mergeCell ref="G311:H311"/>
    <mergeCell ref="G312:H312"/>
    <mergeCell ref="G298:H298"/>
    <mergeCell ref="G299:H299"/>
    <mergeCell ref="G300:H300"/>
    <mergeCell ref="G301:H301"/>
    <mergeCell ref="G303:I303"/>
    <mergeCell ref="G306:H306"/>
    <mergeCell ref="G292:H292"/>
    <mergeCell ref="G293:H293"/>
    <mergeCell ref="G295:H295"/>
    <mergeCell ref="G296:H296"/>
    <mergeCell ref="G297:H297"/>
    <mergeCell ref="G294:I294"/>
    <mergeCell ref="G276:H276"/>
    <mergeCell ref="G277:H277"/>
    <mergeCell ref="G278:H278"/>
    <mergeCell ref="G279:H279"/>
    <mergeCell ref="G286:H286"/>
    <mergeCell ref="G287:H287"/>
    <mergeCell ref="G288:H288"/>
    <mergeCell ref="G289:H289"/>
    <mergeCell ref="G290:H290"/>
    <mergeCell ref="G291:H291"/>
    <mergeCell ref="G280:H280"/>
    <mergeCell ref="G281:H281"/>
    <mergeCell ref="G282:H282"/>
    <mergeCell ref="G283:H283"/>
    <mergeCell ref="G284:H284"/>
    <mergeCell ref="G285:H285"/>
    <mergeCell ref="G262:I262"/>
    <mergeCell ref="G268:H268"/>
    <mergeCell ref="G269:H269"/>
    <mergeCell ref="G270:H270"/>
    <mergeCell ref="G271:H271"/>
    <mergeCell ref="G272:H272"/>
    <mergeCell ref="G273:H273"/>
    <mergeCell ref="G274:H274"/>
    <mergeCell ref="G275:H275"/>
    <mergeCell ref="G263:H263"/>
    <mergeCell ref="G264:H264"/>
    <mergeCell ref="G265:H265"/>
    <mergeCell ref="G266:H266"/>
    <mergeCell ref="G267:H267"/>
    <mergeCell ref="G231:H231"/>
    <mergeCell ref="G232:H232"/>
    <mergeCell ref="G221:H221"/>
    <mergeCell ref="G222:H222"/>
    <mergeCell ref="G223:H223"/>
    <mergeCell ref="G224:H224"/>
    <mergeCell ref="G225:H225"/>
    <mergeCell ref="G226:H226"/>
    <mergeCell ref="G261:I261"/>
    <mergeCell ref="G233:H233"/>
    <mergeCell ref="G234:H234"/>
    <mergeCell ref="G235:H235"/>
    <mergeCell ref="G236:H236"/>
    <mergeCell ref="G237:H237"/>
    <mergeCell ref="G238:H238"/>
    <mergeCell ref="G243:H243"/>
    <mergeCell ref="G244:H244"/>
    <mergeCell ref="G242:H242"/>
    <mergeCell ref="G103:H103"/>
    <mergeCell ref="G104:H104"/>
    <mergeCell ref="G105:H105"/>
    <mergeCell ref="G101:H101"/>
    <mergeCell ref="G94:H94"/>
    <mergeCell ref="G207:H207"/>
    <mergeCell ref="G209:I209"/>
    <mergeCell ref="G217:H217"/>
    <mergeCell ref="G218:H218"/>
    <mergeCell ref="G192:H192"/>
    <mergeCell ref="G193:H193"/>
    <mergeCell ref="G194:H194"/>
    <mergeCell ref="G195:H195"/>
    <mergeCell ref="G196:H196"/>
    <mergeCell ref="G197:H197"/>
    <mergeCell ref="G198:H198"/>
    <mergeCell ref="G199:H199"/>
    <mergeCell ref="G183:H183"/>
    <mergeCell ref="G184:H184"/>
    <mergeCell ref="G185:H185"/>
    <mergeCell ref="G186:H186"/>
    <mergeCell ref="G187:H187"/>
    <mergeCell ref="G188:H188"/>
    <mergeCell ref="G189:H189"/>
    <mergeCell ref="G88:H88"/>
    <mergeCell ref="G20:I20"/>
    <mergeCell ref="G22:I22"/>
    <mergeCell ref="G72:I72"/>
    <mergeCell ref="G70:I71"/>
    <mergeCell ref="G180:H180"/>
    <mergeCell ref="G181:H181"/>
    <mergeCell ref="G182:H182"/>
    <mergeCell ref="G172:I172"/>
    <mergeCell ref="G173:I173"/>
    <mergeCell ref="G89:H89"/>
    <mergeCell ref="G91:H91"/>
    <mergeCell ref="G92:H92"/>
    <mergeCell ref="G93:H93"/>
    <mergeCell ref="G106:H106"/>
    <mergeCell ref="G107:H107"/>
    <mergeCell ref="G90:H90"/>
    <mergeCell ref="G95:H95"/>
    <mergeCell ref="G96:H96"/>
    <mergeCell ref="G97:H97"/>
    <mergeCell ref="G98:H98"/>
    <mergeCell ref="G99:H99"/>
    <mergeCell ref="G100:H100"/>
    <mergeCell ref="G102:H102"/>
    <mergeCell ref="G76:H76"/>
    <mergeCell ref="G81:H81"/>
    <mergeCell ref="G82:H82"/>
    <mergeCell ref="G83:H83"/>
    <mergeCell ref="G84:H84"/>
    <mergeCell ref="G85:H85"/>
    <mergeCell ref="G86:H86"/>
    <mergeCell ref="G87:H87"/>
    <mergeCell ref="G73:H73"/>
    <mergeCell ref="G74:H74"/>
    <mergeCell ref="G75:H75"/>
    <mergeCell ref="G77:H77"/>
    <mergeCell ref="G78:H78"/>
    <mergeCell ref="G79:H79"/>
    <mergeCell ref="G80:H80"/>
    <mergeCell ref="B10:B11"/>
    <mergeCell ref="C10:C11"/>
    <mergeCell ref="D10:D11"/>
    <mergeCell ref="E10:E11"/>
    <mergeCell ref="F10:F11"/>
    <mergeCell ref="G10:I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J10:N10"/>
    <mergeCell ref="G108:I108"/>
    <mergeCell ref="G179:H179"/>
    <mergeCell ref="G567:I567"/>
    <mergeCell ref="G558:H558"/>
    <mergeCell ref="G559:H559"/>
    <mergeCell ref="G560:H560"/>
    <mergeCell ref="G561:H561"/>
    <mergeCell ref="G562:H562"/>
    <mergeCell ref="G563:H563"/>
    <mergeCell ref="G564:H564"/>
    <mergeCell ref="G565:H565"/>
    <mergeCell ref="G566:H566"/>
    <mergeCell ref="G219:H219"/>
    <mergeCell ref="G220:H220"/>
    <mergeCell ref="G201:H201"/>
    <mergeCell ref="G202:H202"/>
    <mergeCell ref="G203:H203"/>
    <mergeCell ref="G204:H204"/>
    <mergeCell ref="G205:H205"/>
    <mergeCell ref="G206:H206"/>
    <mergeCell ref="G227:H227"/>
    <mergeCell ref="G228:H228"/>
    <mergeCell ref="G229:H229"/>
    <mergeCell ref="G230:H230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I103 I93" formula="1"/>
  </ignoredError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198"/>
  <sheetViews>
    <sheetView topLeftCell="A35" zoomScale="68" zoomScaleNormal="40" workbookViewId="0">
      <selection activeCell="O64" sqref="O6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714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v>45352</v>
      </c>
      <c r="C8" s="498"/>
      <c r="D8" s="23" t="s">
        <v>712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3"/>
      <c r="K8" s="503"/>
      <c r="L8" s="503"/>
      <c r="M8" s="503"/>
      <c r="N8" s="503"/>
      <c r="O8" s="503"/>
      <c r="P8" s="519"/>
      <c r="Q8" s="504" t="s">
        <v>711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724"/>
  <sheetViews>
    <sheetView topLeftCell="A381" zoomScaleNormal="100" workbookViewId="0">
      <selection activeCell="K705" sqref="K70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3" t="s">
        <v>884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v>45386</v>
      </c>
      <c r="C8" s="498"/>
      <c r="D8" s="23" t="s">
        <v>886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4" t="s">
        <v>887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04'!K14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04'!K15</f>
        <v>2.25</v>
      </c>
      <c r="K15" s="81">
        <f>F15*G15*H15</f>
        <v>2.75</v>
      </c>
      <c r="L15" s="82">
        <f t="shared" ref="L15:L514" si="0">J15+K15</f>
        <v>5</v>
      </c>
      <c r="M15" s="82">
        <f>'BOLETIM DE MEDIÇÃO 05'!G15</f>
        <v>5</v>
      </c>
      <c r="N15" s="86">
        <f t="shared" ref="N15:N5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04'!K16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04'!K17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04'!K19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04'!K21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04'!K24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04'!K25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0">
        <v>1</v>
      </c>
      <c r="G70" s="525">
        <f>43.05</f>
        <v>43.05</v>
      </c>
      <c r="H70" s="526"/>
      <c r="I70" s="527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1"/>
      <c r="G71" s="528"/>
      <c r="H71" s="529"/>
      <c r="I71" s="530"/>
      <c r="J71" s="99"/>
      <c r="K71" s="81"/>
      <c r="L71" s="82">
        <f t="shared" si="0"/>
        <v>0</v>
      </c>
      <c r="M71" s="82"/>
      <c r="N71" s="86"/>
    </row>
    <row r="72" spans="2:14" ht="22.5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22" t="s">
        <v>883</v>
      </c>
      <c r="H72" s="523"/>
      <c r="I72" s="524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customHeight="1" x14ac:dyDescent="0.25">
      <c r="B73" s="247"/>
      <c r="C73" s="248"/>
      <c r="D73" s="286" t="s">
        <v>871</v>
      </c>
      <c r="E73" s="242"/>
      <c r="F73" s="243"/>
      <c r="G73" s="520" t="s">
        <v>838</v>
      </c>
      <c r="H73" s="521"/>
      <c r="I73" s="287" t="s">
        <v>870</v>
      </c>
      <c r="J73" s="249"/>
      <c r="K73" s="251"/>
      <c r="L73" s="251"/>
      <c r="M73" s="251"/>
      <c r="N73" s="252"/>
    </row>
    <row r="74" spans="2:14" x14ac:dyDescent="0.25">
      <c r="B74" s="247"/>
      <c r="C74" s="248"/>
      <c r="D74" s="285" t="s">
        <v>837</v>
      </c>
      <c r="E74" s="242"/>
      <c r="F74" s="243"/>
      <c r="G74" s="520">
        <v>9</v>
      </c>
      <c r="H74" s="521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x14ac:dyDescent="0.25">
      <c r="B75" s="247"/>
      <c r="C75" s="248"/>
      <c r="D75" s="285" t="s">
        <v>839</v>
      </c>
      <c r="E75" s="242"/>
      <c r="F75" s="243"/>
      <c r="G75" s="520">
        <v>5</v>
      </c>
      <c r="H75" s="521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x14ac:dyDescent="0.25">
      <c r="B76" s="247"/>
      <c r="C76" s="248"/>
      <c r="D76" s="291" t="s">
        <v>872</v>
      </c>
      <c r="E76" s="242"/>
      <c r="F76" s="243"/>
      <c r="G76" s="520">
        <f xml:space="preserve"> (13.03 * 2.7)</f>
        <v>35.180999999999997</v>
      </c>
      <c r="H76" s="521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x14ac:dyDescent="0.25">
      <c r="B77" s="247"/>
      <c r="C77" s="248"/>
      <c r="D77" s="285" t="s">
        <v>843</v>
      </c>
      <c r="E77" s="242"/>
      <c r="F77" s="243"/>
      <c r="G77" s="520">
        <v>3</v>
      </c>
      <c r="H77" s="521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x14ac:dyDescent="0.25">
      <c r="B78" s="247"/>
      <c r="C78" s="248"/>
      <c r="D78" s="285" t="s">
        <v>840</v>
      </c>
      <c r="E78" s="242"/>
      <c r="F78" s="243"/>
      <c r="G78" s="520">
        <v>7</v>
      </c>
      <c r="H78" s="521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x14ac:dyDescent="0.25">
      <c r="B79" s="247"/>
      <c r="C79" s="248"/>
      <c r="D79" s="285" t="s">
        <v>841</v>
      </c>
      <c r="E79" s="242"/>
      <c r="F79" s="243"/>
      <c r="G79" s="520">
        <v>21</v>
      </c>
      <c r="H79" s="521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x14ac:dyDescent="0.25">
      <c r="B80" s="247"/>
      <c r="C80" s="248"/>
      <c r="D80" s="285" t="s">
        <v>846</v>
      </c>
      <c r="E80" s="242"/>
      <c r="F80" s="243"/>
      <c r="G80" s="520">
        <v>27</v>
      </c>
      <c r="H80" s="521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x14ac:dyDescent="0.25">
      <c r="B81" s="247"/>
      <c r="C81" s="248"/>
      <c r="D81" s="285" t="s">
        <v>842</v>
      </c>
      <c r="E81" s="242"/>
      <c r="F81" s="243"/>
      <c r="G81" s="520">
        <v>26</v>
      </c>
      <c r="H81" s="521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x14ac:dyDescent="0.25">
      <c r="B82" s="247"/>
      <c r="C82" s="248"/>
      <c r="D82" s="285" t="s">
        <v>844</v>
      </c>
      <c r="E82" s="242"/>
      <c r="F82" s="243"/>
      <c r="G82" s="520">
        <v>1.6</v>
      </c>
      <c r="H82" s="521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x14ac:dyDescent="0.25">
      <c r="B83" s="247"/>
      <c r="C83" s="248"/>
      <c r="D83" s="285" t="s">
        <v>845</v>
      </c>
      <c r="E83" s="242"/>
      <c r="F83" s="243"/>
      <c r="G83" s="520">
        <v>1.6</v>
      </c>
      <c r="H83" s="521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x14ac:dyDescent="0.25">
      <c r="B84" s="247"/>
      <c r="C84" s="248"/>
      <c r="D84" s="285" t="s">
        <v>848</v>
      </c>
      <c r="E84" s="242"/>
      <c r="F84" s="243"/>
      <c r="G84" s="520">
        <v>45</v>
      </c>
      <c r="H84" s="521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x14ac:dyDescent="0.25">
      <c r="B85" s="247"/>
      <c r="C85" s="248"/>
      <c r="D85" s="285" t="s">
        <v>849</v>
      </c>
      <c r="E85" s="242"/>
      <c r="F85" s="243"/>
      <c r="G85" s="520">
        <v>19</v>
      </c>
      <c r="H85" s="521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x14ac:dyDescent="0.25">
      <c r="B86" s="247"/>
      <c r="C86" s="248"/>
      <c r="D86" s="285" t="s">
        <v>850</v>
      </c>
      <c r="E86" s="242"/>
      <c r="F86" s="243"/>
      <c r="G86" s="520">
        <v>19</v>
      </c>
      <c r="H86" s="521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x14ac:dyDescent="0.25">
      <c r="B87" s="247"/>
      <c r="C87" s="248"/>
      <c r="D87" s="285" t="s">
        <v>851</v>
      </c>
      <c r="E87" s="242"/>
      <c r="F87" s="243"/>
      <c r="G87" s="520">
        <v>5</v>
      </c>
      <c r="H87" s="521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x14ac:dyDescent="0.25">
      <c r="B88" s="247"/>
      <c r="C88" s="248"/>
      <c r="D88" s="285" t="s">
        <v>852</v>
      </c>
      <c r="E88" s="242"/>
      <c r="F88" s="243"/>
      <c r="G88" s="520">
        <v>14</v>
      </c>
      <c r="H88" s="521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x14ac:dyDescent="0.25">
      <c r="B89" s="247"/>
      <c r="C89" s="248"/>
      <c r="D89" s="285" t="s">
        <v>853</v>
      </c>
      <c r="E89" s="289"/>
      <c r="F89" s="290"/>
      <c r="G89" s="531">
        <v>36</v>
      </c>
      <c r="H89" s="532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x14ac:dyDescent="0.25">
      <c r="B90" s="247"/>
      <c r="C90" s="248"/>
      <c r="D90" s="285" t="s">
        <v>867</v>
      </c>
      <c r="E90" s="242"/>
      <c r="F90" s="243"/>
      <c r="G90" s="531">
        <v>46</v>
      </c>
      <c r="H90" s="532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x14ac:dyDescent="0.25">
      <c r="B91" s="247"/>
      <c r="C91" s="248"/>
      <c r="D91" s="285" t="s">
        <v>854</v>
      </c>
      <c r="E91" s="242"/>
      <c r="F91" s="243"/>
      <c r="G91" s="520">
        <v>41</v>
      </c>
      <c r="H91" s="521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x14ac:dyDescent="0.25">
      <c r="B92" s="247"/>
      <c r="C92" s="248"/>
      <c r="D92" s="285" t="s">
        <v>847</v>
      </c>
      <c r="E92" s="242"/>
      <c r="F92" s="243"/>
      <c r="G92" s="520">
        <v>27</v>
      </c>
      <c r="H92" s="521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x14ac:dyDescent="0.25">
      <c r="B93" s="247"/>
      <c r="C93" s="248"/>
      <c r="D93" s="285" t="s">
        <v>855</v>
      </c>
      <c r="E93" s="242"/>
      <c r="F93" s="243"/>
      <c r="G93" s="520">
        <v>53</v>
      </c>
      <c r="H93" s="521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x14ac:dyDescent="0.25">
      <c r="B94" s="247"/>
      <c r="C94" s="248"/>
      <c r="D94" s="291" t="s">
        <v>869</v>
      </c>
      <c r="E94" s="242"/>
      <c r="F94" s="243"/>
      <c r="G94" s="520">
        <f xml:space="preserve"> (2.65*1.8)</f>
        <v>4.7699999999999996</v>
      </c>
      <c r="H94" s="521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x14ac:dyDescent="0.25">
      <c r="B95" s="247"/>
      <c r="C95" s="248"/>
      <c r="D95" s="285" t="s">
        <v>856</v>
      </c>
      <c r="E95" s="242"/>
      <c r="F95" s="243"/>
      <c r="G95" s="520">
        <v>30</v>
      </c>
      <c r="H95" s="521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x14ac:dyDescent="0.25">
      <c r="B96" s="247"/>
      <c r="C96" s="248"/>
      <c r="D96" s="285" t="s">
        <v>857</v>
      </c>
      <c r="E96" s="242"/>
      <c r="F96" s="243"/>
      <c r="G96" s="520">
        <v>30</v>
      </c>
      <c r="H96" s="521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x14ac:dyDescent="0.25">
      <c r="B97" s="247"/>
      <c r="C97" s="248"/>
      <c r="D97" s="285" t="s">
        <v>858</v>
      </c>
      <c r="E97" s="242"/>
      <c r="F97" s="243"/>
      <c r="G97" s="520">
        <v>14</v>
      </c>
      <c r="H97" s="521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x14ac:dyDescent="0.25">
      <c r="B98" s="247"/>
      <c r="C98" s="248"/>
      <c r="D98" s="285" t="s">
        <v>858</v>
      </c>
      <c r="E98" s="242"/>
      <c r="F98" s="243"/>
      <c r="G98" s="520">
        <v>14</v>
      </c>
      <c r="H98" s="521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x14ac:dyDescent="0.25">
      <c r="B99" s="247"/>
      <c r="C99" s="248"/>
      <c r="D99" s="285" t="s">
        <v>859</v>
      </c>
      <c r="E99" s="242"/>
      <c r="F99" s="243"/>
      <c r="G99" s="520">
        <v>20</v>
      </c>
      <c r="H99" s="521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x14ac:dyDescent="0.25">
      <c r="B100" s="247"/>
      <c r="C100" s="248"/>
      <c r="D100" s="285" t="s">
        <v>860</v>
      </c>
      <c r="E100" s="242"/>
      <c r="F100" s="243"/>
      <c r="G100" s="520">
        <v>3</v>
      </c>
      <c r="H100" s="521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x14ac:dyDescent="0.25">
      <c r="B101" s="247"/>
      <c r="C101" s="248"/>
      <c r="D101" s="285" t="s">
        <v>868</v>
      </c>
      <c r="E101" s="242"/>
      <c r="F101" s="243"/>
      <c r="G101" s="520">
        <v>4</v>
      </c>
      <c r="H101" s="521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x14ac:dyDescent="0.25">
      <c r="B102" s="247"/>
      <c r="C102" s="248"/>
      <c r="D102" s="285" t="s">
        <v>861</v>
      </c>
      <c r="E102" s="242"/>
      <c r="F102" s="243"/>
      <c r="G102" s="520">
        <v>12</v>
      </c>
      <c r="H102" s="521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x14ac:dyDescent="0.25">
      <c r="B103" s="247"/>
      <c r="C103" s="248"/>
      <c r="D103" s="285" t="s">
        <v>862</v>
      </c>
      <c r="E103" s="242"/>
      <c r="F103" s="243"/>
      <c r="G103" s="520">
        <v>20</v>
      </c>
      <c r="H103" s="521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x14ac:dyDescent="0.25">
      <c r="B104" s="247"/>
      <c r="C104" s="248"/>
      <c r="D104" s="285" t="s">
        <v>863</v>
      </c>
      <c r="E104" s="242"/>
      <c r="F104" s="243"/>
      <c r="G104" s="520">
        <v>4</v>
      </c>
      <c r="H104" s="521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x14ac:dyDescent="0.25">
      <c r="B105" s="247"/>
      <c r="C105" s="248"/>
      <c r="D105" s="285" t="s">
        <v>864</v>
      </c>
      <c r="E105" s="242"/>
      <c r="F105" s="243"/>
      <c r="G105" s="520">
        <v>5</v>
      </c>
      <c r="H105" s="521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x14ac:dyDescent="0.25">
      <c r="B106" s="49"/>
      <c r="C106" s="57"/>
      <c r="D106" s="292" t="s">
        <v>873</v>
      </c>
      <c r="E106" s="64"/>
      <c r="F106" s="94"/>
      <c r="G106" s="520">
        <f>1184.23-SUM(G74:H105)</f>
        <v>582.07900000000006</v>
      </c>
      <c r="H106" s="521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20"/>
      <c r="H107" s="521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09" t="s">
        <v>652</v>
      </c>
      <c r="H108" s="512"/>
      <c r="I108" s="51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04'!K154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04'!K163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6" t="s">
        <v>831</v>
      </c>
      <c r="H172" s="507"/>
      <c r="I172" s="508"/>
      <c r="J172" s="99">
        <f>'BOLETIM DE MEDIÇÃO 05'!O29-'MEMORIAL DE CALCULO 04'!K172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09">
        <v>492.78</v>
      </c>
      <c r="H173" s="512"/>
      <c r="I173" s="51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09">
        <f>(2*12)+(2*3.79)+(2*8.94)+(2*6.27)+ 1.39+0.99 +(2*1.85)+(2*1.7)+ (2*1.35)</f>
        <v>74.180000000000007</v>
      </c>
      <c r="H174" s="510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09">
        <f>(2*10.92)+(2*10.92)+ 1.3 + 1.1</f>
        <v>46.08</v>
      </c>
      <c r="H175" s="510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09">
        <f>(2*1.87)+(2*1.87)</f>
        <v>7.48</v>
      </c>
      <c r="H176" s="510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09">
        <f>(2*6.55)+(2*6.3)+1.75+1.35+1.19</f>
        <v>29.990000000000002</v>
      </c>
      <c r="H177" s="510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09">
        <f>(2*8.39)+(2*1.7)+ 1.1+ 3.13 + (2*5.24)+ (2*3.11)</f>
        <v>41.11</v>
      </c>
      <c r="H178" s="510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09"/>
      <c r="H179" s="510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09"/>
      <c r="H180" s="510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09"/>
      <c r="H181" s="510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09"/>
      <c r="H182" s="510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09"/>
      <c r="H183" s="510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09"/>
      <c r="H184" s="510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09"/>
      <c r="H185" s="510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09"/>
      <c r="H186" s="510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09"/>
      <c r="H187" s="510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09"/>
      <c r="H188" s="510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09"/>
      <c r="H189" s="510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09"/>
      <c r="H190" s="510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09"/>
      <c r="H191" s="510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09"/>
      <c r="H192" s="510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09"/>
      <c r="H193" s="510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09"/>
      <c r="H194" s="510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09"/>
      <c r="H195" s="510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09"/>
      <c r="H196" s="510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09"/>
      <c r="H197" s="510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09"/>
      <c r="H198" s="510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09"/>
      <c r="H199" s="510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6">
        <f xml:space="preserve"> (2*1.31) + (2*1.51) + (2*4.98)</f>
        <v>15.600000000000001</v>
      </c>
      <c r="H201" s="511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6">
        <f xml:space="preserve"> (3*3.37) + (1.37) + (2*3.47)</f>
        <v>18.420000000000002</v>
      </c>
      <c r="H202" s="511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6">
        <f xml:space="preserve"> (1.87) + (2*3.62)</f>
        <v>9.11</v>
      </c>
      <c r="H203" s="511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6">
        <f xml:space="preserve"> (4*0.88) + (2*3.36) + (2*5.03)</f>
        <v>20.3</v>
      </c>
      <c r="H204" s="511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6">
        <f xml:space="preserve"> (2*3.18) + (2*3.18)</f>
        <v>12.72</v>
      </c>
      <c r="H205" s="511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6">
        <f xml:space="preserve"> (4*2.15)</f>
        <v>8.6</v>
      </c>
      <c r="H206" s="511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6">
        <f xml:space="preserve"> (4*6.99)</f>
        <v>27.96</v>
      </c>
      <c r="H207" s="511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6" t="s">
        <v>831</v>
      </c>
      <c r="H208" s="507"/>
      <c r="I208" s="508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6"/>
      <c r="H209" s="507"/>
      <c r="I209" s="508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09" t="s">
        <v>679</v>
      </c>
      <c r="H217" s="510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6" t="s">
        <v>680</v>
      </c>
      <c r="H218" s="511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6" t="s">
        <v>681</v>
      </c>
      <c r="H219" s="511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6" t="s">
        <v>682</v>
      </c>
      <c r="H220" s="511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6" t="s">
        <v>684</v>
      </c>
      <c r="H221" s="511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6" t="s">
        <v>683</v>
      </c>
      <c r="H222" s="511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6" t="s">
        <v>685</v>
      </c>
      <c r="H223" s="511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09" t="s">
        <v>686</v>
      </c>
      <c r="H224" s="510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6" t="s">
        <v>687</v>
      </c>
      <c r="H225" s="511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6" t="s">
        <v>688</v>
      </c>
      <c r="H226" s="511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09" t="s">
        <v>689</v>
      </c>
      <c r="H227" s="510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6" t="s">
        <v>690</v>
      </c>
      <c r="H228" s="511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09" t="s">
        <v>691</v>
      </c>
      <c r="H229" s="510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6" t="s">
        <v>692</v>
      </c>
      <c r="H230" s="511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6" t="s">
        <v>693</v>
      </c>
      <c r="H231" s="511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09" t="s">
        <v>694</v>
      </c>
      <c r="H232" s="510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6" t="s">
        <v>695</v>
      </c>
      <c r="H233" s="511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6" t="s">
        <v>696</v>
      </c>
      <c r="H234" s="511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6" t="s">
        <v>697</v>
      </c>
      <c r="H235" s="511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6" t="s">
        <v>698</v>
      </c>
      <c r="H236" s="511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6" t="s">
        <v>699</v>
      </c>
      <c r="H237" s="511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6" t="s">
        <v>700</v>
      </c>
      <c r="H238" s="511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6" t="s">
        <v>701</v>
      </c>
      <c r="H239" s="511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09" t="s">
        <v>702</v>
      </c>
      <c r="H240" s="510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6" t="s">
        <v>704</v>
      </c>
      <c r="H241" s="511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6" t="s">
        <v>703</v>
      </c>
      <c r="H242" s="511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6" t="s">
        <v>703</v>
      </c>
      <c r="H243" s="511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6" t="s">
        <v>705</v>
      </c>
      <c r="H244" s="511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6" t="s">
        <v>704</v>
      </c>
      <c r="H245" s="511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6" t="s">
        <v>705</v>
      </c>
      <c r="H246" s="511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6" t="s">
        <v>704</v>
      </c>
      <c r="H247" s="511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6">
        <v>9.6</v>
      </c>
      <c r="H248" s="507"/>
      <c r="I248" s="508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6">
        <v>12.75</v>
      </c>
      <c r="H249" s="507"/>
      <c r="I249" s="508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36" t="s">
        <v>874</v>
      </c>
      <c r="H257" s="537"/>
      <c r="I257" s="538"/>
      <c r="J257" s="99">
        <f>'BOLETIM DE MEDIÇÃO 05'!O31-'MEMORIAL DE CALCULO 04'!K257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6"/>
      <c r="H258" s="507"/>
      <c r="I258" s="508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6">
        <v>9.6</v>
      </c>
      <c r="H259" s="507"/>
      <c r="I259" s="508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6" t="s">
        <v>831</v>
      </c>
      <c r="H260" s="507"/>
      <c r="I260" s="508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6">
        <f>G249</f>
        <v>12.75</v>
      </c>
      <c r="H261" s="507"/>
      <c r="I261" s="508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6" t="s">
        <v>831</v>
      </c>
      <c r="H262" s="507"/>
      <c r="I262" s="508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09" t="s">
        <v>647</v>
      </c>
      <c r="H263" s="510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6">
        <f xml:space="preserve"> ((0.59*(1.85/0.1)) * 2)</f>
        <v>21.83</v>
      </c>
      <c r="H264" s="511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6">
        <f>(0.69*(1.87/0.1)) + (0.79*(1.87/0.1))</f>
        <v>27.675999999999998</v>
      </c>
      <c r="H265" s="511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6">
        <f>((0.69*(1.9/0.1))*3) + ((0.59*(1.87/0.1))*2)</f>
        <v>61.395999999999987</v>
      </c>
      <c r="H266" s="511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6">
        <f>((0.69*(1.92/0.1))*1) + ((0.59*(1.92/0.1))*2)</f>
        <v>35.903999999999996</v>
      </c>
      <c r="H267" s="511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6">
        <f>((0.79*(1.94/0.1))*3)</f>
        <v>45.977999999999994</v>
      </c>
      <c r="H268" s="511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6">
        <f>((0.69*(1.96/0.1))*3) + ((0.59*(1.96/0.1))*2)</f>
        <v>63.699999999999989</v>
      </c>
      <c r="H269" s="511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6">
        <f>((0.59*(1.95/0.1))*2) + ((0.69*(1.95/0.1))*3) +((0.79*(1.95/0.1))*1)</f>
        <v>78.78</v>
      </c>
      <c r="H270" s="511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6">
        <f>((0.59*(1.97/0.1))*1)  +((0.79*(1.97/0.1))*2)</f>
        <v>42.749000000000002</v>
      </c>
      <c r="H271" s="511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6">
        <f>((0.59*(1.9/0.1))*3)</f>
        <v>33.629999999999995</v>
      </c>
      <c r="H272" s="511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6">
        <f>((0.69*(1.86/0.1))*1) + ((0.69*(1.86/0.1))*1) + ((0.89*(1.86/0.1))*1)</f>
        <v>42.222000000000001</v>
      </c>
      <c r="H273" s="511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6">
        <f>((0.69*(1.87/0.1))*3)</f>
        <v>38.708999999999996</v>
      </c>
      <c r="H274" s="511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6">
        <f>((0.69*(1.9/0.1))*1) + ((0.79*(1.9/0.1))*2) + ((0.59*(1.9/0.1))*1)</f>
        <v>54.339999999999989</v>
      </c>
      <c r="H275" s="511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6">
        <f>((0.79*(1.91/0.1))*1) +((0.59*(1.91/0.1))*1)</f>
        <v>26.357999999999997</v>
      </c>
      <c r="H276" s="511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6">
        <f>((0.79*(1.94/0.1))*1) +((0.59*(1.94/0.1))*5)</f>
        <v>72.555999999999983</v>
      </c>
      <c r="H277" s="511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6">
        <f>((0.69*(1.92/0.1))*2) + ((0.69*(1.92/0.1))*1)</f>
        <v>39.744</v>
      </c>
      <c r="H278" s="511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6">
        <f>((0.59*(1.93/0.1))*2) + ((0.79*(1.93/0.1))*1)</f>
        <v>38.020999999999994</v>
      </c>
      <c r="H279" s="511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6">
        <f>((0.59*(1.87/0.1))*2) + ((0.69*(1.87/0.1))*2)</f>
        <v>47.872</v>
      </c>
      <c r="H280" s="511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6">
        <f>((0.59*(1.88/0.1))*3) + ((0.69*(1.88/0.1))*1)</f>
        <v>46.24799999999999</v>
      </c>
      <c r="H281" s="511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6">
        <f>((0.79*(1.9/0.1))*1) + ((0.69*(1.9/0.1))*3)</f>
        <v>54.339999999999982</v>
      </c>
      <c r="H282" s="511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6">
        <f>((0.59*(1.9/0.1))*1)</f>
        <v>11.209999999999997</v>
      </c>
      <c r="H283" s="511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6">
        <f>((0.69*(1.87/0.1))*1) + ((0.59*(1.87/0.1))*1)</f>
        <v>23.936</v>
      </c>
      <c r="H284" s="511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6">
        <f>((0.69*(2/0.1))*1) + ((0.59*(2/0.1))*2)</f>
        <v>37.4</v>
      </c>
      <c r="H285" s="511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6">
        <f>((0.69*(2.01/0.1))*1) + ((0.59*(2.01/0.1))*5) + ((0.79*(2.01/0.1))*1)</f>
        <v>89.042999999999992</v>
      </c>
      <c r="H286" s="511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6">
        <f>(((1.39+0.47+0.47))*(1.86/0.15))</f>
        <v>28.892000000000003</v>
      </c>
      <c r="H287" s="511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6">
        <f>(((1.09+0.022))*(1.87/0.15))</f>
        <v>13.862933333333336</v>
      </c>
      <c r="H288" s="511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6">
        <f>(((1.09+0.022))*(1.89/0.15))</f>
        <v>14.011200000000001</v>
      </c>
      <c r="H289" s="511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6">
        <f>(((0.59))*(1.9/0.15))</f>
        <v>7.4733333333333327</v>
      </c>
      <c r="H290" s="511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6">
        <f>(((0.59))*(1.92/0.15))</f>
        <v>7.5519999999999996</v>
      </c>
      <c r="H291" s="511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6">
        <f>(((0.59))*(1.9/0.15))</f>
        <v>7.4733333333333327</v>
      </c>
      <c r="H292" s="511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6">
        <f>(((0.69))*(1.98/0.15))</f>
        <v>9.1080000000000005</v>
      </c>
      <c r="H293" s="511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09">
        <v>210.13</v>
      </c>
      <c r="H294" s="512"/>
      <c r="I294" s="51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6">
        <f xml:space="preserve"> (2*2.51) + (40*0.59)</f>
        <v>28.619999999999997</v>
      </c>
      <c r="H295" s="511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6">
        <f xml:space="preserve"> (19*0.79)</f>
        <v>15.010000000000002</v>
      </c>
      <c r="H296" s="511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6">
        <f xml:space="preserve"> (21*0.79)</f>
        <v>16.59</v>
      </c>
      <c r="H297" s="511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6">
        <f xml:space="preserve"> (2*3.86) + (29*0.79)</f>
        <v>30.63</v>
      </c>
      <c r="H298" s="511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6">
        <f xml:space="preserve"> (22*0.59)</f>
        <v>12.979999999999999</v>
      </c>
      <c r="H299" s="511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6">
        <f xml:space="preserve"> (14*0.059)</f>
        <v>0.82599999999999996</v>
      </c>
      <c r="H300" s="511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6">
        <f xml:space="preserve"> (59*0.59)</f>
        <v>34.809999999999995</v>
      </c>
      <c r="H301" s="511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04'!K302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6">
        <v>295</v>
      </c>
      <c r="H303" s="507"/>
      <c r="I303" s="508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09" t="s">
        <v>628</v>
      </c>
      <c r="H306" s="510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6">
        <f xml:space="preserve"> (4*(0.2+0.25+1.85+0.33)) * 2</f>
        <v>21.040000000000003</v>
      </c>
      <c r="H307" s="511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6">
        <f xml:space="preserve"> ((4*(0.2+0.25+1.87+0.33)) * 2)</f>
        <v>21.200000000000003</v>
      </c>
      <c r="H308" s="511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6">
        <f xml:space="preserve"> (4*(0.2+0.25+1.9+0.33)) * 5</f>
        <v>53.6</v>
      </c>
      <c r="H309" s="511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6">
        <f xml:space="preserve"> (4*(0.2+0.25+1.92+0.33)) *3</f>
        <v>32.400000000000006</v>
      </c>
      <c r="H310" s="511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6">
        <f xml:space="preserve"> (4*(0.2+0.25+1.94+0.33)) * 3</f>
        <v>32.64</v>
      </c>
      <c r="H311" s="511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6">
        <f xml:space="preserve"> (4*(0.2+0.25+1.96+0.33)) * 5</f>
        <v>54.800000000000004</v>
      </c>
      <c r="H312" s="511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6">
        <f xml:space="preserve"> (4*(0.2+0.25+1.95+0.33)) * 6</f>
        <v>65.52</v>
      </c>
      <c r="H313" s="511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6">
        <f xml:space="preserve"> (4*(0.2+0.25+1.97+0.33)) * 3</f>
        <v>33</v>
      </c>
      <c r="H314" s="511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6">
        <f xml:space="preserve"> (4*(0.2+0.25+1.9+0.33)) * 3</f>
        <v>32.160000000000004</v>
      </c>
      <c r="H315" s="511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6">
        <f xml:space="preserve"> ((4*(0.2+0.25+1.86+0.33)) * 3)</f>
        <v>31.68</v>
      </c>
      <c r="H316" s="511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6">
        <f xml:space="preserve"> ((4*(0.2+0.25+1.87+0.33)) * 3)</f>
        <v>31.800000000000004</v>
      </c>
      <c r="H317" s="511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6">
        <f xml:space="preserve"> ((4*(0.2+0.25+1.9+0.33)) * 4)</f>
        <v>42.88</v>
      </c>
      <c r="H318" s="511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6">
        <f xml:space="preserve"> ((4*(0.2+0.25+1.91+0.33)) * 2)</f>
        <v>21.52</v>
      </c>
      <c r="H319" s="511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6">
        <f xml:space="preserve"> ((4*(0.2+0.25+1.94+0.33)) * 6)</f>
        <v>65.28</v>
      </c>
      <c r="H320" s="511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6">
        <f xml:space="preserve"> ((4*(0.2+0.25+1.92+0.33)) *3)</f>
        <v>32.400000000000006</v>
      </c>
      <c r="H321" s="511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6">
        <f xml:space="preserve"> ((4*(0.2+0.25+1.93+0.33)) *3)</f>
        <v>32.519999999999996</v>
      </c>
      <c r="H322" s="511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6">
        <f xml:space="preserve"> ((4*(0.2+0.25+1.87+0.33)) *4)</f>
        <v>42.400000000000006</v>
      </c>
      <c r="H323" s="511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6">
        <f xml:space="preserve"> ((4*(0.2+0.25+1.88+0.33)) *4)</f>
        <v>42.56</v>
      </c>
      <c r="H324" s="511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6">
        <f xml:space="preserve"> ((4*(0.2+0.25+1.9+0.33)) *4)</f>
        <v>42.88</v>
      </c>
      <c r="H325" s="511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6">
        <f>((4*(0.2+0.25+1.9+0.33))) + ((8*(0.2+0.25+1.9)))</f>
        <v>29.520000000000003</v>
      </c>
      <c r="H326" s="511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6">
        <f xml:space="preserve"> ((4*(0.2+0.25+1.97+0.33)) *2)</f>
        <v>22</v>
      </c>
      <c r="H327" s="511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6">
        <f xml:space="preserve"> ((4*(0.2+0.25+2+0.33)) *3)</f>
        <v>33.36</v>
      </c>
      <c r="H328" s="511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6">
        <f xml:space="preserve"> ((4*(0.2+0.25+2.01+0.33)) *7)</f>
        <v>78.12</v>
      </c>
      <c r="H329" s="511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6" t="s">
        <v>831</v>
      </c>
      <c r="H330" s="507"/>
      <c r="I330" s="508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09" t="s">
        <v>628</v>
      </c>
      <c r="H331" s="510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6">
        <f>((8*(0.2+0.25+1.86+0.42)))</f>
        <v>21.84</v>
      </c>
      <c r="H332" s="511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6">
        <f>((6*(0.2+0.25+1.87+0.42)))</f>
        <v>16.440000000000001</v>
      </c>
      <c r="H333" s="511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6">
        <f>((6*(0.2+0.25+1.89+0.42)))</f>
        <v>16.559999999999999</v>
      </c>
      <c r="H334" s="511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6">
        <f>((4*(0.2+0.25+1.9+0.42)))</f>
        <v>11.08</v>
      </c>
      <c r="H335" s="511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6">
        <f>((4*(0.2+0.25+1.92+0.42)))</f>
        <v>11.16</v>
      </c>
      <c r="H336" s="511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6">
        <f>((4*(0.2+0.25+1.9+0.42)))</f>
        <v>11.08</v>
      </c>
      <c r="H337" s="511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6">
        <f>((4*(0.2+0.25+1.98+0.42)))+(2*(0.2+0.25+1.98))</f>
        <v>16.260000000000002</v>
      </c>
      <c r="H338" s="511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09">
        <v>52.34</v>
      </c>
      <c r="H339" s="512"/>
      <c r="I339" s="51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6"/>
      <c r="H340" s="507"/>
      <c r="I340" s="508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6">
        <v>223.49</v>
      </c>
      <c r="H341" s="507"/>
      <c r="I341" s="508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09" t="s">
        <v>706</v>
      </c>
      <c r="H350" s="510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6">
        <f xml:space="preserve"> ((0.15+0.25)*2) *2</f>
        <v>1.6</v>
      </c>
      <c r="H351" s="511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6">
        <f xml:space="preserve"> ((0.2+0.25)*2) + ((0.2+0.3)*2)</f>
        <v>1.9</v>
      </c>
      <c r="H352" s="511"/>
      <c r="I352" s="105">
        <v>1.87</v>
      </c>
      <c r="J352" s="99"/>
      <c r="K352" s="82">
        <f t="shared" ref="K352:K508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6">
        <f xml:space="preserve"> ((0.2+0.25)*2*3) + ((0.2+0.2)*2*1) + ((0.15+0.2)*2*1)</f>
        <v>4.2</v>
      </c>
      <c r="H353" s="511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6">
        <f xml:space="preserve"> ((0.2+0.25)*2*1) + ((0.15+0.25)*2*2)</f>
        <v>2.5</v>
      </c>
      <c r="H354" s="511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6">
        <f xml:space="preserve"> ((0.15+0.3)*2*3)</f>
        <v>2.6999999999999997</v>
      </c>
      <c r="H355" s="511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6">
        <f xml:space="preserve"> ((0.2+0.25)*2*3) + ((0.15+0.25)*2*2)</f>
        <v>4.3000000000000007</v>
      </c>
      <c r="H356" s="511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6">
        <f xml:space="preserve"> ((0.2+0.25)*2*3) + ((0.15+0.25)*2*2) +  ((0.2+0.3)*2*1)</f>
        <v>5.3000000000000007</v>
      </c>
      <c r="H357" s="511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6">
        <f xml:space="preserve"> ((0.2+0.25)*2*2) + ((0.15+0.25)*2*1)</f>
        <v>2.6</v>
      </c>
      <c r="H358" s="511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6">
        <f>((0.15+0.25)*2*3)</f>
        <v>2.4000000000000004</v>
      </c>
      <c r="H359" s="511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6">
        <f xml:space="preserve"> ((0.2+0.25)*2*1) + ((0.15+0.25)*2*1) +  ((0.2+0.35)*2*1)</f>
        <v>2.8000000000000003</v>
      </c>
      <c r="H360" s="511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6">
        <f xml:space="preserve"> ((0.2+0.25)*2*1) + ((0.15+0.3)*2*2)</f>
        <v>2.6999999999999997</v>
      </c>
      <c r="H361" s="511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6">
        <f xml:space="preserve"> ((0.2+0.3)*2*1) + ((0.15+0.3)*2*1) +  ((0.15+0.25)*2*1) + ((0.15+0.35)*2*1)</f>
        <v>3.7</v>
      </c>
      <c r="H362" s="511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6">
        <f xml:space="preserve"> ((0.15+0.25)*2*1) + ((0.2+0.3)*2*1)</f>
        <v>1.8</v>
      </c>
      <c r="H363" s="511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6">
        <f xml:space="preserve"> ((0.15+0.25)*2*5) + ((0.25+0.25)*2*1)</f>
        <v>5</v>
      </c>
      <c r="H364" s="511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6">
        <f xml:space="preserve"> ((0.2+0.25)*2*1) + ((0.15+0.25)*2*1) +  ((0.25+0.25)*2*1)</f>
        <v>2.7</v>
      </c>
      <c r="H365" s="511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6">
        <f xml:space="preserve"> ((0.15+0.25)*2*2) + ((0.25+0.25)*2*1)</f>
        <v>2.6</v>
      </c>
      <c r="H366" s="511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6">
        <f xml:space="preserve"> ((0.15+0.25)*2*2) + ((0.2+0.25)*2*2)</f>
        <v>3.4000000000000004</v>
      </c>
      <c r="H367" s="511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6">
        <f xml:space="preserve"> ((0.15+0.25)*2*3) + ((0.2+0.25)*2*1)</f>
        <v>3.3000000000000003</v>
      </c>
      <c r="H368" s="511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6">
        <f>((0.2+0.25)*2*3) + ((0.25+0.25)*2*1)</f>
        <v>3.7</v>
      </c>
      <c r="H369" s="511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6">
        <f>((0.2+0.2)*2*1)</f>
        <v>0.8</v>
      </c>
      <c r="H370" s="511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6">
        <f>((0.2+0.25)*2*1) + ((0.15+0.25)*2*1)</f>
        <v>1.7000000000000002</v>
      </c>
      <c r="H371" s="511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6">
        <f>((0.2+0.25)*2*1) + ((0.15+0.25)*2*2)</f>
        <v>2.5</v>
      </c>
      <c r="H372" s="511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6">
        <f xml:space="preserve"> ((0.2+0.3)*2*1) + ((0.15+0.25)*2*5) +  ((0.25+0.25)*2*1)</f>
        <v>6</v>
      </c>
      <c r="H373" s="511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6">
        <f>((0.15+0.3)*2*1)</f>
        <v>0.89999999999999991</v>
      </c>
      <c r="H374" s="511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6">
        <f>((0.15+0.5)*2*1)</f>
        <v>1.3</v>
      </c>
      <c r="H375" s="511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6">
        <f>((0.15+0.5)*2*1)</f>
        <v>1.3</v>
      </c>
      <c r="H376" s="511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6">
        <f>((0.15+0.25)*2*1)</f>
        <v>0.8</v>
      </c>
      <c r="H377" s="511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6">
        <f t="shared" ref="G378" si="18">((0.15+0.3)*2*1)</f>
        <v>0.89999999999999991</v>
      </c>
      <c r="H378" s="511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6">
        <f>((0.15+0.25)*2*1)</f>
        <v>0.8</v>
      </c>
      <c r="H379" s="511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6">
        <f>((0.15+0.3)*2*1)</f>
        <v>0.89999999999999991</v>
      </c>
      <c r="H380" s="511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04'!K381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04'!K384</f>
        <v>209.24300000000002</v>
      </c>
      <c r="K384" s="82">
        <f>G385+G386</f>
        <v>190.61699999999999</v>
      </c>
      <c r="L384" s="82">
        <f t="shared" si="0"/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889</v>
      </c>
      <c r="E385" s="64"/>
      <c r="F385" s="94">
        <v>1</v>
      </c>
      <c r="G385" s="104">
        <v>117.45</v>
      </c>
      <c r="H385" s="92"/>
      <c r="I385" s="105"/>
      <c r="J385" s="99"/>
      <c r="K385" s="82"/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890</v>
      </c>
      <c r="E386" s="64"/>
      <c r="F386" s="94">
        <v>1</v>
      </c>
      <c r="G386" s="104">
        <f>243.89*0.3</f>
        <v>73.166999999999987</v>
      </c>
      <c r="H386" s="92"/>
      <c r="I386" s="105"/>
      <c r="J386" s="99"/>
      <c r="K386" s="82"/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04'!K387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04'!K388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04'!K389</f>
        <v>460.60000000000008</v>
      </c>
      <c r="K389" s="82">
        <f>G390+G391</f>
        <v>222.09999999999997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889</v>
      </c>
      <c r="E390" s="64"/>
      <c r="F390" s="94">
        <v>1</v>
      </c>
      <c r="G390" s="104">
        <v>135.69999999999999</v>
      </c>
      <c r="H390" s="92"/>
      <c r="I390" s="105"/>
      <c r="J390" s="99"/>
      <c r="K390" s="82"/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890</v>
      </c>
      <c r="E391" s="64"/>
      <c r="F391" s="94">
        <v>1</v>
      </c>
      <c r="G391" s="104">
        <f>288*0.3</f>
        <v>86.399999999999991</v>
      </c>
      <c r="H391" s="92"/>
      <c r="I391" s="105"/>
      <c r="J391" s="99"/>
      <c r="K391" s="82"/>
      <c r="L391" s="82"/>
      <c r="M391" s="82"/>
      <c r="N391" s="86"/>
    </row>
    <row r="392" spans="2:14" ht="30.6" hidden="1" customHeight="1" x14ac:dyDescent="0.25">
      <c r="B392" s="49" t="s">
        <v>107</v>
      </c>
      <c r="C392" s="57">
        <v>92761</v>
      </c>
      <c r="D392" s="52" t="s">
        <v>109</v>
      </c>
      <c r="E392" s="64" t="s">
        <v>62</v>
      </c>
      <c r="F392" s="94"/>
      <c r="G392" s="104"/>
      <c r="H392" s="64"/>
      <c r="I392" s="105"/>
      <c r="J392" s="99">
        <f>'BOLETIM DE MEDIÇÃO 05'!O45-'MEMORIAL DE CALCULO 04'!K392</f>
        <v>415.67999999999995</v>
      </c>
      <c r="K392" s="82">
        <f t="shared" si="17"/>
        <v>0</v>
      </c>
      <c r="L392" s="82">
        <f t="shared" si="0"/>
        <v>415.67999999999995</v>
      </c>
      <c r="M392" s="82">
        <f>'BOLETIM DE MEDIÇÃO 05'!G45</f>
        <v>1000</v>
      </c>
      <c r="N392" s="86">
        <f t="shared" si="1"/>
        <v>584.32000000000005</v>
      </c>
    </row>
    <row r="393" spans="2:14" ht="30.6" customHeight="1" x14ac:dyDescent="0.25">
      <c r="B393" s="49" t="s">
        <v>110</v>
      </c>
      <c r="C393" s="57">
        <v>92762</v>
      </c>
      <c r="D393" s="52" t="s">
        <v>112</v>
      </c>
      <c r="E393" s="64" t="s">
        <v>62</v>
      </c>
      <c r="F393" s="94"/>
      <c r="G393" s="104"/>
      <c r="H393" s="64"/>
      <c r="I393" s="105"/>
      <c r="J393" s="99">
        <f>'BOLETIM DE MEDIÇÃO 05'!O46-'MEMORIAL DE CALCULO 04'!K393</f>
        <v>635.57000000000005</v>
      </c>
      <c r="K393" s="82">
        <f>G394+G395</f>
        <v>601.83000000000004</v>
      </c>
      <c r="L393" s="82">
        <f t="shared" si="0"/>
        <v>1237.4000000000001</v>
      </c>
      <c r="M393" s="82">
        <f>'BOLETIM DE MEDIÇÃO 05'!G46</f>
        <v>1306.0999999999999</v>
      </c>
      <c r="N393" s="86">
        <f t="shared" si="1"/>
        <v>68.699999999999818</v>
      </c>
    </row>
    <row r="394" spans="2:14" ht="19.899999999999999" customHeight="1" x14ac:dyDescent="0.25">
      <c r="B394" s="49"/>
      <c r="C394" s="57"/>
      <c r="D394" s="294" t="s">
        <v>889</v>
      </c>
      <c r="E394" s="64"/>
      <c r="F394" s="94">
        <v>1</v>
      </c>
      <c r="G394" s="104">
        <v>400.5</v>
      </c>
      <c r="H394" s="64"/>
      <c r="I394" s="105"/>
      <c r="J394" s="99"/>
      <c r="K394" s="82"/>
      <c r="L394" s="82"/>
      <c r="M394" s="82"/>
      <c r="N394" s="86"/>
    </row>
    <row r="395" spans="2:14" ht="19.899999999999999" customHeight="1" x14ac:dyDescent="0.25">
      <c r="B395" s="49"/>
      <c r="C395" s="57"/>
      <c r="D395" s="294" t="s">
        <v>890</v>
      </c>
      <c r="E395" s="64"/>
      <c r="F395" s="105">
        <v>1</v>
      </c>
      <c r="G395" s="99">
        <f>671.1*0.3</f>
        <v>201.33</v>
      </c>
      <c r="H395" s="64"/>
      <c r="I395" s="105"/>
      <c r="J395" s="99"/>
      <c r="K395" s="82"/>
      <c r="L395" s="82"/>
      <c r="M395" s="82"/>
      <c r="N395" s="86"/>
    </row>
    <row r="396" spans="2:14" ht="33.75" x14ac:dyDescent="0.25">
      <c r="B396" s="49" t="s">
        <v>113</v>
      </c>
      <c r="C396" s="57">
        <v>92763</v>
      </c>
      <c r="D396" s="52" t="s">
        <v>115</v>
      </c>
      <c r="E396" s="64" t="s">
        <v>62</v>
      </c>
      <c r="F396" s="105"/>
      <c r="G396" s="99"/>
      <c r="H396" s="64"/>
      <c r="I396" s="105"/>
      <c r="J396" s="99">
        <f>'BOLETIM DE MEDIÇÃO 05'!O47-'MEMORIAL DE CALCULO 04'!K396</f>
        <v>61.179999999999993</v>
      </c>
      <c r="K396" s="82">
        <f>G397+G398</f>
        <v>100.42</v>
      </c>
      <c r="L396" s="82">
        <f t="shared" si="0"/>
        <v>161.6</v>
      </c>
      <c r="M396" s="82">
        <f>'BOLETIM DE MEDIÇÃO 05'!G47</f>
        <v>168.2</v>
      </c>
      <c r="N396" s="86">
        <f t="shared" si="1"/>
        <v>6.5999999999999943</v>
      </c>
    </row>
    <row r="397" spans="2:14" ht="19.899999999999999" customHeight="1" x14ac:dyDescent="0.25">
      <c r="B397" s="49"/>
      <c r="C397" s="57"/>
      <c r="D397" s="294" t="s">
        <v>889</v>
      </c>
      <c r="E397" s="64"/>
      <c r="F397" s="105">
        <v>1</v>
      </c>
      <c r="G397" s="99">
        <v>74.2</v>
      </c>
      <c r="H397" s="64"/>
      <c r="I397" s="105"/>
      <c r="J397" s="99"/>
      <c r="K397" s="82"/>
      <c r="L397" s="82"/>
      <c r="M397" s="82"/>
      <c r="N397" s="86"/>
    </row>
    <row r="398" spans="2:14" ht="19.899999999999999" customHeight="1" x14ac:dyDescent="0.25">
      <c r="B398" s="49"/>
      <c r="C398" s="57"/>
      <c r="D398" s="294" t="s">
        <v>890</v>
      </c>
      <c r="E398" s="64"/>
      <c r="F398" s="105">
        <v>1</v>
      </c>
      <c r="G398" s="272">
        <f>87.4*0.3</f>
        <v>26.220000000000002</v>
      </c>
      <c r="H398" s="64"/>
      <c r="I398" s="105"/>
      <c r="J398" s="99"/>
      <c r="K398" s="82"/>
      <c r="L398" s="82"/>
      <c r="M398" s="82"/>
      <c r="N398" s="86"/>
    </row>
    <row r="399" spans="2:14" ht="33.75" hidden="1" x14ac:dyDescent="0.25">
      <c r="B399" s="49" t="s">
        <v>116</v>
      </c>
      <c r="C399" s="57">
        <v>92768</v>
      </c>
      <c r="D399" s="52" t="s">
        <v>118</v>
      </c>
      <c r="E399" s="64" t="s">
        <v>62</v>
      </c>
      <c r="F399" s="105"/>
      <c r="G399" s="99"/>
      <c r="H399" s="64"/>
      <c r="I399" s="105"/>
      <c r="J399" s="99">
        <f>'BOLETIM DE MEDIÇÃO 05'!O48-'MEMORIAL DE CALCULO 04'!K399</f>
        <v>0</v>
      </c>
      <c r="K399" s="82">
        <f t="shared" si="17"/>
        <v>0</v>
      </c>
      <c r="L399" s="82">
        <f t="shared" si="0"/>
        <v>0</v>
      </c>
      <c r="M399" s="82">
        <f>'BOLETIM DE MEDIÇÃO 05'!G48</f>
        <v>158.69999999999999</v>
      </c>
      <c r="N399" s="86">
        <f t="shared" si="1"/>
        <v>158.69999999999999</v>
      </c>
    </row>
    <row r="400" spans="2:14" ht="33.75" hidden="1" x14ac:dyDescent="0.25">
      <c r="B400" s="49" t="s">
        <v>119</v>
      </c>
      <c r="C400" s="57">
        <v>92769</v>
      </c>
      <c r="D400" s="52" t="s">
        <v>121</v>
      </c>
      <c r="E400" s="64" t="s">
        <v>62</v>
      </c>
      <c r="F400" s="105"/>
      <c r="G400" s="99"/>
      <c r="H400" s="64"/>
      <c r="I400" s="105"/>
      <c r="J400" s="99">
        <f>'BOLETIM DE MEDIÇÃO 05'!O49-'MEMORIAL DE CALCULO 04'!K400</f>
        <v>0</v>
      </c>
      <c r="K400" s="82">
        <f t="shared" si="17"/>
        <v>0</v>
      </c>
      <c r="L400" s="82">
        <f t="shared" si="0"/>
        <v>0</v>
      </c>
      <c r="M400" s="82">
        <f>'BOLETIM DE MEDIÇÃO 05'!G49</f>
        <v>170.5</v>
      </c>
      <c r="N400" s="86">
        <f t="shared" si="1"/>
        <v>170.5</v>
      </c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05'!O50-'MEMORIAL DE CALCULO 04'!K401</f>
        <v>0</v>
      </c>
      <c r="K401" s="82">
        <f t="shared" si="17"/>
        <v>0</v>
      </c>
      <c r="L401" s="82">
        <f t="shared" si="0"/>
        <v>0</v>
      </c>
      <c r="M401" s="82">
        <f>'BOLETIM DE MEDIÇÃO 05'!G50</f>
        <v>279.10000000000002</v>
      </c>
      <c r="N401" s="86">
        <f t="shared" si="1"/>
        <v>279.10000000000002</v>
      </c>
    </row>
    <row r="402" spans="2:14" ht="33.75" x14ac:dyDescent="0.25">
      <c r="B402" s="49" t="s">
        <v>125</v>
      </c>
      <c r="C402" s="57">
        <v>94966</v>
      </c>
      <c r="D402" s="52" t="s">
        <v>65</v>
      </c>
      <c r="E402" s="64" t="s">
        <v>41</v>
      </c>
      <c r="F402" s="105"/>
      <c r="G402" s="99"/>
      <c r="H402" s="64"/>
      <c r="I402" s="105"/>
      <c r="J402" s="99">
        <f>'BOLETIM DE MEDIÇÃO 05'!O51-'MEMORIAL DE CALCULO 04'!K402</f>
        <v>9.1840000000000011</v>
      </c>
      <c r="K402" s="82">
        <f>G403+G404</f>
        <v>10.245999999999999</v>
      </c>
      <c r="L402" s="82">
        <f t="shared" si="0"/>
        <v>19.43</v>
      </c>
      <c r="M402" s="82">
        <f>'BOLETIM DE MEDIÇÃO 05'!G51</f>
        <v>61.56</v>
      </c>
      <c r="N402" s="86">
        <f t="shared" si="1"/>
        <v>42.13</v>
      </c>
    </row>
    <row r="403" spans="2:14" ht="19.899999999999999" customHeight="1" x14ac:dyDescent="0.25">
      <c r="B403" s="49"/>
      <c r="C403" s="57"/>
      <c r="D403" s="294" t="s">
        <v>889</v>
      </c>
      <c r="E403" s="64"/>
      <c r="F403" s="105">
        <v>1</v>
      </c>
      <c r="G403" s="99">
        <v>6.31</v>
      </c>
      <c r="H403" s="64"/>
      <c r="I403" s="105"/>
      <c r="J403" s="99"/>
      <c r="K403" s="82"/>
      <c r="L403" s="82"/>
      <c r="M403" s="82"/>
      <c r="N403" s="86"/>
    </row>
    <row r="404" spans="2:14" x14ac:dyDescent="0.25">
      <c r="B404" s="49"/>
      <c r="C404" s="57"/>
      <c r="D404" s="294" t="s">
        <v>890</v>
      </c>
      <c r="E404" s="64"/>
      <c r="F404" s="105">
        <v>1</v>
      </c>
      <c r="G404" s="295">
        <f>13.12*0.3</f>
        <v>3.9359999999999995</v>
      </c>
      <c r="H404" s="64"/>
      <c r="I404" s="105"/>
      <c r="J404" s="99"/>
      <c r="K404" s="82"/>
      <c r="L404" s="82"/>
      <c r="M404" s="82"/>
      <c r="N404" s="86"/>
    </row>
    <row r="405" spans="2:14" ht="22.5" x14ac:dyDescent="0.25">
      <c r="B405" s="49" t="s">
        <v>126</v>
      </c>
      <c r="C405" s="63">
        <v>103670</v>
      </c>
      <c r="D405" s="61" t="s">
        <v>71</v>
      </c>
      <c r="E405" s="64" t="s">
        <v>41</v>
      </c>
      <c r="F405" s="94"/>
      <c r="G405" s="104"/>
      <c r="H405" s="43"/>
      <c r="I405" s="105"/>
      <c r="J405" s="99">
        <f>'BOLETIM DE MEDIÇÃO 05'!O52-'MEMORIAL DE CALCULO 04'!K405</f>
        <v>9.1840000000000011</v>
      </c>
      <c r="K405" s="82">
        <f>G406</f>
        <v>10.245999999999999</v>
      </c>
      <c r="L405" s="82">
        <f t="shared" si="0"/>
        <v>19.43</v>
      </c>
      <c r="M405" s="82">
        <f>'BOLETIM DE MEDIÇÃO 05'!G52</f>
        <v>61.56</v>
      </c>
      <c r="N405" s="86">
        <f t="shared" si="1"/>
        <v>42.13</v>
      </c>
    </row>
    <row r="406" spans="2:14" x14ac:dyDescent="0.25">
      <c r="B406" s="49"/>
      <c r="C406" s="63"/>
      <c r="D406" s="61"/>
      <c r="E406" s="64"/>
      <c r="F406" s="94">
        <v>1</v>
      </c>
      <c r="G406" s="104">
        <f>K402</f>
        <v>10.245999999999999</v>
      </c>
      <c r="H406" s="43"/>
      <c r="I406" s="105"/>
      <c r="J406" s="99"/>
      <c r="K406" s="82"/>
      <c r="L406" s="82"/>
      <c r="M406" s="82"/>
      <c r="N406" s="86"/>
    </row>
    <row r="407" spans="2:14" ht="33.75" hidden="1" x14ac:dyDescent="0.25">
      <c r="B407" s="49" t="s">
        <v>127</v>
      </c>
      <c r="C407" s="63">
        <v>92771</v>
      </c>
      <c r="D407" s="61" t="s">
        <v>129</v>
      </c>
      <c r="E407" s="64" t="s">
        <v>62</v>
      </c>
      <c r="F407" s="94"/>
      <c r="G407" s="104"/>
      <c r="H407" s="43"/>
      <c r="I407" s="105"/>
      <c r="J407" s="99">
        <f>'BOLETIM DE MEDIÇÃO 05'!O53-'MEMORIAL DE CALCULO 04'!K407</f>
        <v>0</v>
      </c>
      <c r="K407" s="82">
        <f t="shared" si="17"/>
        <v>0</v>
      </c>
      <c r="L407" s="82">
        <f t="shared" si="0"/>
        <v>0</v>
      </c>
      <c r="M407" s="82">
        <f>'BOLETIM DE MEDIÇÃO 05'!G53</f>
        <v>312.3</v>
      </c>
      <c r="N407" s="86">
        <f t="shared" si="1"/>
        <v>312.3</v>
      </c>
    </row>
    <row r="408" spans="2:14" ht="33.75" hidden="1" x14ac:dyDescent="0.25">
      <c r="B408" s="49" t="s">
        <v>130</v>
      </c>
      <c r="C408" s="57">
        <v>92772</v>
      </c>
      <c r="D408" s="52" t="s">
        <v>132</v>
      </c>
      <c r="E408" s="64" t="s">
        <v>62</v>
      </c>
      <c r="F408" s="94"/>
      <c r="G408" s="104"/>
      <c r="H408" s="64"/>
      <c r="I408" s="105"/>
      <c r="J408" s="99">
        <f>'BOLETIM DE MEDIÇÃO 05'!O54-'MEMORIAL DE CALCULO 04'!K408</f>
        <v>0</v>
      </c>
      <c r="K408" s="82">
        <f t="shared" si="17"/>
        <v>0</v>
      </c>
      <c r="L408" s="82">
        <f t="shared" si="0"/>
        <v>0</v>
      </c>
      <c r="M408" s="82">
        <f>'BOLETIM DE MEDIÇÃO 05'!G54</f>
        <v>154.80000000000001</v>
      </c>
      <c r="N408" s="86">
        <f t="shared" si="1"/>
        <v>154.80000000000001</v>
      </c>
    </row>
    <row r="409" spans="2:14" x14ac:dyDescent="0.25">
      <c r="B409" s="56">
        <v>1.5</v>
      </c>
      <c r="C409" s="60" t="s">
        <v>134</v>
      </c>
      <c r="D409" s="52"/>
      <c r="E409" s="64"/>
      <c r="F409" s="94"/>
      <c r="G409" s="104"/>
      <c r="H409" s="64"/>
      <c r="I409" s="105"/>
      <c r="J409" s="99"/>
      <c r="K409" s="82">
        <f t="shared" si="17"/>
        <v>0</v>
      </c>
      <c r="L409" s="82"/>
      <c r="M409" s="82"/>
      <c r="N409" s="86"/>
    </row>
    <row r="410" spans="2:14" ht="45" x14ac:dyDescent="0.25">
      <c r="B410" s="49" t="s">
        <v>135</v>
      </c>
      <c r="C410" s="57">
        <v>103356</v>
      </c>
      <c r="D410" s="52" t="s">
        <v>137</v>
      </c>
      <c r="E410" s="99" t="s">
        <v>17</v>
      </c>
      <c r="F410" s="94"/>
      <c r="G410" s="104"/>
      <c r="H410" s="64"/>
      <c r="I410" s="105"/>
      <c r="J410" s="99">
        <f>'BOLETIM DE MEDIÇÃO 05'!O56-'MEMORIAL DE CALCULO 04'!K410</f>
        <v>492.16000000000008</v>
      </c>
      <c r="K410" s="82">
        <f>SUM(K411:K483)</f>
        <v>354.68499999999995</v>
      </c>
      <c r="L410" s="82">
        <f t="shared" si="0"/>
        <v>846.84500000000003</v>
      </c>
      <c r="M410" s="82">
        <f>'BOLETIM DE MEDIÇÃO 05'!G56</f>
        <v>1131.99</v>
      </c>
      <c r="N410" s="86">
        <f t="shared" si="1"/>
        <v>285.14499999999998</v>
      </c>
    </row>
    <row r="411" spans="2:14" x14ac:dyDescent="0.25">
      <c r="B411" s="49"/>
      <c r="C411" s="57"/>
      <c r="D411" s="297" t="s">
        <v>891</v>
      </c>
      <c r="E411" s="99"/>
      <c r="F411" s="298">
        <v>1</v>
      </c>
      <c r="G411" s="299">
        <v>24.6</v>
      </c>
      <c r="H411" s="64"/>
      <c r="I411" s="105">
        <v>1.5</v>
      </c>
      <c r="J411" s="99"/>
      <c r="K411" s="82">
        <f>F411*G411*I411</f>
        <v>36.900000000000006</v>
      </c>
      <c r="L411" s="82"/>
      <c r="M411" s="82"/>
      <c r="N411" s="86"/>
    </row>
    <row r="412" spans="2:14" s="167" customFormat="1" x14ac:dyDescent="0.25">
      <c r="B412" s="49"/>
      <c r="C412" s="57"/>
      <c r="D412" s="302" t="s">
        <v>892</v>
      </c>
      <c r="E412" s="99"/>
      <c r="F412" s="303">
        <v>-1</v>
      </c>
      <c r="G412" s="304">
        <v>0.7</v>
      </c>
      <c r="H412" s="64"/>
      <c r="I412" s="105">
        <v>1.5</v>
      </c>
      <c r="J412" s="99"/>
      <c r="K412" s="82">
        <f t="shared" ref="K412:K475" si="19">F412*G412*I412</f>
        <v>-1.0499999999999998</v>
      </c>
      <c r="L412" s="82"/>
      <c r="M412" s="82"/>
      <c r="N412" s="86"/>
    </row>
    <row r="413" spans="2:14" s="167" customFormat="1" x14ac:dyDescent="0.25">
      <c r="B413" s="49"/>
      <c r="C413" s="57"/>
      <c r="D413" s="302" t="s">
        <v>924</v>
      </c>
      <c r="E413" s="99"/>
      <c r="F413" s="303">
        <v>-2</v>
      </c>
      <c r="G413" s="304">
        <v>1.5</v>
      </c>
      <c r="H413" s="64"/>
      <c r="I413" s="105">
        <v>0.6</v>
      </c>
      <c r="J413" s="99"/>
      <c r="K413" s="82">
        <f t="shared" si="19"/>
        <v>-1.7999999999999998</v>
      </c>
      <c r="L413" s="82"/>
      <c r="M413" s="82"/>
      <c r="N413" s="86"/>
    </row>
    <row r="414" spans="2:14" s="167" customFormat="1" x14ac:dyDescent="0.25">
      <c r="B414" s="49"/>
      <c r="C414" s="57"/>
      <c r="D414" s="302" t="s">
        <v>894</v>
      </c>
      <c r="E414" s="99"/>
      <c r="F414" s="303">
        <v>1</v>
      </c>
      <c r="G414" s="304">
        <v>21.9</v>
      </c>
      <c r="H414" s="64"/>
      <c r="I414" s="105">
        <v>1.5</v>
      </c>
      <c r="J414" s="99"/>
      <c r="K414" s="82">
        <f t="shared" si="19"/>
        <v>32.849999999999994</v>
      </c>
      <c r="L414" s="82"/>
      <c r="M414" s="82"/>
      <c r="N414" s="86"/>
    </row>
    <row r="415" spans="2:14" s="167" customFormat="1" x14ac:dyDescent="0.25">
      <c r="B415" s="49"/>
      <c r="C415" s="57"/>
      <c r="D415" s="302" t="s">
        <v>892</v>
      </c>
      <c r="E415" s="99"/>
      <c r="F415" s="303">
        <v>-1</v>
      </c>
      <c r="G415" s="304">
        <v>0.7</v>
      </c>
      <c r="H415" s="64"/>
      <c r="I415" s="105">
        <v>1.5</v>
      </c>
      <c r="J415" s="99"/>
      <c r="K415" s="82">
        <f t="shared" si="19"/>
        <v>-1.0499999999999998</v>
      </c>
      <c r="L415" s="82"/>
      <c r="M415" s="82"/>
      <c r="N415" s="86"/>
    </row>
    <row r="416" spans="2:14" s="167" customFormat="1" x14ac:dyDescent="0.25">
      <c r="B416" s="49"/>
      <c r="C416" s="57"/>
      <c r="D416" s="302" t="s">
        <v>924</v>
      </c>
      <c r="E416" s="99"/>
      <c r="F416" s="303">
        <v>-2</v>
      </c>
      <c r="G416" s="304">
        <v>1.5</v>
      </c>
      <c r="H416" s="64"/>
      <c r="I416" s="105">
        <v>0.6</v>
      </c>
      <c r="J416" s="99"/>
      <c r="K416" s="82">
        <f t="shared" si="19"/>
        <v>-1.7999999999999998</v>
      </c>
      <c r="L416" s="82"/>
      <c r="M416" s="82"/>
      <c r="N416" s="86"/>
    </row>
    <row r="417" spans="2:14" s="167" customFormat="1" x14ac:dyDescent="0.25">
      <c r="B417" s="49"/>
      <c r="C417" s="57"/>
      <c r="D417" s="302" t="s">
        <v>895</v>
      </c>
      <c r="E417" s="99"/>
      <c r="F417" s="303">
        <v>1</v>
      </c>
      <c r="G417" s="304">
        <v>22.7</v>
      </c>
      <c r="H417" s="64"/>
      <c r="I417" s="105">
        <v>1.5</v>
      </c>
      <c r="J417" s="99"/>
      <c r="K417" s="82">
        <f t="shared" si="19"/>
        <v>34.049999999999997</v>
      </c>
      <c r="L417" s="82"/>
      <c r="M417" s="82"/>
      <c r="N417" s="86"/>
    </row>
    <row r="418" spans="2:14" s="167" customFormat="1" x14ac:dyDescent="0.25">
      <c r="B418" s="49"/>
      <c r="C418" s="57"/>
      <c r="D418" s="302" t="s">
        <v>896</v>
      </c>
      <c r="E418" s="99"/>
      <c r="F418" s="303">
        <v>-1</v>
      </c>
      <c r="G418" s="304">
        <v>2.6</v>
      </c>
      <c r="H418" s="64"/>
      <c r="I418" s="105">
        <v>1.5</v>
      </c>
      <c r="J418" s="99"/>
      <c r="K418" s="82">
        <f t="shared" si="19"/>
        <v>-3.9000000000000004</v>
      </c>
      <c r="L418" s="82"/>
      <c r="M418" s="82"/>
      <c r="N418" s="86"/>
    </row>
    <row r="419" spans="2:14" s="167" customFormat="1" x14ac:dyDescent="0.25">
      <c r="B419" s="49"/>
      <c r="C419" s="57"/>
      <c r="D419" s="302" t="s">
        <v>897</v>
      </c>
      <c r="E419" s="99"/>
      <c r="F419" s="303">
        <v>-1</v>
      </c>
      <c r="G419" s="305">
        <v>2.65</v>
      </c>
      <c r="H419" s="64"/>
      <c r="I419" s="105">
        <v>1.5</v>
      </c>
      <c r="J419" s="99"/>
      <c r="K419" s="82">
        <f t="shared" si="19"/>
        <v>-3.9749999999999996</v>
      </c>
      <c r="L419" s="82"/>
      <c r="M419" s="82"/>
      <c r="N419" s="86"/>
    </row>
    <row r="420" spans="2:14" s="167" customFormat="1" x14ac:dyDescent="0.25">
      <c r="B420" s="49"/>
      <c r="C420" s="57"/>
      <c r="D420" s="302" t="s">
        <v>898</v>
      </c>
      <c r="E420" s="99"/>
      <c r="F420" s="303">
        <v>1</v>
      </c>
      <c r="G420" s="305">
        <v>21.84</v>
      </c>
      <c r="H420" s="64"/>
      <c r="I420" s="105">
        <v>1.5</v>
      </c>
      <c r="J420" s="99"/>
      <c r="K420" s="82">
        <f t="shared" si="19"/>
        <v>32.76</v>
      </c>
      <c r="L420" s="82"/>
      <c r="M420" s="82"/>
      <c r="N420" s="86"/>
    </row>
    <row r="421" spans="2:14" s="167" customFormat="1" x14ac:dyDescent="0.25">
      <c r="B421" s="49"/>
      <c r="C421" s="57"/>
      <c r="D421" s="302" t="s">
        <v>892</v>
      </c>
      <c r="E421" s="99"/>
      <c r="F421" s="303">
        <v>-2</v>
      </c>
      <c r="G421" s="304">
        <v>0.7</v>
      </c>
      <c r="H421" s="64"/>
      <c r="I421" s="105">
        <v>1.5</v>
      </c>
      <c r="J421" s="99"/>
      <c r="K421" s="82">
        <f t="shared" si="19"/>
        <v>-2.0999999999999996</v>
      </c>
      <c r="L421" s="82"/>
      <c r="M421" s="82"/>
      <c r="N421" s="86"/>
    </row>
    <row r="422" spans="2:14" s="167" customFormat="1" x14ac:dyDescent="0.25">
      <c r="B422" s="49"/>
      <c r="C422" s="57"/>
      <c r="D422" s="323" t="s">
        <v>924</v>
      </c>
      <c r="E422" s="99"/>
      <c r="F422" s="303">
        <v>-2</v>
      </c>
      <c r="G422" s="304">
        <v>1.5</v>
      </c>
      <c r="H422" s="64"/>
      <c r="I422" s="105">
        <v>0.6</v>
      </c>
      <c r="J422" s="99"/>
      <c r="K422" s="82">
        <f t="shared" si="19"/>
        <v>-1.7999999999999998</v>
      </c>
      <c r="L422" s="82"/>
      <c r="M422" s="82"/>
      <c r="N422" s="86"/>
    </row>
    <row r="423" spans="2:14" s="167" customFormat="1" x14ac:dyDescent="0.25">
      <c r="B423" s="49"/>
      <c r="C423" s="57"/>
      <c r="D423" s="302" t="s">
        <v>899</v>
      </c>
      <c r="E423" s="99"/>
      <c r="F423" s="303">
        <v>1</v>
      </c>
      <c r="G423" s="304">
        <v>21.9</v>
      </c>
      <c r="H423" s="64"/>
      <c r="I423" s="105">
        <v>1.5</v>
      </c>
      <c r="J423" s="99"/>
      <c r="K423" s="82">
        <f t="shared" si="19"/>
        <v>32.849999999999994</v>
      </c>
      <c r="L423" s="82"/>
      <c r="M423" s="82"/>
      <c r="N423" s="86"/>
    </row>
    <row r="424" spans="2:14" s="167" customFormat="1" x14ac:dyDescent="0.25">
      <c r="B424" s="49"/>
      <c r="C424" s="57"/>
      <c r="D424" s="302" t="s">
        <v>892</v>
      </c>
      <c r="E424" s="99"/>
      <c r="F424" s="303">
        <v>-2</v>
      </c>
      <c r="G424" s="304">
        <v>0.7</v>
      </c>
      <c r="H424" s="64"/>
      <c r="I424" s="105">
        <v>1.5</v>
      </c>
      <c r="J424" s="99"/>
      <c r="K424" s="82">
        <f t="shared" si="19"/>
        <v>-2.0999999999999996</v>
      </c>
      <c r="L424" s="82"/>
      <c r="M424" s="82"/>
      <c r="N424" s="86"/>
    </row>
    <row r="425" spans="2:14" s="167" customFormat="1" x14ac:dyDescent="0.25">
      <c r="B425" s="49"/>
      <c r="C425" s="57"/>
      <c r="D425" s="302" t="s">
        <v>924</v>
      </c>
      <c r="E425" s="99"/>
      <c r="F425" s="303">
        <v>-2</v>
      </c>
      <c r="G425" s="304">
        <v>1.5</v>
      </c>
      <c r="H425" s="64"/>
      <c r="I425" s="105">
        <v>0.6</v>
      </c>
      <c r="J425" s="99"/>
      <c r="K425" s="82">
        <f t="shared" si="19"/>
        <v>-1.7999999999999998</v>
      </c>
      <c r="L425" s="82"/>
      <c r="M425" s="82"/>
      <c r="N425" s="86"/>
    </row>
    <row r="426" spans="2:14" s="167" customFormat="1" x14ac:dyDescent="0.25">
      <c r="B426" s="49"/>
      <c r="C426" s="57"/>
      <c r="D426" s="302" t="s">
        <v>900</v>
      </c>
      <c r="E426" s="99"/>
      <c r="F426" s="303">
        <v>1</v>
      </c>
      <c r="G426" s="304">
        <v>27.9</v>
      </c>
      <c r="H426" s="64"/>
      <c r="I426" s="105">
        <v>1.5</v>
      </c>
      <c r="J426" s="99"/>
      <c r="K426" s="82">
        <f t="shared" si="19"/>
        <v>41.849999999999994</v>
      </c>
      <c r="L426" s="82"/>
      <c r="M426" s="82"/>
      <c r="N426" s="86"/>
    </row>
    <row r="427" spans="2:14" s="167" customFormat="1" x14ac:dyDescent="0.25">
      <c r="B427" s="49"/>
      <c r="C427" s="57"/>
      <c r="D427" s="302" t="s">
        <v>892</v>
      </c>
      <c r="E427" s="99"/>
      <c r="F427" s="303">
        <v>-1</v>
      </c>
      <c r="G427" s="304">
        <v>0.7</v>
      </c>
      <c r="H427" s="64"/>
      <c r="I427" s="105">
        <v>1.5</v>
      </c>
      <c r="J427" s="99"/>
      <c r="K427" s="82">
        <f t="shared" si="19"/>
        <v>-1.0499999999999998</v>
      </c>
      <c r="L427" s="82"/>
      <c r="M427" s="82"/>
      <c r="N427" s="86"/>
    </row>
    <row r="428" spans="2:14" s="167" customFormat="1" x14ac:dyDescent="0.25">
      <c r="B428" s="49"/>
      <c r="C428" s="57"/>
      <c r="D428" s="302" t="s">
        <v>924</v>
      </c>
      <c r="E428" s="99"/>
      <c r="F428" s="303">
        <v>-2</v>
      </c>
      <c r="G428" s="304">
        <v>1.5</v>
      </c>
      <c r="H428" s="64"/>
      <c r="I428" s="105">
        <v>0.6</v>
      </c>
      <c r="J428" s="99"/>
      <c r="K428" s="82">
        <f t="shared" si="19"/>
        <v>-1.7999999999999998</v>
      </c>
      <c r="L428" s="82"/>
      <c r="M428" s="82"/>
      <c r="N428" s="86"/>
    </row>
    <row r="429" spans="2:14" s="167" customFormat="1" x14ac:dyDescent="0.25">
      <c r="B429" s="49"/>
      <c r="C429" s="57"/>
      <c r="D429" s="302" t="s">
        <v>901</v>
      </c>
      <c r="E429" s="99"/>
      <c r="F429" s="303">
        <v>1</v>
      </c>
      <c r="G429" s="306">
        <v>5</v>
      </c>
      <c r="H429" s="64"/>
      <c r="I429" s="105">
        <v>1.5</v>
      </c>
      <c r="J429" s="99"/>
      <c r="K429" s="82">
        <f t="shared" si="19"/>
        <v>7.5</v>
      </c>
      <c r="L429" s="82"/>
      <c r="M429" s="82"/>
      <c r="N429" s="86"/>
    </row>
    <row r="430" spans="2:14" s="167" customFormat="1" x14ac:dyDescent="0.25">
      <c r="B430" s="49"/>
      <c r="C430" s="57"/>
      <c r="D430" s="302" t="s">
        <v>897</v>
      </c>
      <c r="E430" s="99"/>
      <c r="F430" s="303">
        <v>-1</v>
      </c>
      <c r="G430" s="304">
        <v>0.5</v>
      </c>
      <c r="H430" s="64"/>
      <c r="I430" s="105">
        <v>0.5</v>
      </c>
      <c r="J430" s="99"/>
      <c r="K430" s="82">
        <f t="shared" si="19"/>
        <v>-0.25</v>
      </c>
      <c r="L430" s="82"/>
      <c r="M430" s="82"/>
      <c r="N430" s="86"/>
    </row>
    <row r="431" spans="2:14" s="167" customFormat="1" x14ac:dyDescent="0.25">
      <c r="B431" s="49"/>
      <c r="C431" s="57"/>
      <c r="D431" s="302" t="s">
        <v>902</v>
      </c>
      <c r="E431" s="99"/>
      <c r="F431" s="303">
        <v>1</v>
      </c>
      <c r="G431" s="306">
        <v>5</v>
      </c>
      <c r="H431" s="64"/>
      <c r="I431" s="105">
        <v>1.5</v>
      </c>
      <c r="J431" s="99"/>
      <c r="K431" s="82">
        <f t="shared" si="19"/>
        <v>7.5</v>
      </c>
      <c r="L431" s="82"/>
      <c r="M431" s="82"/>
      <c r="N431" s="86"/>
    </row>
    <row r="432" spans="2:14" s="167" customFormat="1" x14ac:dyDescent="0.25">
      <c r="B432" s="49"/>
      <c r="C432" s="57"/>
      <c r="D432" s="302" t="s">
        <v>897</v>
      </c>
      <c r="E432" s="99"/>
      <c r="F432" s="303">
        <v>-1</v>
      </c>
      <c r="G432" s="304">
        <v>0.5</v>
      </c>
      <c r="H432" s="64"/>
      <c r="I432" s="105">
        <v>0.5</v>
      </c>
      <c r="J432" s="99"/>
      <c r="K432" s="82">
        <f t="shared" si="19"/>
        <v>-0.25</v>
      </c>
      <c r="L432" s="82"/>
      <c r="M432" s="82"/>
      <c r="N432" s="86"/>
    </row>
    <row r="433" spans="2:14" s="167" customFormat="1" x14ac:dyDescent="0.25">
      <c r="B433" s="49"/>
      <c r="C433" s="57"/>
      <c r="D433" s="302" t="s">
        <v>903</v>
      </c>
      <c r="E433" s="99"/>
      <c r="F433" s="303">
        <v>1</v>
      </c>
      <c r="G433" s="305">
        <v>6.45</v>
      </c>
      <c r="H433" s="64"/>
      <c r="I433" s="105">
        <v>1.5</v>
      </c>
      <c r="J433" s="99"/>
      <c r="K433" s="82">
        <f t="shared" si="19"/>
        <v>9.6750000000000007</v>
      </c>
      <c r="L433" s="82"/>
      <c r="M433" s="82"/>
      <c r="N433" s="86"/>
    </row>
    <row r="434" spans="2:14" s="167" customFormat="1" x14ac:dyDescent="0.25">
      <c r="B434" s="49"/>
      <c r="C434" s="57"/>
      <c r="D434" s="302" t="s">
        <v>892</v>
      </c>
      <c r="E434" s="99"/>
      <c r="F434" s="303">
        <v>-1</v>
      </c>
      <c r="G434" s="304">
        <v>0.7</v>
      </c>
      <c r="H434" s="64"/>
      <c r="I434" s="105">
        <v>1.5</v>
      </c>
      <c r="J434" s="99"/>
      <c r="K434" s="82">
        <f t="shared" si="19"/>
        <v>-1.0499999999999998</v>
      </c>
      <c r="L434" s="82"/>
      <c r="M434" s="82"/>
      <c r="N434" s="86"/>
    </row>
    <row r="435" spans="2:14" s="167" customFormat="1" x14ac:dyDescent="0.25">
      <c r="B435" s="49"/>
      <c r="C435" s="57"/>
      <c r="D435" s="302" t="s">
        <v>904</v>
      </c>
      <c r="E435" s="99"/>
      <c r="F435" s="303">
        <v>-1</v>
      </c>
      <c r="G435" s="304">
        <v>0.5</v>
      </c>
      <c r="H435" s="64"/>
      <c r="I435" s="105">
        <v>0.5</v>
      </c>
      <c r="J435" s="99"/>
      <c r="K435" s="82">
        <f t="shared" si="19"/>
        <v>-0.25</v>
      </c>
      <c r="L435" s="82"/>
      <c r="M435" s="82"/>
      <c r="N435" s="86"/>
    </row>
    <row r="436" spans="2:14" s="167" customFormat="1" x14ac:dyDescent="0.25">
      <c r="B436" s="49"/>
      <c r="C436" s="57"/>
      <c r="D436" s="302" t="s">
        <v>905</v>
      </c>
      <c r="E436" s="99"/>
      <c r="F436" s="303">
        <v>0</v>
      </c>
      <c r="G436" s="305">
        <v>15.46</v>
      </c>
      <c r="H436" s="64"/>
      <c r="I436" s="105">
        <v>1.5</v>
      </c>
      <c r="J436" s="99"/>
      <c r="K436" s="82">
        <f t="shared" si="19"/>
        <v>0</v>
      </c>
      <c r="L436" s="82"/>
      <c r="M436" s="82"/>
      <c r="N436" s="86"/>
    </row>
    <row r="437" spans="2:14" s="167" customFormat="1" x14ac:dyDescent="0.25">
      <c r="B437" s="49"/>
      <c r="C437" s="57"/>
      <c r="D437" s="302" t="s">
        <v>892</v>
      </c>
      <c r="E437" s="99"/>
      <c r="F437" s="303">
        <v>0</v>
      </c>
      <c r="G437" s="304">
        <v>0.7</v>
      </c>
      <c r="H437" s="64"/>
      <c r="I437" s="105">
        <v>1.5</v>
      </c>
      <c r="J437" s="99"/>
      <c r="K437" s="82">
        <f t="shared" si="19"/>
        <v>0</v>
      </c>
      <c r="L437" s="82"/>
      <c r="M437" s="82"/>
      <c r="N437" s="86"/>
    </row>
    <row r="438" spans="2:14" s="167" customFormat="1" x14ac:dyDescent="0.25">
      <c r="B438" s="49"/>
      <c r="C438" s="57"/>
      <c r="D438" s="302" t="s">
        <v>924</v>
      </c>
      <c r="E438" s="99"/>
      <c r="F438" s="303">
        <v>0</v>
      </c>
      <c r="G438" s="304">
        <v>1.5</v>
      </c>
      <c r="H438" s="64"/>
      <c r="I438" s="105">
        <v>0.6</v>
      </c>
      <c r="J438" s="99"/>
      <c r="K438" s="82">
        <f t="shared" si="19"/>
        <v>0</v>
      </c>
      <c r="L438" s="82"/>
      <c r="M438" s="82"/>
      <c r="N438" s="86"/>
    </row>
    <row r="439" spans="2:14" s="167" customFormat="1" x14ac:dyDescent="0.25">
      <c r="B439" s="49"/>
      <c r="C439" s="57"/>
      <c r="D439" s="302" t="s">
        <v>906</v>
      </c>
      <c r="E439" s="99"/>
      <c r="F439" s="303">
        <v>0</v>
      </c>
      <c r="G439" s="306">
        <v>13</v>
      </c>
      <c r="H439" s="64"/>
      <c r="I439" s="105">
        <v>1.5</v>
      </c>
      <c r="J439" s="99"/>
      <c r="K439" s="82">
        <f t="shared" si="19"/>
        <v>0</v>
      </c>
      <c r="L439" s="82"/>
      <c r="M439" s="82"/>
      <c r="N439" s="86"/>
    </row>
    <row r="440" spans="2:14" s="167" customFormat="1" x14ac:dyDescent="0.25">
      <c r="B440" s="49"/>
      <c r="C440" s="57"/>
      <c r="D440" s="302" t="s">
        <v>892</v>
      </c>
      <c r="E440" s="99"/>
      <c r="F440" s="303">
        <v>0</v>
      </c>
      <c r="G440" s="304">
        <v>0.7</v>
      </c>
      <c r="H440" s="64"/>
      <c r="I440" s="105">
        <v>1.5</v>
      </c>
      <c r="J440" s="99"/>
      <c r="K440" s="82">
        <f t="shared" si="19"/>
        <v>0</v>
      </c>
      <c r="L440" s="82"/>
      <c r="M440" s="82"/>
      <c r="N440" s="86"/>
    </row>
    <row r="441" spans="2:14" s="167" customFormat="1" x14ac:dyDescent="0.25">
      <c r="B441" s="49"/>
      <c r="C441" s="57"/>
      <c r="D441" s="302" t="s">
        <v>924</v>
      </c>
      <c r="E441" s="99"/>
      <c r="F441" s="303">
        <v>0</v>
      </c>
      <c r="G441" s="304">
        <v>1.5</v>
      </c>
      <c r="H441" s="64"/>
      <c r="I441" s="105">
        <v>0.6</v>
      </c>
      <c r="J441" s="99"/>
      <c r="K441" s="82">
        <f t="shared" si="19"/>
        <v>0</v>
      </c>
      <c r="L441" s="82"/>
      <c r="M441" s="82"/>
      <c r="N441" s="86"/>
    </row>
    <row r="442" spans="2:14" s="167" customFormat="1" x14ac:dyDescent="0.25">
      <c r="B442" s="49"/>
      <c r="C442" s="57"/>
      <c r="D442" s="302" t="s">
        <v>907</v>
      </c>
      <c r="E442" s="99"/>
      <c r="F442" s="303">
        <v>0</v>
      </c>
      <c r="G442" s="304">
        <v>18.899999999999999</v>
      </c>
      <c r="H442" s="64"/>
      <c r="I442" s="105">
        <v>1.5</v>
      </c>
      <c r="J442" s="99"/>
      <c r="K442" s="82">
        <f t="shared" si="19"/>
        <v>0</v>
      </c>
      <c r="L442" s="82"/>
      <c r="M442" s="82"/>
      <c r="N442" s="86"/>
    </row>
    <row r="443" spans="2:14" s="167" customFormat="1" x14ac:dyDescent="0.25">
      <c r="B443" s="49"/>
      <c r="C443" s="57"/>
      <c r="D443" s="302" t="s">
        <v>892</v>
      </c>
      <c r="E443" s="99"/>
      <c r="F443" s="303">
        <v>0</v>
      </c>
      <c r="G443" s="304">
        <v>0.7</v>
      </c>
      <c r="H443" s="64"/>
      <c r="I443" s="105">
        <v>1.5</v>
      </c>
      <c r="J443" s="99"/>
      <c r="K443" s="82">
        <f t="shared" si="19"/>
        <v>0</v>
      </c>
      <c r="L443" s="82"/>
      <c r="M443" s="82"/>
      <c r="N443" s="86"/>
    </row>
    <row r="444" spans="2:14" s="167" customFormat="1" x14ac:dyDescent="0.25">
      <c r="B444" s="49"/>
      <c r="C444" s="57"/>
      <c r="D444" s="302" t="s">
        <v>924</v>
      </c>
      <c r="E444" s="99"/>
      <c r="F444" s="303">
        <v>0</v>
      </c>
      <c r="G444" s="304">
        <v>1.5</v>
      </c>
      <c r="H444" s="64"/>
      <c r="I444" s="105">
        <v>0.6</v>
      </c>
      <c r="J444" s="99"/>
      <c r="K444" s="82">
        <f t="shared" si="19"/>
        <v>0</v>
      </c>
      <c r="L444" s="82"/>
      <c r="M444" s="82"/>
      <c r="N444" s="86"/>
    </row>
    <row r="445" spans="2:14" s="167" customFormat="1" x14ac:dyDescent="0.25">
      <c r="B445" s="49"/>
      <c r="C445" s="57"/>
      <c r="D445" s="302" t="s">
        <v>908</v>
      </c>
      <c r="E445" s="99"/>
      <c r="F445" s="303">
        <v>0</v>
      </c>
      <c r="G445" s="304">
        <v>4.9000000000000004</v>
      </c>
      <c r="H445" s="64"/>
      <c r="I445" s="105">
        <v>1.5</v>
      </c>
      <c r="J445" s="99"/>
      <c r="K445" s="82">
        <f t="shared" si="19"/>
        <v>0</v>
      </c>
      <c r="L445" s="82"/>
      <c r="M445" s="82"/>
      <c r="N445" s="86"/>
    </row>
    <row r="446" spans="2:14" s="167" customFormat="1" x14ac:dyDescent="0.25">
      <c r="B446" s="49"/>
      <c r="C446" s="57"/>
      <c r="D446" s="302" t="s">
        <v>893</v>
      </c>
      <c r="E446" s="99"/>
      <c r="F446" s="303">
        <v>0</v>
      </c>
      <c r="G446" s="306">
        <v>1</v>
      </c>
      <c r="H446" s="64"/>
      <c r="I446" s="105">
        <v>0.5</v>
      </c>
      <c r="J446" s="99"/>
      <c r="K446" s="82">
        <f t="shared" si="19"/>
        <v>0</v>
      </c>
      <c r="L446" s="82"/>
      <c r="M446" s="82"/>
      <c r="N446" s="86"/>
    </row>
    <row r="447" spans="2:14" s="167" customFormat="1" x14ac:dyDescent="0.25">
      <c r="B447" s="49"/>
      <c r="C447" s="57"/>
      <c r="D447" s="302" t="s">
        <v>909</v>
      </c>
      <c r="E447" s="99"/>
      <c r="F447" s="303">
        <v>1</v>
      </c>
      <c r="G447" s="304">
        <v>5.8</v>
      </c>
      <c r="H447" s="64"/>
      <c r="I447" s="105">
        <v>1.5</v>
      </c>
      <c r="J447" s="99"/>
      <c r="K447" s="82">
        <f t="shared" si="19"/>
        <v>8.6999999999999993</v>
      </c>
      <c r="L447" s="82"/>
      <c r="M447" s="82"/>
      <c r="N447" s="86"/>
    </row>
    <row r="448" spans="2:14" s="167" customFormat="1" x14ac:dyDescent="0.25">
      <c r="B448" s="49"/>
      <c r="C448" s="57"/>
      <c r="D448" s="302" t="s">
        <v>925</v>
      </c>
      <c r="E448" s="99"/>
      <c r="F448" s="303">
        <v>-1</v>
      </c>
      <c r="G448" s="306">
        <v>1</v>
      </c>
      <c r="H448" s="64"/>
      <c r="I448" s="105">
        <v>0.5</v>
      </c>
      <c r="J448" s="99"/>
      <c r="K448" s="82">
        <f t="shared" si="19"/>
        <v>-0.5</v>
      </c>
      <c r="L448" s="82"/>
      <c r="M448" s="82"/>
      <c r="N448" s="86"/>
    </row>
    <row r="449" spans="2:14" s="167" customFormat="1" x14ac:dyDescent="0.25">
      <c r="B449" s="49"/>
      <c r="C449" s="57"/>
      <c r="D449" s="302" t="s">
        <v>910</v>
      </c>
      <c r="E449" s="99"/>
      <c r="F449" s="303">
        <v>1</v>
      </c>
      <c r="G449" s="305">
        <v>8.65</v>
      </c>
      <c r="H449" s="64"/>
      <c r="I449" s="105">
        <v>1.5</v>
      </c>
      <c r="J449" s="99"/>
      <c r="K449" s="82">
        <f t="shared" si="19"/>
        <v>12.975000000000001</v>
      </c>
      <c r="L449" s="82"/>
      <c r="M449" s="82"/>
      <c r="N449" s="86"/>
    </row>
    <row r="450" spans="2:14" s="167" customFormat="1" x14ac:dyDescent="0.25">
      <c r="B450" s="49"/>
      <c r="C450" s="57"/>
      <c r="D450" s="302" t="s">
        <v>896</v>
      </c>
      <c r="E450" s="99"/>
      <c r="F450" s="303">
        <v>-1</v>
      </c>
      <c r="G450" s="304">
        <v>2.6</v>
      </c>
      <c r="H450" s="64"/>
      <c r="I450" s="105">
        <v>1.5</v>
      </c>
      <c r="J450" s="99"/>
      <c r="K450" s="82">
        <f t="shared" si="19"/>
        <v>-3.9000000000000004</v>
      </c>
      <c r="L450" s="82"/>
      <c r="M450" s="82"/>
      <c r="N450" s="86"/>
    </row>
    <row r="451" spans="2:14" s="167" customFormat="1" x14ac:dyDescent="0.25">
      <c r="B451" s="49"/>
      <c r="C451" s="57"/>
      <c r="D451" s="302" t="s">
        <v>924</v>
      </c>
      <c r="E451" s="99"/>
      <c r="F451" s="303">
        <v>-1</v>
      </c>
      <c r="G451" s="304">
        <v>1.5</v>
      </c>
      <c r="H451" s="64"/>
      <c r="I451" s="105">
        <v>0.6</v>
      </c>
      <c r="J451" s="99"/>
      <c r="K451" s="82">
        <f t="shared" si="19"/>
        <v>-0.89999999999999991</v>
      </c>
      <c r="L451" s="82"/>
      <c r="M451" s="82"/>
      <c r="N451" s="86"/>
    </row>
    <row r="452" spans="2:14" s="167" customFormat="1" x14ac:dyDescent="0.25">
      <c r="B452" s="49"/>
      <c r="C452" s="57"/>
      <c r="D452" s="302" t="s">
        <v>911</v>
      </c>
      <c r="E452" s="99"/>
      <c r="F452" s="303">
        <v>1</v>
      </c>
      <c r="G452" s="305">
        <v>6.33</v>
      </c>
      <c r="H452" s="64"/>
      <c r="I452" s="105">
        <v>1.5</v>
      </c>
      <c r="J452" s="99"/>
      <c r="K452" s="82">
        <f t="shared" si="19"/>
        <v>9.495000000000001</v>
      </c>
      <c r="L452" s="82"/>
      <c r="M452" s="82"/>
      <c r="N452" s="86"/>
    </row>
    <row r="453" spans="2:14" s="167" customFormat="1" x14ac:dyDescent="0.25">
      <c r="B453" s="49"/>
      <c r="C453" s="57"/>
      <c r="D453" s="302" t="s">
        <v>892</v>
      </c>
      <c r="E453" s="99"/>
      <c r="F453" s="303">
        <v>-1</v>
      </c>
      <c r="G453" s="304">
        <v>0.7</v>
      </c>
      <c r="H453" s="64"/>
      <c r="I453" s="105">
        <v>1.5</v>
      </c>
      <c r="J453" s="99"/>
      <c r="K453" s="82">
        <f t="shared" si="19"/>
        <v>-1.0499999999999998</v>
      </c>
      <c r="L453" s="82"/>
      <c r="M453" s="82"/>
      <c r="N453" s="86"/>
    </row>
    <row r="454" spans="2:14" s="167" customFormat="1" x14ac:dyDescent="0.25">
      <c r="B454" s="49"/>
      <c r="C454" s="57"/>
      <c r="D454" s="302" t="s">
        <v>893</v>
      </c>
      <c r="E454" s="99"/>
      <c r="F454" s="303">
        <v>-1</v>
      </c>
      <c r="G454" s="306">
        <v>1</v>
      </c>
      <c r="H454" s="64"/>
      <c r="I454" s="105">
        <v>0.5</v>
      </c>
      <c r="J454" s="99"/>
      <c r="K454" s="82">
        <f t="shared" si="19"/>
        <v>-0.5</v>
      </c>
      <c r="L454" s="82"/>
      <c r="M454" s="82"/>
      <c r="N454" s="86"/>
    </row>
    <row r="455" spans="2:14" s="167" customFormat="1" x14ac:dyDescent="0.25">
      <c r="B455" s="49"/>
      <c r="C455" s="57"/>
      <c r="D455" s="302" t="s">
        <v>863</v>
      </c>
      <c r="E455" s="99"/>
      <c r="F455" s="303">
        <v>1</v>
      </c>
      <c r="G455" s="304">
        <v>6.2</v>
      </c>
      <c r="H455" s="64"/>
      <c r="I455" s="105">
        <v>1.5</v>
      </c>
      <c r="J455" s="99"/>
      <c r="K455" s="82">
        <f t="shared" si="19"/>
        <v>9.3000000000000007</v>
      </c>
      <c r="L455" s="82"/>
      <c r="M455" s="82"/>
      <c r="N455" s="86"/>
    </row>
    <row r="456" spans="2:14" s="167" customFormat="1" x14ac:dyDescent="0.25">
      <c r="B456" s="49"/>
      <c r="C456" s="57"/>
      <c r="D456" s="302" t="s">
        <v>892</v>
      </c>
      <c r="E456" s="99"/>
      <c r="F456" s="303">
        <v>-1</v>
      </c>
      <c r="G456" s="304">
        <v>0.7</v>
      </c>
      <c r="H456" s="64"/>
      <c r="I456" s="105">
        <v>1.5</v>
      </c>
      <c r="J456" s="99"/>
      <c r="K456" s="82">
        <f t="shared" si="19"/>
        <v>-1.0499999999999998</v>
      </c>
      <c r="L456" s="82"/>
      <c r="M456" s="82"/>
      <c r="N456" s="86"/>
    </row>
    <row r="457" spans="2:14" s="167" customFormat="1" x14ac:dyDescent="0.25">
      <c r="B457" s="49"/>
      <c r="C457" s="57"/>
      <c r="D457" s="302" t="s">
        <v>893</v>
      </c>
      <c r="E457" s="99"/>
      <c r="F457" s="303">
        <v>-1</v>
      </c>
      <c r="G457" s="306">
        <v>1</v>
      </c>
      <c r="H457" s="64"/>
      <c r="I457" s="105">
        <v>0.5</v>
      </c>
      <c r="J457" s="99"/>
      <c r="K457" s="82">
        <f t="shared" si="19"/>
        <v>-0.5</v>
      </c>
      <c r="L457" s="82"/>
      <c r="M457" s="82"/>
      <c r="N457" s="86"/>
    </row>
    <row r="458" spans="2:14" s="167" customFormat="1" x14ac:dyDescent="0.25">
      <c r="B458" s="49"/>
      <c r="C458" s="57"/>
      <c r="D458" s="302" t="s">
        <v>912</v>
      </c>
      <c r="E458" s="99"/>
      <c r="F458" s="303">
        <v>1</v>
      </c>
      <c r="G458" s="304">
        <v>11.8</v>
      </c>
      <c r="H458" s="64"/>
      <c r="I458" s="105">
        <v>1.5</v>
      </c>
      <c r="J458" s="99"/>
      <c r="K458" s="82">
        <f t="shared" si="19"/>
        <v>17.700000000000003</v>
      </c>
      <c r="L458" s="82"/>
      <c r="M458" s="82"/>
      <c r="N458" s="86"/>
    </row>
    <row r="459" spans="2:14" s="167" customFormat="1" x14ac:dyDescent="0.25">
      <c r="B459" s="49"/>
      <c r="C459" s="57"/>
      <c r="D459" s="302" t="s">
        <v>892</v>
      </c>
      <c r="E459" s="99"/>
      <c r="F459" s="303">
        <v>-1</v>
      </c>
      <c r="G459" s="304">
        <v>0.7</v>
      </c>
      <c r="H459" s="64"/>
      <c r="I459" s="105">
        <v>1.5</v>
      </c>
      <c r="J459" s="99"/>
      <c r="K459" s="82">
        <f t="shared" si="19"/>
        <v>-1.0499999999999998</v>
      </c>
      <c r="L459" s="82"/>
      <c r="M459" s="82"/>
      <c r="N459" s="86"/>
    </row>
    <row r="460" spans="2:14" s="167" customFormat="1" x14ac:dyDescent="0.25">
      <c r="B460" s="49"/>
      <c r="C460" s="57"/>
      <c r="D460" s="302" t="s">
        <v>924</v>
      </c>
      <c r="E460" s="99"/>
      <c r="F460" s="303">
        <v>-1</v>
      </c>
      <c r="G460" s="304">
        <v>1.5</v>
      </c>
      <c r="H460" s="64"/>
      <c r="I460" s="105">
        <v>0.6</v>
      </c>
      <c r="J460" s="99"/>
      <c r="K460" s="82">
        <f t="shared" si="19"/>
        <v>-0.89999999999999991</v>
      </c>
      <c r="L460" s="82"/>
      <c r="M460" s="82"/>
      <c r="N460" s="86"/>
    </row>
    <row r="461" spans="2:14" s="167" customFormat="1" x14ac:dyDescent="0.25">
      <c r="B461" s="49"/>
      <c r="C461" s="57"/>
      <c r="D461" s="302" t="s">
        <v>911</v>
      </c>
      <c r="E461" s="99"/>
      <c r="F461" s="303">
        <v>1</v>
      </c>
      <c r="G461" s="305">
        <v>5.65</v>
      </c>
      <c r="H461" s="64"/>
      <c r="I461" s="105">
        <v>1.5</v>
      </c>
      <c r="J461" s="99"/>
      <c r="K461" s="82">
        <f t="shared" si="19"/>
        <v>8.4750000000000014</v>
      </c>
      <c r="L461" s="82"/>
      <c r="M461" s="82"/>
      <c r="N461" s="86"/>
    </row>
    <row r="462" spans="2:14" s="167" customFormat="1" x14ac:dyDescent="0.25">
      <c r="B462" s="49"/>
      <c r="C462" s="57"/>
      <c r="D462" s="302" t="s">
        <v>892</v>
      </c>
      <c r="E462" s="99"/>
      <c r="F462" s="303">
        <v>-1</v>
      </c>
      <c r="G462" s="304">
        <v>0.7</v>
      </c>
      <c r="H462" s="64"/>
      <c r="I462" s="105">
        <v>1.5</v>
      </c>
      <c r="J462" s="99"/>
      <c r="K462" s="82">
        <f t="shared" si="19"/>
        <v>-1.0499999999999998</v>
      </c>
      <c r="L462" s="82"/>
      <c r="M462" s="82"/>
      <c r="N462" s="86"/>
    </row>
    <row r="463" spans="2:14" s="167" customFormat="1" x14ac:dyDescent="0.25">
      <c r="B463" s="49"/>
      <c r="C463" s="57"/>
      <c r="D463" s="302" t="s">
        <v>893</v>
      </c>
      <c r="E463" s="99"/>
      <c r="F463" s="303">
        <v>-1</v>
      </c>
      <c r="G463" s="306">
        <v>1</v>
      </c>
      <c r="H463" s="64"/>
      <c r="I463" s="105">
        <v>0.5</v>
      </c>
      <c r="J463" s="99"/>
      <c r="K463" s="82">
        <f t="shared" si="19"/>
        <v>-0.5</v>
      </c>
      <c r="L463" s="82"/>
      <c r="M463" s="82"/>
      <c r="N463" s="86"/>
    </row>
    <row r="464" spans="2:14" s="167" customFormat="1" x14ac:dyDescent="0.25">
      <c r="B464" s="49"/>
      <c r="C464" s="57"/>
      <c r="D464" s="302" t="s">
        <v>913</v>
      </c>
      <c r="E464" s="99"/>
      <c r="F464" s="303">
        <v>1</v>
      </c>
      <c r="G464" s="305">
        <v>3.67</v>
      </c>
      <c r="H464" s="64"/>
      <c r="I464" s="105">
        <v>1.5</v>
      </c>
      <c r="J464" s="99"/>
      <c r="K464" s="82">
        <f t="shared" si="19"/>
        <v>5.5049999999999999</v>
      </c>
      <c r="L464" s="82"/>
      <c r="M464" s="82"/>
      <c r="N464" s="86"/>
    </row>
    <row r="465" spans="2:14" s="167" customFormat="1" x14ac:dyDescent="0.25">
      <c r="B465" s="49"/>
      <c r="C465" s="57"/>
      <c r="D465" s="302" t="s">
        <v>892</v>
      </c>
      <c r="E465" s="99"/>
      <c r="F465" s="303">
        <v>-1</v>
      </c>
      <c r="G465" s="304">
        <v>0.7</v>
      </c>
      <c r="H465" s="64"/>
      <c r="I465" s="105">
        <v>1.5</v>
      </c>
      <c r="J465" s="99"/>
      <c r="K465" s="82">
        <f t="shared" si="19"/>
        <v>-1.0499999999999998</v>
      </c>
      <c r="L465" s="82"/>
      <c r="M465" s="82"/>
      <c r="N465" s="86"/>
    </row>
    <row r="466" spans="2:14" s="167" customFormat="1" x14ac:dyDescent="0.25">
      <c r="B466" s="49"/>
      <c r="C466" s="57"/>
      <c r="D466" s="302" t="s">
        <v>893</v>
      </c>
      <c r="E466" s="99"/>
      <c r="F466" s="303">
        <v>-1</v>
      </c>
      <c r="G466" s="306">
        <v>1</v>
      </c>
      <c r="H466" s="64"/>
      <c r="I466" s="105">
        <v>0.5</v>
      </c>
      <c r="J466" s="99"/>
      <c r="K466" s="82">
        <f t="shared" si="19"/>
        <v>-0.5</v>
      </c>
      <c r="L466" s="82"/>
      <c r="M466" s="82"/>
      <c r="N466" s="86"/>
    </row>
    <row r="467" spans="2:14" s="167" customFormat="1" x14ac:dyDescent="0.25">
      <c r="B467" s="49"/>
      <c r="C467" s="57"/>
      <c r="D467" s="302" t="s">
        <v>914</v>
      </c>
      <c r="E467" s="99"/>
      <c r="F467" s="303">
        <v>1</v>
      </c>
      <c r="G467" s="304">
        <v>7.8</v>
      </c>
      <c r="H467" s="64"/>
      <c r="I467" s="105">
        <v>1.5</v>
      </c>
      <c r="J467" s="99"/>
      <c r="K467" s="82">
        <f t="shared" si="19"/>
        <v>11.7</v>
      </c>
      <c r="L467" s="82"/>
      <c r="M467" s="82"/>
      <c r="N467" s="86"/>
    </row>
    <row r="468" spans="2:14" s="167" customFormat="1" x14ac:dyDescent="0.25">
      <c r="B468" s="49"/>
      <c r="C468" s="57"/>
      <c r="D468" s="302" t="s">
        <v>915</v>
      </c>
      <c r="E468" s="99"/>
      <c r="F468" s="303">
        <v>1</v>
      </c>
      <c r="G468" s="304">
        <v>14.9</v>
      </c>
      <c r="H468" s="64"/>
      <c r="I468" s="105">
        <v>1.5</v>
      </c>
      <c r="J468" s="99"/>
      <c r="K468" s="82">
        <f t="shared" si="19"/>
        <v>22.35</v>
      </c>
      <c r="L468" s="82"/>
      <c r="M468" s="82"/>
      <c r="N468" s="86"/>
    </row>
    <row r="469" spans="2:14" s="167" customFormat="1" x14ac:dyDescent="0.25">
      <c r="B469" s="49"/>
      <c r="C469" s="57"/>
      <c r="D469" s="302" t="s">
        <v>892</v>
      </c>
      <c r="E469" s="99"/>
      <c r="F469" s="303">
        <v>-2</v>
      </c>
      <c r="G469" s="304">
        <v>0.7</v>
      </c>
      <c r="H469" s="64"/>
      <c r="I469" s="105">
        <v>1.5</v>
      </c>
      <c r="J469" s="99"/>
      <c r="K469" s="82">
        <f t="shared" si="19"/>
        <v>-2.0999999999999996</v>
      </c>
      <c r="L469" s="82"/>
      <c r="M469" s="82"/>
      <c r="N469" s="86"/>
    </row>
    <row r="470" spans="2:14" s="167" customFormat="1" x14ac:dyDescent="0.25">
      <c r="B470" s="49"/>
      <c r="C470" s="57"/>
      <c r="D470" s="302" t="s">
        <v>924</v>
      </c>
      <c r="E470" s="99"/>
      <c r="F470" s="303">
        <v>-1</v>
      </c>
      <c r="G470" s="304">
        <v>1.5</v>
      </c>
      <c r="H470" s="64"/>
      <c r="I470" s="105">
        <v>0.6</v>
      </c>
      <c r="J470" s="99"/>
      <c r="K470" s="82">
        <f t="shared" si="19"/>
        <v>-0.89999999999999991</v>
      </c>
      <c r="L470" s="82"/>
      <c r="M470" s="82"/>
      <c r="N470" s="86"/>
    </row>
    <row r="471" spans="2:14" s="167" customFormat="1" x14ac:dyDescent="0.25">
      <c r="B471" s="49"/>
      <c r="C471" s="57"/>
      <c r="D471" s="302" t="s">
        <v>916</v>
      </c>
      <c r="E471" s="99"/>
      <c r="F471" s="303">
        <v>1</v>
      </c>
      <c r="G471" s="306">
        <v>6</v>
      </c>
      <c r="H471" s="64"/>
      <c r="I471" s="105">
        <v>1.5</v>
      </c>
      <c r="J471" s="99"/>
      <c r="K471" s="82">
        <f t="shared" si="19"/>
        <v>9</v>
      </c>
      <c r="L471" s="82"/>
      <c r="M471" s="82"/>
      <c r="N471" s="86"/>
    </row>
    <row r="472" spans="2:14" s="167" customFormat="1" x14ac:dyDescent="0.25">
      <c r="B472" s="49"/>
      <c r="C472" s="57"/>
      <c r="D472" s="302" t="s">
        <v>917</v>
      </c>
      <c r="E472" s="99"/>
      <c r="F472" s="303">
        <v>-1</v>
      </c>
      <c r="G472" s="304">
        <v>2.6</v>
      </c>
      <c r="H472" s="64"/>
      <c r="I472" s="105">
        <v>1.5</v>
      </c>
      <c r="J472" s="99"/>
      <c r="K472" s="82">
        <f t="shared" si="19"/>
        <v>-3.9000000000000004</v>
      </c>
      <c r="L472" s="82"/>
      <c r="M472" s="82"/>
      <c r="N472" s="86"/>
    </row>
    <row r="473" spans="2:14" s="167" customFormat="1" x14ac:dyDescent="0.25">
      <c r="B473" s="49"/>
      <c r="C473" s="57"/>
      <c r="D473" s="302" t="s">
        <v>918</v>
      </c>
      <c r="E473" s="99"/>
      <c r="F473" s="303">
        <v>1</v>
      </c>
      <c r="G473" s="304">
        <v>3.6</v>
      </c>
      <c r="H473" s="64"/>
      <c r="I473" s="105">
        <v>1.5</v>
      </c>
      <c r="J473" s="99"/>
      <c r="K473" s="82">
        <f t="shared" si="19"/>
        <v>5.4</v>
      </c>
      <c r="L473" s="82"/>
      <c r="M473" s="82"/>
      <c r="N473" s="86"/>
    </row>
    <row r="474" spans="2:14" s="167" customFormat="1" x14ac:dyDescent="0.25">
      <c r="B474" s="49"/>
      <c r="C474" s="57"/>
      <c r="D474" s="302" t="s">
        <v>919</v>
      </c>
      <c r="E474" s="99"/>
      <c r="F474" s="303">
        <v>-1</v>
      </c>
      <c r="G474" s="304">
        <v>1.4</v>
      </c>
      <c r="H474" s="64"/>
      <c r="I474" s="105">
        <v>1.5</v>
      </c>
      <c r="J474" s="99"/>
      <c r="K474" s="82">
        <f t="shared" si="19"/>
        <v>-2.0999999999999996</v>
      </c>
      <c r="L474" s="82"/>
      <c r="M474" s="82"/>
      <c r="N474" s="86"/>
    </row>
    <row r="475" spans="2:14" s="167" customFormat="1" x14ac:dyDescent="0.25">
      <c r="B475" s="49"/>
      <c r="C475" s="57"/>
      <c r="D475" s="302" t="s">
        <v>920</v>
      </c>
      <c r="E475" s="99"/>
      <c r="F475" s="303">
        <v>1</v>
      </c>
      <c r="G475" s="306">
        <v>12</v>
      </c>
      <c r="H475" s="64"/>
      <c r="I475" s="105">
        <v>1.5</v>
      </c>
      <c r="J475" s="99"/>
      <c r="K475" s="82">
        <f t="shared" si="19"/>
        <v>18</v>
      </c>
      <c r="L475" s="82"/>
      <c r="M475" s="82"/>
      <c r="N475" s="86"/>
    </row>
    <row r="476" spans="2:14" s="167" customFormat="1" x14ac:dyDescent="0.25">
      <c r="B476" s="49"/>
      <c r="C476" s="57"/>
      <c r="D476" s="302" t="s">
        <v>892</v>
      </c>
      <c r="E476" s="99"/>
      <c r="F476" s="303">
        <v>-1</v>
      </c>
      <c r="G476" s="304">
        <v>0.7</v>
      </c>
      <c r="H476" s="64"/>
      <c r="I476" s="105">
        <v>1.5</v>
      </c>
      <c r="J476" s="99"/>
      <c r="K476" s="82">
        <f t="shared" ref="K476:K483" si="20">F476*G476*I476</f>
        <v>-1.0499999999999998</v>
      </c>
      <c r="L476" s="82"/>
      <c r="M476" s="82"/>
      <c r="N476" s="86"/>
    </row>
    <row r="477" spans="2:14" s="167" customFormat="1" x14ac:dyDescent="0.25">
      <c r="B477" s="49"/>
      <c r="C477" s="57"/>
      <c r="D477" s="302" t="s">
        <v>893</v>
      </c>
      <c r="E477" s="99"/>
      <c r="F477" s="303">
        <v>-1</v>
      </c>
      <c r="G477" s="306">
        <v>1</v>
      </c>
      <c r="H477" s="64"/>
      <c r="I477" s="105">
        <v>0.5</v>
      </c>
      <c r="J477" s="99"/>
      <c r="K477" s="82">
        <f t="shared" si="20"/>
        <v>-0.5</v>
      </c>
      <c r="L477" s="82"/>
      <c r="M477" s="82"/>
      <c r="N477" s="86"/>
    </row>
    <row r="478" spans="2:14" s="167" customFormat="1" x14ac:dyDescent="0.25">
      <c r="B478" s="49"/>
      <c r="C478" s="57"/>
      <c r="D478" s="302" t="s">
        <v>921</v>
      </c>
      <c r="E478" s="99"/>
      <c r="F478" s="303">
        <v>1</v>
      </c>
      <c r="G478" s="305">
        <v>11.15</v>
      </c>
      <c r="H478" s="64"/>
      <c r="I478" s="105">
        <v>1.5</v>
      </c>
      <c r="J478" s="99"/>
      <c r="K478" s="82">
        <f t="shared" si="20"/>
        <v>16.725000000000001</v>
      </c>
      <c r="L478" s="82"/>
      <c r="M478" s="82"/>
      <c r="N478" s="86"/>
    </row>
    <row r="479" spans="2:14" s="167" customFormat="1" x14ac:dyDescent="0.25">
      <c r="B479" s="49"/>
      <c r="C479" s="57"/>
      <c r="D479" s="302" t="s">
        <v>892</v>
      </c>
      <c r="E479" s="99"/>
      <c r="F479" s="303">
        <v>-1</v>
      </c>
      <c r="G479" s="304">
        <v>0.7</v>
      </c>
      <c r="H479" s="64"/>
      <c r="I479" s="105">
        <v>1.5</v>
      </c>
      <c r="J479" s="99"/>
      <c r="K479" s="82">
        <f t="shared" si="20"/>
        <v>-1.0499999999999998</v>
      </c>
      <c r="L479" s="82"/>
      <c r="M479" s="82"/>
      <c r="N479" s="86"/>
    </row>
    <row r="480" spans="2:14" s="167" customFormat="1" x14ac:dyDescent="0.25">
      <c r="B480" s="49"/>
      <c r="C480" s="57"/>
      <c r="D480" s="302" t="s">
        <v>893</v>
      </c>
      <c r="E480" s="99"/>
      <c r="F480" s="303">
        <v>-1</v>
      </c>
      <c r="G480" s="306">
        <v>1</v>
      </c>
      <c r="H480" s="64"/>
      <c r="I480" s="105">
        <v>0.5</v>
      </c>
      <c r="J480" s="99"/>
      <c r="K480" s="82">
        <f t="shared" si="20"/>
        <v>-0.5</v>
      </c>
      <c r="L480" s="82"/>
      <c r="M480" s="82"/>
      <c r="N480" s="86"/>
    </row>
    <row r="481" spans="2:14" x14ac:dyDescent="0.25">
      <c r="B481" s="49"/>
      <c r="C481" s="57"/>
      <c r="D481" s="297" t="s">
        <v>922</v>
      </c>
      <c r="E481" s="99"/>
      <c r="F481" s="300">
        <v>1</v>
      </c>
      <c r="G481" s="301">
        <v>10</v>
      </c>
      <c r="H481" s="64"/>
      <c r="I481" s="105">
        <v>1.5</v>
      </c>
      <c r="J481" s="99"/>
      <c r="K481" s="82">
        <f t="shared" si="20"/>
        <v>15</v>
      </c>
      <c r="L481" s="82"/>
      <c r="M481" s="82"/>
      <c r="N481" s="86"/>
    </row>
    <row r="482" spans="2:14" hidden="1" x14ac:dyDescent="0.25">
      <c r="B482" s="49"/>
      <c r="C482" s="57"/>
      <c r="D482" s="297" t="s">
        <v>923</v>
      </c>
      <c r="E482" s="99"/>
      <c r="F482" s="300">
        <v>0</v>
      </c>
      <c r="G482" s="299">
        <v>15.5</v>
      </c>
      <c r="H482" s="64"/>
      <c r="I482" s="105">
        <v>1.5</v>
      </c>
      <c r="J482" s="99"/>
      <c r="K482" s="82">
        <f t="shared" si="20"/>
        <v>0</v>
      </c>
      <c r="L482" s="82"/>
      <c r="M482" s="82"/>
      <c r="N482" s="86"/>
    </row>
    <row r="483" spans="2:14" hidden="1" x14ac:dyDescent="0.25">
      <c r="B483" s="49"/>
      <c r="C483" s="57"/>
      <c r="D483" s="297" t="s">
        <v>892</v>
      </c>
      <c r="E483" s="99"/>
      <c r="F483" s="300">
        <v>0</v>
      </c>
      <c r="G483" s="299">
        <v>0.7</v>
      </c>
      <c r="H483" s="64"/>
      <c r="I483" s="105">
        <v>1.5</v>
      </c>
      <c r="J483" s="99"/>
      <c r="K483" s="82">
        <f t="shared" si="20"/>
        <v>0</v>
      </c>
      <c r="L483" s="82"/>
      <c r="M483" s="82"/>
      <c r="N483" s="86"/>
    </row>
    <row r="484" spans="2:14" ht="31.15" customHeight="1" x14ac:dyDescent="0.25">
      <c r="B484" s="49" t="s">
        <v>138</v>
      </c>
      <c r="C484" s="57">
        <v>93189</v>
      </c>
      <c r="D484" s="296" t="s">
        <v>140</v>
      </c>
      <c r="E484" s="64" t="s">
        <v>37</v>
      </c>
      <c r="F484" s="307"/>
      <c r="G484" s="99"/>
      <c r="H484" s="43"/>
      <c r="I484" s="105"/>
      <c r="J484" s="99">
        <f>'BOLETIM DE MEDIÇÃO 05'!O57-'MEMORIAL DE CALCULO 04'!K484</f>
        <v>53.900000000000006</v>
      </c>
      <c r="K484" s="82">
        <f>SUM(K485:K487)</f>
        <v>10.199999999999999</v>
      </c>
      <c r="L484" s="82">
        <f t="shared" si="0"/>
        <v>64.100000000000009</v>
      </c>
      <c r="M484" s="82">
        <f>'BOLETIM DE MEDIÇÃO 05'!G57</f>
        <v>64.099999999999994</v>
      </c>
      <c r="N484" s="86">
        <f t="shared" si="1"/>
        <v>0</v>
      </c>
    </row>
    <row r="485" spans="2:14" ht="19.899999999999999" customHeight="1" x14ac:dyDescent="0.25">
      <c r="B485" s="49"/>
      <c r="C485" s="57"/>
      <c r="D485" s="308" t="s">
        <v>926</v>
      </c>
      <c r="E485" s="64"/>
      <c r="F485" s="105">
        <v>3</v>
      </c>
      <c r="G485" s="99">
        <v>1.5</v>
      </c>
      <c r="H485" s="43"/>
      <c r="I485" s="105"/>
      <c r="J485" s="99"/>
      <c r="K485" s="82">
        <f>F485*G485</f>
        <v>4.5</v>
      </c>
      <c r="L485" s="82"/>
      <c r="M485" s="82"/>
      <c r="N485" s="86"/>
    </row>
    <row r="486" spans="2:14" ht="19.899999999999999" customHeight="1" x14ac:dyDescent="0.25">
      <c r="B486" s="49"/>
      <c r="C486" s="57"/>
      <c r="D486" s="308" t="s">
        <v>927</v>
      </c>
      <c r="E486" s="64"/>
      <c r="F486" s="105">
        <v>1</v>
      </c>
      <c r="G486" s="99">
        <v>1.5</v>
      </c>
      <c r="H486" s="43"/>
      <c r="I486" s="105"/>
      <c r="J486" s="99"/>
      <c r="K486" s="82">
        <f t="shared" ref="K486:K487" si="21">F486*G486</f>
        <v>1.5</v>
      </c>
      <c r="L486" s="82"/>
      <c r="M486" s="82"/>
      <c r="N486" s="86"/>
    </row>
    <row r="487" spans="2:14" ht="19.899999999999999" customHeight="1" x14ac:dyDescent="0.25">
      <c r="B487" s="49"/>
      <c r="C487" s="57"/>
      <c r="D487" s="308" t="s">
        <v>928</v>
      </c>
      <c r="E487" s="64"/>
      <c r="F487" s="105">
        <v>3</v>
      </c>
      <c r="G487" s="99">
        <v>1.4</v>
      </c>
      <c r="H487" s="43"/>
      <c r="I487" s="105"/>
      <c r="J487" s="99"/>
      <c r="K487" s="82">
        <f t="shared" si="21"/>
        <v>4.1999999999999993</v>
      </c>
      <c r="L487" s="82"/>
      <c r="M487" s="82"/>
      <c r="N487" s="86"/>
    </row>
    <row r="488" spans="2:14" ht="33.75" x14ac:dyDescent="0.25">
      <c r="B488" s="49" t="s">
        <v>141</v>
      </c>
      <c r="C488" s="57">
        <v>93191</v>
      </c>
      <c r="D488" s="52" t="s">
        <v>143</v>
      </c>
      <c r="E488" s="64" t="s">
        <v>37</v>
      </c>
      <c r="F488" s="105"/>
      <c r="G488" s="99"/>
      <c r="H488" s="64"/>
      <c r="I488" s="105"/>
      <c r="J488" s="99">
        <f>'BOLETIM DE MEDIÇÃO 05'!O58-'MEMORIAL DE CALCULO 04'!K488</f>
        <v>60.6</v>
      </c>
      <c r="K488" s="82">
        <f>SUM(K489:K491)</f>
        <v>11.6</v>
      </c>
      <c r="L488" s="82">
        <f t="shared" si="0"/>
        <v>72.2</v>
      </c>
      <c r="M488" s="82">
        <f>'BOLETIM DE MEDIÇÃO 05'!G58</f>
        <v>72.2</v>
      </c>
      <c r="N488" s="86">
        <f t="shared" si="1"/>
        <v>0</v>
      </c>
    </row>
    <row r="489" spans="2:14" x14ac:dyDescent="0.25">
      <c r="B489" s="49"/>
      <c r="C489" s="57"/>
      <c r="D489" s="309" t="s">
        <v>929</v>
      </c>
      <c r="E489" s="64"/>
      <c r="F489" s="105">
        <v>4</v>
      </c>
      <c r="G489" s="310">
        <v>1.6</v>
      </c>
      <c r="H489" s="64"/>
      <c r="I489" s="105"/>
      <c r="J489" s="99"/>
      <c r="K489" s="82">
        <f>F489*G489</f>
        <v>6.4</v>
      </c>
      <c r="L489" s="82"/>
      <c r="M489" s="82"/>
      <c r="N489" s="86"/>
    </row>
    <row r="490" spans="2:14" x14ac:dyDescent="0.25">
      <c r="B490" s="49"/>
      <c r="C490" s="57"/>
      <c r="D490" s="309" t="s">
        <v>930</v>
      </c>
      <c r="E490" s="64"/>
      <c r="F490" s="105">
        <v>1</v>
      </c>
      <c r="G490" s="272">
        <v>2.1</v>
      </c>
      <c r="H490" s="64"/>
      <c r="I490" s="105"/>
      <c r="J490" s="99"/>
      <c r="K490" s="82">
        <f t="shared" ref="K490:K491" si="22">F490*G490</f>
        <v>2.1</v>
      </c>
      <c r="L490" s="82"/>
      <c r="M490" s="82"/>
      <c r="N490" s="86"/>
    </row>
    <row r="491" spans="2:14" x14ac:dyDescent="0.25">
      <c r="B491" s="49"/>
      <c r="C491" s="57"/>
      <c r="D491" s="309" t="s">
        <v>931</v>
      </c>
      <c r="E491" s="64"/>
      <c r="F491" s="105">
        <v>1</v>
      </c>
      <c r="G491" s="310">
        <v>3.1</v>
      </c>
      <c r="H491" s="64"/>
      <c r="I491" s="105"/>
      <c r="J491" s="99"/>
      <c r="K491" s="82">
        <f t="shared" si="22"/>
        <v>3.1</v>
      </c>
      <c r="L491" s="82"/>
      <c r="M491" s="82"/>
      <c r="N491" s="86"/>
    </row>
    <row r="492" spans="2:14" ht="37.9" customHeight="1" x14ac:dyDescent="0.25">
      <c r="B492" s="49" t="s">
        <v>144</v>
      </c>
      <c r="C492" s="57">
        <v>93197</v>
      </c>
      <c r="D492" s="52" t="s">
        <v>146</v>
      </c>
      <c r="E492" s="64" t="s">
        <v>37</v>
      </c>
      <c r="F492" s="105"/>
      <c r="G492" s="99"/>
      <c r="H492" s="64"/>
      <c r="I492" s="105"/>
      <c r="J492" s="99">
        <f>'BOLETIM DE MEDIÇÃO 05'!O59-'MEMORIAL DE CALCULO 04'!K492</f>
        <v>60.6</v>
      </c>
      <c r="K492" s="82">
        <f>SUM(K493:K495)</f>
        <v>11.6</v>
      </c>
      <c r="L492" s="82">
        <f t="shared" si="0"/>
        <v>72.2</v>
      </c>
      <c r="M492" s="82">
        <f>'BOLETIM DE MEDIÇÃO 05'!G59</f>
        <v>72.2</v>
      </c>
      <c r="N492" s="86">
        <f t="shared" si="1"/>
        <v>0</v>
      </c>
    </row>
    <row r="493" spans="2:14" ht="19.899999999999999" customHeight="1" x14ac:dyDescent="0.25">
      <c r="B493" s="49"/>
      <c r="C493" s="57"/>
      <c r="D493" s="309" t="s">
        <v>929</v>
      </c>
      <c r="E493" s="64"/>
      <c r="F493" s="105">
        <v>4</v>
      </c>
      <c r="G493" s="310">
        <v>1.6</v>
      </c>
      <c r="H493" s="64"/>
      <c r="I493" s="105"/>
      <c r="J493" s="99"/>
      <c r="K493" s="82">
        <f>F493*G493</f>
        <v>6.4</v>
      </c>
      <c r="L493" s="82"/>
      <c r="M493" s="82"/>
      <c r="N493" s="86"/>
    </row>
    <row r="494" spans="2:14" ht="19.899999999999999" customHeight="1" x14ac:dyDescent="0.25">
      <c r="B494" s="49"/>
      <c r="C494" s="57"/>
      <c r="D494" s="309" t="s">
        <v>930</v>
      </c>
      <c r="E494" s="64"/>
      <c r="F494" s="105">
        <v>1</v>
      </c>
      <c r="G494" s="272">
        <v>2.1</v>
      </c>
      <c r="H494" s="64"/>
      <c r="I494" s="105"/>
      <c r="J494" s="99"/>
      <c r="K494" s="82">
        <f t="shared" ref="K494:K495" si="23">F494*G494</f>
        <v>2.1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931</v>
      </c>
      <c r="E495" s="64"/>
      <c r="F495" s="105">
        <v>1</v>
      </c>
      <c r="G495" s="310">
        <v>3.1</v>
      </c>
      <c r="H495" s="64"/>
      <c r="I495" s="105"/>
      <c r="J495" s="99"/>
      <c r="K495" s="82">
        <f t="shared" si="23"/>
        <v>3.1</v>
      </c>
      <c r="L495" s="82"/>
      <c r="M495" s="82"/>
      <c r="N495" s="86"/>
    </row>
    <row r="496" spans="2:14" ht="14.45" hidden="1" customHeight="1" x14ac:dyDescent="0.25">
      <c r="B496" s="56">
        <v>1.6</v>
      </c>
      <c r="C496" s="60" t="s">
        <v>148</v>
      </c>
      <c r="D496" s="52"/>
      <c r="E496" s="64"/>
      <c r="F496" s="105"/>
      <c r="G496" s="99"/>
      <c r="H496" s="64"/>
      <c r="I496" s="105"/>
      <c r="J496" s="99"/>
      <c r="K496" s="82">
        <f t="shared" si="17"/>
        <v>0</v>
      </c>
      <c r="L496" s="82"/>
      <c r="M496" s="82"/>
      <c r="N496" s="86"/>
    </row>
    <row r="497" spans="2:14" ht="45" hidden="1" x14ac:dyDescent="0.25">
      <c r="B497" s="49" t="s">
        <v>149</v>
      </c>
      <c r="C497" s="57">
        <v>87893</v>
      </c>
      <c r="D497" s="52" t="s">
        <v>151</v>
      </c>
      <c r="E497" s="64" t="s">
        <v>17</v>
      </c>
      <c r="F497" s="105"/>
      <c r="G497" s="99"/>
      <c r="H497" s="64"/>
      <c r="I497" s="105"/>
      <c r="J497" s="99">
        <f>'BOLETIM DE MEDIÇÃO 05'!O61-'MEMORIAL DE CALCULO 04'!K497</f>
        <v>1348.98</v>
      </c>
      <c r="K497" s="82">
        <f t="shared" si="17"/>
        <v>0</v>
      </c>
      <c r="L497" s="82">
        <f t="shared" si="0"/>
        <v>1348.98</v>
      </c>
      <c r="M497" s="82">
        <f>'BOLETIM DE MEDIÇÃO 05'!G61</f>
        <v>1348.98</v>
      </c>
      <c r="N497" s="86">
        <f t="shared" si="1"/>
        <v>0</v>
      </c>
    </row>
    <row r="498" spans="2:14" ht="56.25" hidden="1" x14ac:dyDescent="0.25">
      <c r="B498" s="49" t="s">
        <v>152</v>
      </c>
      <c r="C498" s="57">
        <v>87548</v>
      </c>
      <c r="D498" s="52" t="s">
        <v>154</v>
      </c>
      <c r="E498" s="64" t="s">
        <v>17</v>
      </c>
      <c r="F498" s="105"/>
      <c r="G498" s="99"/>
      <c r="H498" s="64"/>
      <c r="I498" s="105"/>
      <c r="J498" s="99">
        <f>'BOLETIM DE MEDIÇÃO 05'!O62-'MEMORIAL DE CALCULO 04'!K498</f>
        <v>0</v>
      </c>
      <c r="K498" s="82">
        <f t="shared" si="17"/>
        <v>0</v>
      </c>
      <c r="L498" s="82">
        <f t="shared" si="0"/>
        <v>0</v>
      </c>
      <c r="M498" s="82">
        <f>'BOLETIM DE MEDIÇÃO 05'!G62</f>
        <v>997.11</v>
      </c>
      <c r="N498" s="86">
        <f t="shared" si="1"/>
        <v>997.11</v>
      </c>
    </row>
    <row r="499" spans="2:14" ht="56.25" hidden="1" x14ac:dyDescent="0.25">
      <c r="B499" s="49" t="s">
        <v>155</v>
      </c>
      <c r="C499" s="57">
        <v>87536</v>
      </c>
      <c r="D499" s="52" t="s">
        <v>157</v>
      </c>
      <c r="E499" s="64" t="s">
        <v>17</v>
      </c>
      <c r="F499" s="105"/>
      <c r="G499" s="99"/>
      <c r="H499" s="64"/>
      <c r="I499" s="105"/>
      <c r="J499" s="99">
        <f>'BOLETIM DE MEDIÇÃO 05'!O63-'MEMORIAL DE CALCULO 04'!K499</f>
        <v>0</v>
      </c>
      <c r="K499" s="82">
        <f t="shared" si="17"/>
        <v>0</v>
      </c>
      <c r="L499" s="82">
        <f t="shared" si="0"/>
        <v>0</v>
      </c>
      <c r="M499" s="82">
        <f>'BOLETIM DE MEDIÇÃO 05'!G63</f>
        <v>351.87</v>
      </c>
      <c r="N499" s="86">
        <f t="shared" si="1"/>
        <v>351.87</v>
      </c>
    </row>
    <row r="500" spans="2:14" ht="33.75" hidden="1" x14ac:dyDescent="0.25">
      <c r="B500" s="49" t="s">
        <v>158</v>
      </c>
      <c r="C500" s="57">
        <v>87275</v>
      </c>
      <c r="D500" s="52" t="s">
        <v>160</v>
      </c>
      <c r="E500" s="64" t="s">
        <v>17</v>
      </c>
      <c r="F500" s="105"/>
      <c r="G500" s="99"/>
      <c r="H500" s="64"/>
      <c r="I500" s="105"/>
      <c r="J500" s="99">
        <f>'BOLETIM DE MEDIÇÃO 05'!O64-'MEMORIAL DE CALCULO 04'!K500</f>
        <v>0</v>
      </c>
      <c r="K500" s="82">
        <f t="shared" si="17"/>
        <v>0</v>
      </c>
      <c r="L500" s="82">
        <f t="shared" si="0"/>
        <v>0</v>
      </c>
      <c r="M500" s="82">
        <f>'BOLETIM DE MEDIÇÃO 05'!G64</f>
        <v>351.87</v>
      </c>
      <c r="N500" s="86">
        <f t="shared" si="1"/>
        <v>351.87</v>
      </c>
    </row>
    <row r="501" spans="2:14" hidden="1" x14ac:dyDescent="0.25">
      <c r="B501" s="56">
        <v>1.7</v>
      </c>
      <c r="C501" s="60" t="s">
        <v>162</v>
      </c>
      <c r="D501" s="52"/>
      <c r="E501" s="64"/>
      <c r="F501" s="105"/>
      <c r="G501" s="99"/>
      <c r="H501" s="64"/>
      <c r="I501" s="105"/>
      <c r="J501" s="99"/>
      <c r="K501" s="82">
        <f t="shared" si="17"/>
        <v>0</v>
      </c>
      <c r="L501" s="82"/>
      <c r="M501" s="82"/>
      <c r="N501" s="86"/>
    </row>
    <row r="502" spans="2:14" ht="56.25" hidden="1" x14ac:dyDescent="0.25">
      <c r="B502" s="49" t="s">
        <v>163</v>
      </c>
      <c r="C502" s="63">
        <v>91315</v>
      </c>
      <c r="D502" s="61" t="s">
        <v>165</v>
      </c>
      <c r="E502" s="64" t="s">
        <v>166</v>
      </c>
      <c r="F502" s="105"/>
      <c r="G502" s="99"/>
      <c r="H502" s="43"/>
      <c r="I502" s="105"/>
      <c r="J502" s="99">
        <f>'BOLETIM DE MEDIÇÃO 05'!O66-'MEMORIAL DE CALCULO 04'!K502</f>
        <v>0</v>
      </c>
      <c r="K502" s="82">
        <f t="shared" si="17"/>
        <v>0</v>
      </c>
      <c r="L502" s="82">
        <f t="shared" si="0"/>
        <v>0</v>
      </c>
      <c r="M502" s="82">
        <f>'BOLETIM DE MEDIÇÃO 05'!G66</f>
        <v>18</v>
      </c>
      <c r="N502" s="86">
        <f t="shared" si="1"/>
        <v>18</v>
      </c>
    </row>
    <row r="503" spans="2:14" ht="56.25" hidden="1" x14ac:dyDescent="0.25">
      <c r="B503" s="49" t="s">
        <v>167</v>
      </c>
      <c r="C503" s="57">
        <v>94570</v>
      </c>
      <c r="D503" s="52" t="s">
        <v>169</v>
      </c>
      <c r="E503" s="64" t="s">
        <v>17</v>
      </c>
      <c r="F503" s="105"/>
      <c r="G503" s="99"/>
      <c r="H503" s="64"/>
      <c r="I503" s="105"/>
      <c r="J503" s="99">
        <f>'BOLETIM DE MEDIÇÃO 05'!O67-'MEMORIAL DE CALCULO 04'!K503</f>
        <v>0</v>
      </c>
      <c r="K503" s="82">
        <f t="shared" si="17"/>
        <v>0</v>
      </c>
      <c r="L503" s="82">
        <f t="shared" si="0"/>
        <v>0</v>
      </c>
      <c r="M503" s="82">
        <f>'BOLETIM DE MEDIÇÃO 05'!G67</f>
        <v>49.7</v>
      </c>
      <c r="N503" s="86">
        <f t="shared" si="1"/>
        <v>49.7</v>
      </c>
    </row>
    <row r="504" spans="2:14" ht="56.25" hidden="1" x14ac:dyDescent="0.25">
      <c r="B504" s="49" t="s">
        <v>170</v>
      </c>
      <c r="C504" s="57">
        <v>100689</v>
      </c>
      <c r="D504" s="52" t="s">
        <v>172</v>
      </c>
      <c r="E504" s="64" t="s">
        <v>166</v>
      </c>
      <c r="F504" s="105"/>
      <c r="G504" s="99"/>
      <c r="H504" s="64"/>
      <c r="I504" s="105"/>
      <c r="J504" s="99">
        <f>'BOLETIM DE MEDIÇÃO 05'!O68-'MEMORIAL DE CALCULO 04'!K504</f>
        <v>0</v>
      </c>
      <c r="K504" s="82">
        <f t="shared" si="17"/>
        <v>0</v>
      </c>
      <c r="L504" s="82">
        <f t="shared" si="0"/>
        <v>0</v>
      </c>
      <c r="M504" s="82">
        <f>'BOLETIM DE MEDIÇÃO 05'!G68</f>
        <v>5</v>
      </c>
      <c r="N504" s="86">
        <f t="shared" si="1"/>
        <v>5</v>
      </c>
    </row>
    <row r="505" spans="2:14" ht="33.75" hidden="1" x14ac:dyDescent="0.25">
      <c r="B505" s="49" t="s">
        <v>173</v>
      </c>
      <c r="C505" s="58" t="s">
        <v>174</v>
      </c>
      <c r="D505" s="52" t="s">
        <v>175</v>
      </c>
      <c r="E505" s="64" t="s">
        <v>5</v>
      </c>
      <c r="F505" s="105"/>
      <c r="G505" s="99"/>
      <c r="H505" s="64"/>
      <c r="I505" s="105"/>
      <c r="J505" s="99">
        <f>'BOLETIM DE MEDIÇÃO 05'!O69-'MEMORIAL DE CALCULO 04'!K505</f>
        <v>0</v>
      </c>
      <c r="K505" s="82">
        <f t="shared" si="17"/>
        <v>0</v>
      </c>
      <c r="L505" s="82">
        <f t="shared" si="0"/>
        <v>0</v>
      </c>
      <c r="M505" s="82">
        <f>'BOLETIM DE MEDIÇÃO 05'!G69</f>
        <v>1</v>
      </c>
      <c r="N505" s="86">
        <f t="shared" si="1"/>
        <v>1</v>
      </c>
    </row>
    <row r="506" spans="2:14" ht="33.75" hidden="1" x14ac:dyDescent="0.25">
      <c r="B506" s="49" t="s">
        <v>176</v>
      </c>
      <c r="C506" s="58" t="s">
        <v>177</v>
      </c>
      <c r="D506" s="52" t="s">
        <v>178</v>
      </c>
      <c r="E506" s="64" t="s">
        <v>5</v>
      </c>
      <c r="F506" s="105"/>
      <c r="G506" s="99"/>
      <c r="H506" s="64"/>
      <c r="I506" s="105"/>
      <c r="J506" s="99">
        <f>'BOLETIM DE MEDIÇÃO 05'!O70-'MEMORIAL DE CALCULO 04'!K506</f>
        <v>0</v>
      </c>
      <c r="K506" s="82">
        <f t="shared" si="17"/>
        <v>0</v>
      </c>
      <c r="L506" s="82">
        <f t="shared" si="0"/>
        <v>0</v>
      </c>
      <c r="M506" s="82">
        <f>'BOLETIM DE MEDIÇÃO 05'!G70</f>
        <v>3</v>
      </c>
      <c r="N506" s="86">
        <f t="shared" si="1"/>
        <v>3</v>
      </c>
    </row>
    <row r="507" spans="2:14" ht="33.75" hidden="1" x14ac:dyDescent="0.25">
      <c r="B507" s="49" t="s">
        <v>179</v>
      </c>
      <c r="C507" s="57">
        <v>91341</v>
      </c>
      <c r="D507" s="52" t="s">
        <v>181</v>
      </c>
      <c r="E507" s="64" t="s">
        <v>17</v>
      </c>
      <c r="F507" s="105"/>
      <c r="G507" s="99"/>
      <c r="H507" s="64"/>
      <c r="I507" s="105"/>
      <c r="J507" s="99">
        <f>'BOLETIM DE MEDIÇÃO 05'!O71-'MEMORIAL DE CALCULO 04'!K507</f>
        <v>0</v>
      </c>
      <c r="K507" s="82">
        <f t="shared" si="17"/>
        <v>0</v>
      </c>
      <c r="L507" s="82">
        <f t="shared" si="0"/>
        <v>0</v>
      </c>
      <c r="M507" s="82">
        <f>'BOLETIM DE MEDIÇÃO 05'!G71</f>
        <v>12.96</v>
      </c>
      <c r="N507" s="86">
        <f t="shared" si="1"/>
        <v>12.96</v>
      </c>
    </row>
    <row r="508" spans="2:14" ht="33.75" hidden="1" x14ac:dyDescent="0.25">
      <c r="B508" s="49" t="s">
        <v>182</v>
      </c>
      <c r="C508" s="57">
        <v>100702</v>
      </c>
      <c r="D508" s="52" t="s">
        <v>184</v>
      </c>
      <c r="E508" s="64" t="s">
        <v>17</v>
      </c>
      <c r="F508" s="105"/>
      <c r="G508" s="99"/>
      <c r="H508" s="64"/>
      <c r="I508" s="105"/>
      <c r="J508" s="99">
        <f>'BOLETIM DE MEDIÇÃO 05'!O72-'MEMORIAL DE CALCULO 04'!K508</f>
        <v>0</v>
      </c>
      <c r="K508" s="82">
        <f t="shared" si="17"/>
        <v>0</v>
      </c>
      <c r="L508" s="82">
        <f t="shared" si="0"/>
        <v>0</v>
      </c>
      <c r="M508" s="82">
        <f>'BOLETIM DE MEDIÇÃO 05'!G72</f>
        <v>19.96</v>
      </c>
      <c r="N508" s="86">
        <f t="shared" si="1"/>
        <v>19.96</v>
      </c>
    </row>
    <row r="509" spans="2:14" ht="45" hidden="1" x14ac:dyDescent="0.25">
      <c r="B509" s="49" t="s">
        <v>185</v>
      </c>
      <c r="C509" s="57">
        <v>90831</v>
      </c>
      <c r="D509" s="52" t="s">
        <v>187</v>
      </c>
      <c r="E509" s="64" t="s">
        <v>166</v>
      </c>
      <c r="F509" s="105"/>
      <c r="G509" s="99"/>
      <c r="H509" s="64"/>
      <c r="I509" s="105"/>
      <c r="J509" s="99">
        <f>'BOLETIM DE MEDIÇÃO 05'!O73-'MEMORIAL DE CALCULO 04'!K509</f>
        <v>0</v>
      </c>
      <c r="K509" s="82">
        <f t="shared" ref="K509:K572" si="24">(F509*G509*I509)</f>
        <v>0</v>
      </c>
      <c r="L509" s="82">
        <f t="shared" si="0"/>
        <v>0</v>
      </c>
      <c r="M509" s="82">
        <f>'BOLETIM DE MEDIÇÃO 05'!G73</f>
        <v>8</v>
      </c>
      <c r="N509" s="86">
        <f t="shared" si="1"/>
        <v>8</v>
      </c>
    </row>
    <row r="510" spans="2:14" hidden="1" x14ac:dyDescent="0.25">
      <c r="B510" s="56">
        <v>1.8</v>
      </c>
      <c r="C510" s="60" t="s">
        <v>189</v>
      </c>
      <c r="D510" s="52"/>
      <c r="E510" s="43"/>
      <c r="F510" s="105"/>
      <c r="G510" s="99"/>
      <c r="H510" s="64"/>
      <c r="I510" s="105"/>
      <c r="J510" s="99"/>
      <c r="K510" s="82">
        <f t="shared" si="24"/>
        <v>0</v>
      </c>
      <c r="L510" s="82"/>
      <c r="M510" s="82"/>
      <c r="N510" s="86"/>
    </row>
    <row r="511" spans="2:14" ht="22.5" hidden="1" x14ac:dyDescent="0.25">
      <c r="B511" s="49" t="s">
        <v>190</v>
      </c>
      <c r="C511" s="57">
        <v>88485</v>
      </c>
      <c r="D511" s="52" t="s">
        <v>192</v>
      </c>
      <c r="E511" s="43" t="s">
        <v>17</v>
      </c>
      <c r="F511" s="105"/>
      <c r="G511" s="99"/>
      <c r="H511" s="64"/>
      <c r="I511" s="105"/>
      <c r="J511" s="99">
        <f>'BOLETIM DE MEDIÇÃO 05'!O75-'MEMORIAL DE CALCULO 04'!K511</f>
        <v>0</v>
      </c>
      <c r="K511" s="82">
        <f t="shared" si="24"/>
        <v>0</v>
      </c>
      <c r="L511" s="82">
        <f t="shared" si="0"/>
        <v>0</v>
      </c>
      <c r="M511" s="82">
        <f>'BOLETIM DE MEDIÇÃO 05'!G75</f>
        <v>997.11</v>
      </c>
      <c r="N511" s="86">
        <f t="shared" si="1"/>
        <v>997.11</v>
      </c>
    </row>
    <row r="512" spans="2:14" ht="22.5" hidden="1" x14ac:dyDescent="0.25">
      <c r="B512" s="49" t="s">
        <v>193</v>
      </c>
      <c r="C512" s="57">
        <v>88495</v>
      </c>
      <c r="D512" s="52" t="s">
        <v>195</v>
      </c>
      <c r="E512" s="43" t="s">
        <v>17</v>
      </c>
      <c r="F512" s="105"/>
      <c r="G512" s="99"/>
      <c r="H512" s="64"/>
      <c r="I512" s="105"/>
      <c r="J512" s="99">
        <f>'BOLETIM DE MEDIÇÃO 05'!O76-'MEMORIAL DE CALCULO 04'!K512</f>
        <v>0</v>
      </c>
      <c r="K512" s="82">
        <f t="shared" si="24"/>
        <v>0</v>
      </c>
      <c r="L512" s="82">
        <f t="shared" si="0"/>
        <v>0</v>
      </c>
      <c r="M512" s="82">
        <f>'BOLETIM DE MEDIÇÃO 05'!G76</f>
        <v>997.11</v>
      </c>
      <c r="N512" s="86">
        <f t="shared" si="1"/>
        <v>997.11</v>
      </c>
    </row>
    <row r="513" spans="2:14" ht="22.5" hidden="1" x14ac:dyDescent="0.25">
      <c r="B513" s="49" t="s">
        <v>196</v>
      </c>
      <c r="C513" s="57">
        <v>88489</v>
      </c>
      <c r="D513" s="52" t="s">
        <v>198</v>
      </c>
      <c r="E513" s="43" t="s">
        <v>17</v>
      </c>
      <c r="F513" s="105"/>
      <c r="G513" s="99"/>
      <c r="H513" s="64"/>
      <c r="I513" s="105"/>
      <c r="J513" s="99">
        <f>'BOLETIM DE MEDIÇÃO 05'!O77-'MEMORIAL DE CALCULO 04'!K513</f>
        <v>0</v>
      </c>
      <c r="K513" s="82">
        <f t="shared" si="24"/>
        <v>0</v>
      </c>
      <c r="L513" s="82">
        <f t="shared" si="0"/>
        <v>0</v>
      </c>
      <c r="M513" s="82">
        <f>'BOLETIM DE MEDIÇÃO 05'!G77</f>
        <v>997.11</v>
      </c>
      <c r="N513" s="86">
        <f t="shared" si="1"/>
        <v>997.11</v>
      </c>
    </row>
    <row r="514" spans="2:14" ht="22.5" hidden="1" x14ac:dyDescent="0.25">
      <c r="B514" s="49" t="s">
        <v>199</v>
      </c>
      <c r="C514" s="57">
        <v>88484</v>
      </c>
      <c r="D514" s="52" t="s">
        <v>201</v>
      </c>
      <c r="E514" s="43" t="s">
        <v>17</v>
      </c>
      <c r="F514" s="105"/>
      <c r="G514" s="99"/>
      <c r="H514" s="64"/>
      <c r="I514" s="105"/>
      <c r="J514" s="99">
        <f>'BOLETIM DE MEDIÇÃO 05'!O78-'MEMORIAL DE CALCULO 04'!K514</f>
        <v>0</v>
      </c>
      <c r="K514" s="82">
        <f t="shared" si="24"/>
        <v>0</v>
      </c>
      <c r="L514" s="82">
        <f t="shared" si="0"/>
        <v>0</v>
      </c>
      <c r="M514" s="82">
        <f>'BOLETIM DE MEDIÇÃO 05'!G78</f>
        <v>634.5</v>
      </c>
      <c r="N514" s="86">
        <f t="shared" si="1"/>
        <v>634.5</v>
      </c>
    </row>
    <row r="515" spans="2:14" ht="22.5" hidden="1" x14ac:dyDescent="0.25">
      <c r="B515" s="49" t="s">
        <v>202</v>
      </c>
      <c r="C515" s="57">
        <v>88494</v>
      </c>
      <c r="D515" s="52" t="s">
        <v>204</v>
      </c>
      <c r="E515" s="43" t="s">
        <v>17</v>
      </c>
      <c r="F515" s="105"/>
      <c r="G515" s="99"/>
      <c r="H515" s="64"/>
      <c r="I515" s="105"/>
      <c r="J515" s="99">
        <f>'BOLETIM DE MEDIÇÃO 05'!O79-'MEMORIAL DE CALCULO 04'!K515</f>
        <v>0</v>
      </c>
      <c r="K515" s="82">
        <f t="shared" si="24"/>
        <v>0</v>
      </c>
      <c r="L515" s="82">
        <f t="shared" ref="L515:L578" si="25">J515+K515</f>
        <v>0</v>
      </c>
      <c r="M515" s="82">
        <f>'BOLETIM DE MEDIÇÃO 05'!G79</f>
        <v>634.5</v>
      </c>
      <c r="N515" s="86">
        <f t="shared" ref="N515:N578" si="26">M515-L515</f>
        <v>634.5</v>
      </c>
    </row>
    <row r="516" spans="2:14" ht="22.5" hidden="1" x14ac:dyDescent="0.25">
      <c r="B516" s="49" t="s">
        <v>205</v>
      </c>
      <c r="C516" s="57">
        <v>88488</v>
      </c>
      <c r="D516" s="52" t="s">
        <v>207</v>
      </c>
      <c r="E516" s="43" t="s">
        <v>17</v>
      </c>
      <c r="F516" s="105"/>
      <c r="G516" s="99"/>
      <c r="H516" s="64"/>
      <c r="I516" s="105"/>
      <c r="J516" s="99">
        <f>'BOLETIM DE MEDIÇÃO 05'!O80-'MEMORIAL DE CALCULO 04'!K516</f>
        <v>0</v>
      </c>
      <c r="K516" s="82">
        <f t="shared" si="24"/>
        <v>0</v>
      </c>
      <c r="L516" s="82">
        <f t="shared" si="25"/>
        <v>0</v>
      </c>
      <c r="M516" s="82">
        <f>'BOLETIM DE MEDIÇÃO 05'!G80</f>
        <v>634.5</v>
      </c>
      <c r="N516" s="86">
        <f t="shared" si="26"/>
        <v>634.5</v>
      </c>
    </row>
    <row r="517" spans="2:14" ht="14.45" hidden="1" customHeight="1" x14ac:dyDescent="0.25">
      <c r="B517" s="51" t="s">
        <v>208</v>
      </c>
      <c r="C517" s="65" t="s">
        <v>209</v>
      </c>
      <c r="D517" s="53"/>
      <c r="E517" s="44"/>
      <c r="F517" s="130"/>
      <c r="G517" s="121"/>
      <c r="H517" s="70"/>
      <c r="I517" s="105"/>
      <c r="J517" s="99"/>
      <c r="K517" s="82">
        <f t="shared" si="24"/>
        <v>0</v>
      </c>
      <c r="L517" s="82"/>
      <c r="M517" s="82"/>
      <c r="N517" s="86"/>
    </row>
    <row r="518" spans="2:14" ht="45" hidden="1" x14ac:dyDescent="0.25">
      <c r="B518" s="49" t="s">
        <v>210</v>
      </c>
      <c r="C518" s="57">
        <v>87894</v>
      </c>
      <c r="D518" s="52" t="s">
        <v>212</v>
      </c>
      <c r="E518" s="43" t="s">
        <v>17</v>
      </c>
      <c r="F518" s="105"/>
      <c r="G518" s="99"/>
      <c r="H518" s="64"/>
      <c r="I518" s="105"/>
      <c r="J518" s="99">
        <f>'BOLETIM DE MEDIÇÃO 05'!O82-'MEMORIAL DE CALCULO 04'!K518</f>
        <v>0</v>
      </c>
      <c r="K518" s="82">
        <f t="shared" si="24"/>
        <v>0</v>
      </c>
      <c r="L518" s="82">
        <f t="shared" si="25"/>
        <v>0</v>
      </c>
      <c r="M518" s="82">
        <f>'BOLETIM DE MEDIÇÃO 05'!G82</f>
        <v>466.37</v>
      </c>
      <c r="N518" s="86">
        <f t="shared" si="26"/>
        <v>466.37</v>
      </c>
    </row>
    <row r="519" spans="2:14" ht="56.25" hidden="1" x14ac:dyDescent="0.25">
      <c r="B519" s="49" t="s">
        <v>213</v>
      </c>
      <c r="C519" s="57">
        <v>104233</v>
      </c>
      <c r="D519" s="52" t="s">
        <v>215</v>
      </c>
      <c r="E519" s="43" t="s">
        <v>17</v>
      </c>
      <c r="F519" s="105"/>
      <c r="G519" s="99"/>
      <c r="H519" s="64"/>
      <c r="I519" s="105"/>
      <c r="J519" s="99">
        <f>'BOLETIM DE MEDIÇÃO 05'!O83-'MEMORIAL DE CALCULO 04'!K519</f>
        <v>0</v>
      </c>
      <c r="K519" s="82">
        <f t="shared" si="24"/>
        <v>0</v>
      </c>
      <c r="L519" s="82">
        <f t="shared" si="25"/>
        <v>0</v>
      </c>
      <c r="M519" s="82">
        <f>'BOLETIM DE MEDIÇÃO 05'!G83</f>
        <v>466.37</v>
      </c>
      <c r="N519" s="86">
        <f t="shared" si="26"/>
        <v>466.37</v>
      </c>
    </row>
    <row r="520" spans="2:14" ht="33.75" hidden="1" x14ac:dyDescent="0.25">
      <c r="B520" s="49" t="s">
        <v>216</v>
      </c>
      <c r="C520" s="62" t="s">
        <v>217</v>
      </c>
      <c r="D520" s="61" t="s">
        <v>218</v>
      </c>
      <c r="E520" s="43" t="s">
        <v>17</v>
      </c>
      <c r="F520" s="311"/>
      <c r="G520" s="99"/>
      <c r="H520" s="43"/>
      <c r="I520" s="105"/>
      <c r="J520" s="99">
        <f>'BOLETIM DE MEDIÇÃO 05'!O84-'MEMORIAL DE CALCULO 04'!K520</f>
        <v>0</v>
      </c>
      <c r="K520" s="82">
        <f t="shared" si="24"/>
        <v>0</v>
      </c>
      <c r="L520" s="82">
        <f t="shared" si="25"/>
        <v>0</v>
      </c>
      <c r="M520" s="82">
        <f>'BOLETIM DE MEDIÇÃO 05'!G84</f>
        <v>32.5</v>
      </c>
      <c r="N520" s="86">
        <f t="shared" si="26"/>
        <v>32.5</v>
      </c>
    </row>
    <row r="521" spans="2:14" ht="33.75" hidden="1" x14ac:dyDescent="0.25">
      <c r="B521" s="50" t="s">
        <v>219</v>
      </c>
      <c r="C521" s="59" t="s">
        <v>220</v>
      </c>
      <c r="D521" s="53" t="s">
        <v>221</v>
      </c>
      <c r="E521" s="44" t="s">
        <v>222</v>
      </c>
      <c r="F521" s="130"/>
      <c r="G521" s="121"/>
      <c r="H521" s="70"/>
      <c r="I521" s="105"/>
      <c r="J521" s="99">
        <f>'BOLETIM DE MEDIÇÃO 05'!O85-'MEMORIAL DE CALCULO 04'!K521</f>
        <v>0</v>
      </c>
      <c r="K521" s="82">
        <f t="shared" si="24"/>
        <v>0</v>
      </c>
      <c r="L521" s="82">
        <f t="shared" si="25"/>
        <v>0</v>
      </c>
      <c r="M521" s="82">
        <f>'BOLETIM DE MEDIÇÃO 05'!G85</f>
        <v>29.5</v>
      </c>
      <c r="N521" s="86">
        <f t="shared" si="26"/>
        <v>29.5</v>
      </c>
    </row>
    <row r="522" spans="2:14" ht="22.5" hidden="1" x14ac:dyDescent="0.25">
      <c r="B522" s="50" t="s">
        <v>223</v>
      </c>
      <c r="C522" s="66">
        <v>88485</v>
      </c>
      <c r="D522" s="53" t="s">
        <v>192</v>
      </c>
      <c r="E522" s="44" t="s">
        <v>17</v>
      </c>
      <c r="F522" s="130"/>
      <c r="G522" s="121"/>
      <c r="H522" s="70"/>
      <c r="I522" s="105"/>
      <c r="J522" s="99">
        <f>'BOLETIM DE MEDIÇÃO 05'!O86-'MEMORIAL DE CALCULO 04'!K522</f>
        <v>0</v>
      </c>
      <c r="K522" s="82">
        <f t="shared" si="24"/>
        <v>0</v>
      </c>
      <c r="L522" s="82">
        <f t="shared" si="25"/>
        <v>0</v>
      </c>
      <c r="M522" s="82">
        <f>'BOLETIM DE MEDIÇÃO 05'!G86</f>
        <v>404.37</v>
      </c>
      <c r="N522" s="86">
        <f t="shared" si="26"/>
        <v>404.37</v>
      </c>
    </row>
    <row r="523" spans="2:14" ht="22.5" hidden="1" x14ac:dyDescent="0.25">
      <c r="B523" s="50" t="s">
        <v>224</v>
      </c>
      <c r="C523" s="66">
        <v>96130</v>
      </c>
      <c r="D523" s="53" t="s">
        <v>226</v>
      </c>
      <c r="E523" s="44" t="s">
        <v>17</v>
      </c>
      <c r="F523" s="130"/>
      <c r="G523" s="121"/>
      <c r="H523" s="70"/>
      <c r="I523" s="105"/>
      <c r="J523" s="99">
        <f>'BOLETIM DE MEDIÇÃO 05'!O87-'MEMORIAL DE CALCULO 04'!K523</f>
        <v>0</v>
      </c>
      <c r="K523" s="82">
        <f t="shared" si="24"/>
        <v>0</v>
      </c>
      <c r="L523" s="82">
        <f t="shared" si="25"/>
        <v>0</v>
      </c>
      <c r="M523" s="82">
        <f>'BOLETIM DE MEDIÇÃO 05'!G87</f>
        <v>404.37</v>
      </c>
      <c r="N523" s="86">
        <f t="shared" si="26"/>
        <v>404.37</v>
      </c>
    </row>
    <row r="524" spans="2:14" ht="22.5" hidden="1" x14ac:dyDescent="0.25">
      <c r="B524" s="50" t="s">
        <v>227</v>
      </c>
      <c r="C524" s="66">
        <v>88489</v>
      </c>
      <c r="D524" s="53" t="s">
        <v>198</v>
      </c>
      <c r="E524" s="44" t="s">
        <v>17</v>
      </c>
      <c r="F524" s="130"/>
      <c r="G524" s="121"/>
      <c r="H524" s="70"/>
      <c r="I524" s="105"/>
      <c r="J524" s="99">
        <f>'BOLETIM DE MEDIÇÃO 05'!O88-'MEMORIAL DE CALCULO 04'!K524</f>
        <v>0</v>
      </c>
      <c r="K524" s="82">
        <f t="shared" si="24"/>
        <v>0</v>
      </c>
      <c r="L524" s="82">
        <f t="shared" si="25"/>
        <v>0</v>
      </c>
      <c r="M524" s="82">
        <f>'BOLETIM DE MEDIÇÃO 05'!G88</f>
        <v>404.37</v>
      </c>
      <c r="N524" s="86">
        <f t="shared" si="26"/>
        <v>404.37</v>
      </c>
    </row>
    <row r="525" spans="2:14" ht="14.45" hidden="1" customHeight="1" x14ac:dyDescent="0.25">
      <c r="B525" s="65">
        <v>1.1000000000000001</v>
      </c>
      <c r="C525" s="65" t="s">
        <v>229</v>
      </c>
      <c r="D525" s="53"/>
      <c r="E525" s="44"/>
      <c r="F525" s="130"/>
      <c r="G525" s="121"/>
      <c r="H525" s="70"/>
      <c r="I525" s="105"/>
      <c r="J525" s="99"/>
      <c r="K525" s="82">
        <f t="shared" si="24"/>
        <v>0</v>
      </c>
      <c r="L525" s="82"/>
      <c r="M525" s="82"/>
      <c r="N525" s="86"/>
    </row>
    <row r="526" spans="2:14" ht="33.75" hidden="1" x14ac:dyDescent="0.25">
      <c r="B526" s="50" t="s">
        <v>230</v>
      </c>
      <c r="C526" s="66">
        <v>92868</v>
      </c>
      <c r="D526" s="53" t="s">
        <v>232</v>
      </c>
      <c r="E526" s="69" t="s">
        <v>166</v>
      </c>
      <c r="F526" s="312"/>
      <c r="G526" s="121"/>
      <c r="H526" s="70"/>
      <c r="I526" s="105"/>
      <c r="J526" s="99">
        <f>'BOLETIM DE MEDIÇÃO 05'!O90-'MEMORIAL DE CALCULO 04'!K526</f>
        <v>0</v>
      </c>
      <c r="K526" s="82">
        <f t="shared" si="24"/>
        <v>0</v>
      </c>
      <c r="L526" s="82">
        <f t="shared" si="25"/>
        <v>0</v>
      </c>
      <c r="M526" s="82">
        <f>'BOLETIM DE MEDIÇÃO 05'!G90</f>
        <v>117</v>
      </c>
      <c r="N526" s="86">
        <f t="shared" si="26"/>
        <v>117</v>
      </c>
    </row>
    <row r="527" spans="2:14" ht="22.5" hidden="1" x14ac:dyDescent="0.25">
      <c r="B527" s="50" t="s">
        <v>233</v>
      </c>
      <c r="C527" s="66">
        <v>91937</v>
      </c>
      <c r="D527" s="53" t="s">
        <v>235</v>
      </c>
      <c r="E527" s="69" t="s">
        <v>166</v>
      </c>
      <c r="F527" s="312"/>
      <c r="G527" s="121"/>
      <c r="H527" s="70"/>
      <c r="I527" s="105"/>
      <c r="J527" s="99">
        <f>'BOLETIM DE MEDIÇÃO 05'!O91-'MEMORIAL DE CALCULO 04'!K527</f>
        <v>0</v>
      </c>
      <c r="K527" s="82">
        <f t="shared" si="24"/>
        <v>0</v>
      </c>
      <c r="L527" s="82">
        <f t="shared" si="25"/>
        <v>0</v>
      </c>
      <c r="M527" s="82">
        <f>'BOLETIM DE MEDIÇÃO 05'!G91</f>
        <v>76</v>
      </c>
      <c r="N527" s="86">
        <f t="shared" si="26"/>
        <v>76</v>
      </c>
    </row>
    <row r="528" spans="2:14" ht="33.75" hidden="1" x14ac:dyDescent="0.25">
      <c r="B528" s="50" t="s">
        <v>236</v>
      </c>
      <c r="C528" s="66">
        <v>91924</v>
      </c>
      <c r="D528" s="53" t="s">
        <v>238</v>
      </c>
      <c r="E528" s="69" t="s">
        <v>37</v>
      </c>
      <c r="F528" s="312"/>
      <c r="G528" s="121"/>
      <c r="H528" s="70"/>
      <c r="I528" s="105"/>
      <c r="J528" s="99">
        <f>'BOLETIM DE MEDIÇÃO 05'!O92-'MEMORIAL DE CALCULO 04'!K528</f>
        <v>0</v>
      </c>
      <c r="K528" s="82">
        <f t="shared" si="24"/>
        <v>0</v>
      </c>
      <c r="L528" s="82">
        <f t="shared" si="25"/>
        <v>0</v>
      </c>
      <c r="M528" s="82">
        <f>'BOLETIM DE MEDIÇÃO 05'!G92</f>
        <v>1253.8</v>
      </c>
      <c r="N528" s="86">
        <f t="shared" si="26"/>
        <v>1253.8</v>
      </c>
    </row>
    <row r="529" spans="2:14" ht="33.75" hidden="1" x14ac:dyDescent="0.25">
      <c r="B529" s="50" t="s">
        <v>239</v>
      </c>
      <c r="C529" s="66">
        <v>91926</v>
      </c>
      <c r="D529" s="53" t="s">
        <v>241</v>
      </c>
      <c r="E529" s="69" t="s">
        <v>37</v>
      </c>
      <c r="F529" s="312"/>
      <c r="G529" s="121"/>
      <c r="H529" s="70"/>
      <c r="I529" s="105"/>
      <c r="J529" s="99">
        <f>'BOLETIM DE MEDIÇÃO 05'!O93-'MEMORIAL DE CALCULO 04'!K529</f>
        <v>0</v>
      </c>
      <c r="K529" s="82">
        <f t="shared" si="24"/>
        <v>0</v>
      </c>
      <c r="L529" s="82">
        <f t="shared" si="25"/>
        <v>0</v>
      </c>
      <c r="M529" s="82">
        <f>'BOLETIM DE MEDIÇÃO 05'!G93</f>
        <v>1496.3</v>
      </c>
      <c r="N529" s="86">
        <f t="shared" si="26"/>
        <v>1496.3</v>
      </c>
    </row>
    <row r="530" spans="2:14" ht="33.75" hidden="1" x14ac:dyDescent="0.25">
      <c r="B530" s="50" t="s">
        <v>242</v>
      </c>
      <c r="C530" s="68">
        <v>91928</v>
      </c>
      <c r="D530" s="67" t="s">
        <v>244</v>
      </c>
      <c r="E530" s="69" t="s">
        <v>37</v>
      </c>
      <c r="F530" s="312"/>
      <c r="G530" s="121"/>
      <c r="H530" s="44"/>
      <c r="I530" s="105"/>
      <c r="J530" s="99">
        <f>'BOLETIM DE MEDIÇÃO 05'!O94-'MEMORIAL DE CALCULO 04'!K530</f>
        <v>0</v>
      </c>
      <c r="K530" s="82">
        <f t="shared" si="24"/>
        <v>0</v>
      </c>
      <c r="L530" s="82">
        <f t="shared" si="25"/>
        <v>0</v>
      </c>
      <c r="M530" s="82">
        <f>'BOLETIM DE MEDIÇÃO 05'!G94</f>
        <v>284.60000000000002</v>
      </c>
      <c r="N530" s="86">
        <f t="shared" si="26"/>
        <v>284.60000000000002</v>
      </c>
    </row>
    <row r="531" spans="2:14" ht="33.75" hidden="1" x14ac:dyDescent="0.25">
      <c r="B531" s="50" t="s">
        <v>245</v>
      </c>
      <c r="C531" s="66">
        <v>91931</v>
      </c>
      <c r="D531" s="53" t="s">
        <v>247</v>
      </c>
      <c r="E531" s="69" t="s">
        <v>37</v>
      </c>
      <c r="F531" s="312"/>
      <c r="G531" s="121"/>
      <c r="H531" s="70"/>
      <c r="I531" s="105"/>
      <c r="J531" s="99">
        <f>'BOLETIM DE MEDIÇÃO 05'!O95-'MEMORIAL DE CALCULO 04'!K531</f>
        <v>0</v>
      </c>
      <c r="K531" s="82">
        <f t="shared" si="24"/>
        <v>0</v>
      </c>
      <c r="L531" s="82">
        <f t="shared" si="25"/>
        <v>0</v>
      </c>
      <c r="M531" s="82">
        <f>'BOLETIM DE MEDIÇÃO 05'!G95</f>
        <v>224</v>
      </c>
      <c r="N531" s="86">
        <f t="shared" si="26"/>
        <v>224</v>
      </c>
    </row>
    <row r="532" spans="2:14" ht="22.5" hidden="1" x14ac:dyDescent="0.25">
      <c r="B532" s="50" t="s">
        <v>248</v>
      </c>
      <c r="C532" s="66">
        <v>39773</v>
      </c>
      <c r="D532" s="53" t="s">
        <v>250</v>
      </c>
      <c r="E532" s="69" t="s">
        <v>166</v>
      </c>
      <c r="F532" s="312"/>
      <c r="G532" s="121"/>
      <c r="H532" s="70"/>
      <c r="I532" s="105"/>
      <c r="J532" s="99">
        <f>'BOLETIM DE MEDIÇÃO 05'!O96-'MEMORIAL DE CALCULO 04'!K532</f>
        <v>0</v>
      </c>
      <c r="K532" s="82">
        <f t="shared" si="24"/>
        <v>0</v>
      </c>
      <c r="L532" s="82">
        <f t="shared" si="25"/>
        <v>0</v>
      </c>
      <c r="M532" s="82">
        <f>'BOLETIM DE MEDIÇÃO 05'!G96</f>
        <v>2</v>
      </c>
      <c r="N532" s="86">
        <f t="shared" si="26"/>
        <v>2</v>
      </c>
    </row>
    <row r="533" spans="2:14" ht="33.75" hidden="1" x14ac:dyDescent="0.25">
      <c r="B533" s="50" t="s">
        <v>251</v>
      </c>
      <c r="C533" s="66">
        <v>101890</v>
      </c>
      <c r="D533" s="53" t="s">
        <v>253</v>
      </c>
      <c r="E533" s="69" t="s">
        <v>166</v>
      </c>
      <c r="F533" s="312"/>
      <c r="G533" s="121"/>
      <c r="H533" s="70"/>
      <c r="I533" s="105"/>
      <c r="J533" s="99">
        <f>'BOLETIM DE MEDIÇÃO 05'!O97-'MEMORIAL DE CALCULO 04'!K533</f>
        <v>0</v>
      </c>
      <c r="K533" s="82">
        <f t="shared" si="24"/>
        <v>0</v>
      </c>
      <c r="L533" s="82">
        <f t="shared" si="25"/>
        <v>0</v>
      </c>
      <c r="M533" s="82">
        <f>'BOLETIM DE MEDIÇÃO 05'!G97</f>
        <v>19</v>
      </c>
      <c r="N533" s="86">
        <f t="shared" si="26"/>
        <v>19</v>
      </c>
    </row>
    <row r="534" spans="2:14" ht="22.5" hidden="1" x14ac:dyDescent="0.25">
      <c r="B534" s="50" t="s">
        <v>254</v>
      </c>
      <c r="C534" s="66">
        <v>93670</v>
      </c>
      <c r="D534" s="53" t="s">
        <v>256</v>
      </c>
      <c r="E534" s="69" t="s">
        <v>166</v>
      </c>
      <c r="F534" s="312"/>
      <c r="G534" s="121"/>
      <c r="H534" s="70"/>
      <c r="I534" s="105"/>
      <c r="J534" s="99">
        <f>'BOLETIM DE MEDIÇÃO 05'!O98-'MEMORIAL DE CALCULO 04'!K534</f>
        <v>0</v>
      </c>
      <c r="K534" s="82">
        <f t="shared" si="24"/>
        <v>0</v>
      </c>
      <c r="L534" s="82">
        <f t="shared" si="25"/>
        <v>0</v>
      </c>
      <c r="M534" s="82">
        <f>'BOLETIM DE MEDIÇÃO 05'!G98</f>
        <v>1</v>
      </c>
      <c r="N534" s="86">
        <f t="shared" si="26"/>
        <v>1</v>
      </c>
    </row>
    <row r="535" spans="2:14" ht="22.5" hidden="1" x14ac:dyDescent="0.25">
      <c r="B535" s="50" t="s">
        <v>257</v>
      </c>
      <c r="C535" s="66">
        <v>93671</v>
      </c>
      <c r="D535" s="53" t="s">
        <v>259</v>
      </c>
      <c r="E535" s="69" t="s">
        <v>166</v>
      </c>
      <c r="F535" s="312"/>
      <c r="G535" s="121"/>
      <c r="H535" s="70"/>
      <c r="I535" s="105"/>
      <c r="J535" s="99">
        <f>'BOLETIM DE MEDIÇÃO 05'!O99-'MEMORIAL DE CALCULO 04'!K535</f>
        <v>0</v>
      </c>
      <c r="K535" s="82">
        <f t="shared" si="24"/>
        <v>0</v>
      </c>
      <c r="L535" s="82">
        <f t="shared" si="25"/>
        <v>0</v>
      </c>
      <c r="M535" s="82">
        <f>'BOLETIM DE MEDIÇÃO 05'!G99</f>
        <v>1</v>
      </c>
      <c r="N535" s="86">
        <f t="shared" si="26"/>
        <v>1</v>
      </c>
    </row>
    <row r="536" spans="2:14" ht="22.5" hidden="1" x14ac:dyDescent="0.25">
      <c r="B536" s="50" t="s">
        <v>260</v>
      </c>
      <c r="C536" s="66">
        <v>39466</v>
      </c>
      <c r="D536" s="53" t="s">
        <v>262</v>
      </c>
      <c r="E536" s="69" t="s">
        <v>166</v>
      </c>
      <c r="F536" s="312"/>
      <c r="G536" s="121"/>
      <c r="H536" s="70"/>
      <c r="I536" s="105"/>
      <c r="J536" s="99">
        <f>'BOLETIM DE MEDIÇÃO 05'!O100-'MEMORIAL DE CALCULO 04'!K536</f>
        <v>0</v>
      </c>
      <c r="K536" s="82">
        <f t="shared" si="24"/>
        <v>0</v>
      </c>
      <c r="L536" s="82">
        <f t="shared" si="25"/>
        <v>0</v>
      </c>
      <c r="M536" s="82">
        <f>'BOLETIM DE MEDIÇÃO 05'!G100</f>
        <v>6</v>
      </c>
      <c r="N536" s="86">
        <f t="shared" si="26"/>
        <v>6</v>
      </c>
    </row>
    <row r="537" spans="2:14" ht="22.5" hidden="1" x14ac:dyDescent="0.25">
      <c r="B537" s="50" t="s">
        <v>263</v>
      </c>
      <c r="C537" s="66">
        <v>39445</v>
      </c>
      <c r="D537" s="53" t="s">
        <v>265</v>
      </c>
      <c r="E537" s="69" t="s">
        <v>166</v>
      </c>
      <c r="F537" s="312"/>
      <c r="G537" s="121"/>
      <c r="H537" s="70"/>
      <c r="I537" s="105"/>
      <c r="J537" s="99">
        <f>'BOLETIM DE MEDIÇÃO 05'!O101-'MEMORIAL DE CALCULO 04'!K537</f>
        <v>0</v>
      </c>
      <c r="K537" s="82">
        <f t="shared" si="24"/>
        <v>0</v>
      </c>
      <c r="L537" s="82">
        <f t="shared" si="25"/>
        <v>0</v>
      </c>
      <c r="M537" s="82">
        <f>'BOLETIM DE MEDIÇÃO 05'!G101</f>
        <v>1</v>
      </c>
      <c r="N537" s="86">
        <f t="shared" si="26"/>
        <v>1</v>
      </c>
    </row>
    <row r="538" spans="2:14" ht="22.5" hidden="1" x14ac:dyDescent="0.25">
      <c r="B538" s="50" t="s">
        <v>266</v>
      </c>
      <c r="C538" s="66">
        <v>39446</v>
      </c>
      <c r="D538" s="53" t="s">
        <v>268</v>
      </c>
      <c r="E538" s="69" t="s">
        <v>166</v>
      </c>
      <c r="F538" s="312"/>
      <c r="G538" s="121"/>
      <c r="H538" s="70"/>
      <c r="I538" s="105"/>
      <c r="J538" s="99">
        <f>'BOLETIM DE MEDIÇÃO 05'!O102-'MEMORIAL DE CALCULO 04'!K538</f>
        <v>0</v>
      </c>
      <c r="K538" s="82">
        <f t="shared" si="24"/>
        <v>0</v>
      </c>
      <c r="L538" s="82">
        <f t="shared" si="25"/>
        <v>0</v>
      </c>
      <c r="M538" s="82">
        <f>'BOLETIM DE MEDIÇÃO 05'!G102</f>
        <v>1</v>
      </c>
      <c r="N538" s="86">
        <f t="shared" si="26"/>
        <v>1</v>
      </c>
    </row>
    <row r="539" spans="2:14" ht="33.75" hidden="1" x14ac:dyDescent="0.25">
      <c r="B539" s="50" t="s">
        <v>269</v>
      </c>
      <c r="C539" s="66">
        <v>91953</v>
      </c>
      <c r="D539" s="53" t="s">
        <v>271</v>
      </c>
      <c r="E539" s="69" t="s">
        <v>166</v>
      </c>
      <c r="F539" s="312"/>
      <c r="G539" s="121"/>
      <c r="H539" s="70"/>
      <c r="I539" s="105"/>
      <c r="J539" s="99">
        <f>'BOLETIM DE MEDIÇÃO 05'!O103-'MEMORIAL DE CALCULO 04'!K539</f>
        <v>0</v>
      </c>
      <c r="K539" s="82">
        <f t="shared" si="24"/>
        <v>0</v>
      </c>
      <c r="L539" s="82">
        <f t="shared" si="25"/>
        <v>0</v>
      </c>
      <c r="M539" s="82">
        <f>'BOLETIM DE MEDIÇÃO 05'!G103</f>
        <v>23</v>
      </c>
      <c r="N539" s="86">
        <f t="shared" si="26"/>
        <v>23</v>
      </c>
    </row>
    <row r="540" spans="2:14" ht="33.75" hidden="1" x14ac:dyDescent="0.25">
      <c r="B540" s="50" t="s">
        <v>272</v>
      </c>
      <c r="C540" s="66">
        <v>91967</v>
      </c>
      <c r="D540" s="53" t="s">
        <v>274</v>
      </c>
      <c r="E540" s="69" t="s">
        <v>166</v>
      </c>
      <c r="F540" s="312"/>
      <c r="G540" s="121"/>
      <c r="H540" s="70"/>
      <c r="I540" s="105"/>
      <c r="J540" s="99">
        <f>'BOLETIM DE MEDIÇÃO 05'!O104-'MEMORIAL DE CALCULO 04'!K540</f>
        <v>0</v>
      </c>
      <c r="K540" s="82">
        <f t="shared" si="24"/>
        <v>0</v>
      </c>
      <c r="L540" s="82">
        <f t="shared" si="25"/>
        <v>0</v>
      </c>
      <c r="M540" s="82">
        <f>'BOLETIM DE MEDIÇÃO 05'!G104</f>
        <v>1</v>
      </c>
      <c r="N540" s="86">
        <f t="shared" si="26"/>
        <v>1</v>
      </c>
    </row>
    <row r="541" spans="2:14" ht="33.75" hidden="1" x14ac:dyDescent="0.25">
      <c r="B541" s="50" t="s">
        <v>275</v>
      </c>
      <c r="C541" s="66">
        <v>92000</v>
      </c>
      <c r="D541" s="53" t="s">
        <v>277</v>
      </c>
      <c r="E541" s="69" t="s">
        <v>166</v>
      </c>
      <c r="F541" s="312"/>
      <c r="G541" s="121"/>
      <c r="H541" s="70"/>
      <c r="I541" s="105"/>
      <c r="J541" s="99">
        <f>'BOLETIM DE MEDIÇÃO 05'!O105-'MEMORIAL DE CALCULO 04'!K541</f>
        <v>0</v>
      </c>
      <c r="K541" s="82">
        <f t="shared" si="24"/>
        <v>0</v>
      </c>
      <c r="L541" s="82">
        <f t="shared" si="25"/>
        <v>0</v>
      </c>
      <c r="M541" s="82">
        <f>'BOLETIM DE MEDIÇÃO 05'!G105</f>
        <v>54</v>
      </c>
      <c r="N541" s="86">
        <f t="shared" si="26"/>
        <v>54</v>
      </c>
    </row>
    <row r="542" spans="2:14" ht="33.75" hidden="1" x14ac:dyDescent="0.25">
      <c r="B542" s="50" t="s">
        <v>278</v>
      </c>
      <c r="C542" s="66">
        <v>92008</v>
      </c>
      <c r="D542" s="53" t="s">
        <v>280</v>
      </c>
      <c r="E542" s="69" t="s">
        <v>166</v>
      </c>
      <c r="F542" s="312"/>
      <c r="G542" s="121"/>
      <c r="H542" s="70"/>
      <c r="I542" s="105"/>
      <c r="J542" s="99">
        <f>'BOLETIM DE MEDIÇÃO 05'!O106-'MEMORIAL DE CALCULO 04'!K542</f>
        <v>0</v>
      </c>
      <c r="K542" s="82">
        <f t="shared" si="24"/>
        <v>0</v>
      </c>
      <c r="L542" s="82">
        <f t="shared" si="25"/>
        <v>0</v>
      </c>
      <c r="M542" s="82">
        <f>'BOLETIM DE MEDIÇÃO 05'!G106</f>
        <v>8</v>
      </c>
      <c r="N542" s="86">
        <f t="shared" si="26"/>
        <v>8</v>
      </c>
    </row>
    <row r="543" spans="2:14" ht="33.75" hidden="1" x14ac:dyDescent="0.25">
      <c r="B543" s="50" t="s">
        <v>281</v>
      </c>
      <c r="C543" s="68">
        <v>91959</v>
      </c>
      <c r="D543" s="67" t="s">
        <v>283</v>
      </c>
      <c r="E543" s="69" t="s">
        <v>166</v>
      </c>
      <c r="F543" s="312"/>
      <c r="G543" s="121"/>
      <c r="H543" s="44"/>
      <c r="I543" s="105"/>
      <c r="J543" s="99">
        <f>'BOLETIM DE MEDIÇÃO 05'!O107-'MEMORIAL DE CALCULO 04'!K543</f>
        <v>0</v>
      </c>
      <c r="K543" s="82">
        <f t="shared" si="24"/>
        <v>0</v>
      </c>
      <c r="L543" s="82">
        <f t="shared" si="25"/>
        <v>0</v>
      </c>
      <c r="M543" s="82">
        <f>'BOLETIM DE MEDIÇÃO 05'!G107</f>
        <v>2</v>
      </c>
      <c r="N543" s="86">
        <f t="shared" si="26"/>
        <v>2</v>
      </c>
    </row>
    <row r="544" spans="2:14" ht="33.75" hidden="1" x14ac:dyDescent="0.25">
      <c r="B544" s="50" t="s">
        <v>284</v>
      </c>
      <c r="C544" s="68">
        <v>91834</v>
      </c>
      <c r="D544" s="67" t="s">
        <v>286</v>
      </c>
      <c r="E544" s="69" t="s">
        <v>37</v>
      </c>
      <c r="F544" s="312"/>
      <c r="G544" s="121"/>
      <c r="H544" s="44"/>
      <c r="I544" s="105"/>
      <c r="J544" s="99">
        <f>'BOLETIM DE MEDIÇÃO 05'!O108-'MEMORIAL DE CALCULO 04'!K544</f>
        <v>0</v>
      </c>
      <c r="K544" s="82">
        <f t="shared" si="24"/>
        <v>0</v>
      </c>
      <c r="L544" s="82">
        <f t="shared" si="25"/>
        <v>0</v>
      </c>
      <c r="M544" s="82">
        <f>'BOLETIM DE MEDIÇÃO 05'!G108</f>
        <v>830.48</v>
      </c>
      <c r="N544" s="86">
        <f t="shared" si="26"/>
        <v>830.48</v>
      </c>
    </row>
    <row r="545" spans="2:14" ht="33.75" hidden="1" x14ac:dyDescent="0.25">
      <c r="B545" s="50" t="s">
        <v>287</v>
      </c>
      <c r="C545" s="66">
        <v>91868</v>
      </c>
      <c r="D545" s="53" t="s">
        <v>289</v>
      </c>
      <c r="E545" s="69" t="s">
        <v>37</v>
      </c>
      <c r="F545" s="312"/>
      <c r="G545" s="121"/>
      <c r="H545" s="70"/>
      <c r="I545" s="105"/>
      <c r="J545" s="99">
        <f>'BOLETIM DE MEDIÇÃO 05'!O109-'MEMORIAL DE CALCULO 04'!K545</f>
        <v>0</v>
      </c>
      <c r="K545" s="82">
        <f t="shared" si="24"/>
        <v>0</v>
      </c>
      <c r="L545" s="82">
        <f t="shared" si="25"/>
        <v>0</v>
      </c>
      <c r="M545" s="82">
        <f>'BOLETIM DE MEDIÇÃO 05'!G109</f>
        <v>55.97</v>
      </c>
      <c r="N545" s="86">
        <f t="shared" si="26"/>
        <v>55.97</v>
      </c>
    </row>
    <row r="546" spans="2:14" ht="33.75" hidden="1" x14ac:dyDescent="0.25">
      <c r="B546" s="50" t="s">
        <v>290</v>
      </c>
      <c r="C546" s="66">
        <v>91867</v>
      </c>
      <c r="D546" s="53" t="s">
        <v>292</v>
      </c>
      <c r="E546" s="69" t="s">
        <v>37</v>
      </c>
      <c r="F546" s="312"/>
      <c r="G546" s="121"/>
      <c r="H546" s="70"/>
      <c r="I546" s="105"/>
      <c r="J546" s="99">
        <f>'BOLETIM DE MEDIÇÃO 05'!O110-'MEMORIAL DE CALCULO 04'!K546</f>
        <v>0</v>
      </c>
      <c r="K546" s="82">
        <f t="shared" si="24"/>
        <v>0</v>
      </c>
      <c r="L546" s="82">
        <f t="shared" si="25"/>
        <v>0</v>
      </c>
      <c r="M546" s="82">
        <f>'BOLETIM DE MEDIÇÃO 05'!G110</f>
        <v>36.19</v>
      </c>
      <c r="N546" s="86">
        <f t="shared" si="26"/>
        <v>36.19</v>
      </c>
    </row>
    <row r="547" spans="2:14" ht="22.5" hidden="1" x14ac:dyDescent="0.25">
      <c r="B547" s="50" t="s">
        <v>293</v>
      </c>
      <c r="C547" s="66">
        <v>101654</v>
      </c>
      <c r="D547" s="53" t="s">
        <v>295</v>
      </c>
      <c r="E547" s="69" t="s">
        <v>166</v>
      </c>
      <c r="F547" s="312"/>
      <c r="G547" s="121"/>
      <c r="H547" s="70"/>
      <c r="I547" s="105"/>
      <c r="J547" s="99">
        <f>'BOLETIM DE MEDIÇÃO 05'!O111-'MEMORIAL DE CALCULO 04'!K547</f>
        <v>0</v>
      </c>
      <c r="K547" s="82">
        <f t="shared" si="24"/>
        <v>0</v>
      </c>
      <c r="L547" s="82">
        <f t="shared" si="25"/>
        <v>0</v>
      </c>
      <c r="M547" s="82">
        <f>'BOLETIM DE MEDIÇÃO 05'!G111</f>
        <v>15</v>
      </c>
      <c r="N547" s="86">
        <f t="shared" si="26"/>
        <v>15</v>
      </c>
    </row>
    <row r="548" spans="2:14" ht="33.75" hidden="1" x14ac:dyDescent="0.25">
      <c r="B548" s="50" t="s">
        <v>296</v>
      </c>
      <c r="C548" s="66">
        <v>103782</v>
      </c>
      <c r="D548" s="53" t="s">
        <v>298</v>
      </c>
      <c r="E548" s="69" t="s">
        <v>166</v>
      </c>
      <c r="F548" s="312"/>
      <c r="G548" s="121"/>
      <c r="H548" s="70"/>
      <c r="I548" s="105"/>
      <c r="J548" s="99">
        <f>'BOLETIM DE MEDIÇÃO 05'!O112-'MEMORIAL DE CALCULO 04'!K548</f>
        <v>0</v>
      </c>
      <c r="K548" s="82">
        <f t="shared" si="24"/>
        <v>0</v>
      </c>
      <c r="L548" s="82">
        <f t="shared" si="25"/>
        <v>0</v>
      </c>
      <c r="M548" s="82">
        <f>'BOLETIM DE MEDIÇÃO 05'!G112</f>
        <v>76</v>
      </c>
      <c r="N548" s="86">
        <f t="shared" si="26"/>
        <v>76</v>
      </c>
    </row>
    <row r="549" spans="2:14" ht="33.75" hidden="1" x14ac:dyDescent="0.25">
      <c r="B549" s="50" t="s">
        <v>299</v>
      </c>
      <c r="C549" s="66">
        <v>101509</v>
      </c>
      <c r="D549" s="53" t="s">
        <v>301</v>
      </c>
      <c r="E549" s="69" t="s">
        <v>166</v>
      </c>
      <c r="F549" s="312"/>
      <c r="G549" s="121"/>
      <c r="H549" s="70"/>
      <c r="I549" s="105"/>
      <c r="J549" s="99">
        <f>'BOLETIM DE MEDIÇÃO 05'!O113-'MEMORIAL DE CALCULO 04'!K549</f>
        <v>0</v>
      </c>
      <c r="K549" s="82">
        <f t="shared" si="24"/>
        <v>0</v>
      </c>
      <c r="L549" s="82">
        <f t="shared" si="25"/>
        <v>0</v>
      </c>
      <c r="M549" s="82">
        <f>'BOLETIM DE MEDIÇÃO 05'!G113</f>
        <v>1</v>
      </c>
      <c r="N549" s="86">
        <f t="shared" si="26"/>
        <v>1</v>
      </c>
    </row>
    <row r="550" spans="2:14" ht="33.75" hidden="1" x14ac:dyDescent="0.25">
      <c r="B550" s="50" t="s">
        <v>302</v>
      </c>
      <c r="C550" s="66">
        <v>5044</v>
      </c>
      <c r="D550" s="53" t="s">
        <v>304</v>
      </c>
      <c r="E550" s="69" t="s">
        <v>166</v>
      </c>
      <c r="F550" s="312"/>
      <c r="G550" s="121"/>
      <c r="H550" s="70"/>
      <c r="I550" s="105"/>
      <c r="J550" s="99">
        <f>'BOLETIM DE MEDIÇÃO 05'!O114-'MEMORIAL DE CALCULO 04'!K550</f>
        <v>0</v>
      </c>
      <c r="K550" s="82">
        <f t="shared" si="24"/>
        <v>0</v>
      </c>
      <c r="L550" s="82">
        <f t="shared" si="25"/>
        <v>0</v>
      </c>
      <c r="M550" s="82">
        <f>'BOLETIM DE MEDIÇÃO 05'!G114</f>
        <v>1</v>
      </c>
      <c r="N550" s="86">
        <f t="shared" si="26"/>
        <v>1</v>
      </c>
    </row>
    <row r="551" spans="2:14" ht="45" hidden="1" x14ac:dyDescent="0.25">
      <c r="B551" s="50" t="s">
        <v>305</v>
      </c>
      <c r="C551" s="66">
        <v>101879</v>
      </c>
      <c r="D551" s="53" t="s">
        <v>307</v>
      </c>
      <c r="E551" s="69" t="s">
        <v>166</v>
      </c>
      <c r="F551" s="312"/>
      <c r="G551" s="121"/>
      <c r="H551" s="70"/>
      <c r="I551" s="105"/>
      <c r="J551" s="99">
        <f>'BOLETIM DE MEDIÇÃO 05'!O115-'MEMORIAL DE CALCULO 04'!K551</f>
        <v>0</v>
      </c>
      <c r="K551" s="82">
        <f t="shared" si="24"/>
        <v>0</v>
      </c>
      <c r="L551" s="82">
        <f t="shared" si="25"/>
        <v>0</v>
      </c>
      <c r="M551" s="82">
        <f>'BOLETIM DE MEDIÇÃO 05'!G115</f>
        <v>1</v>
      </c>
      <c r="N551" s="86">
        <f t="shared" si="26"/>
        <v>1</v>
      </c>
    </row>
    <row r="552" spans="2:14" ht="33.75" hidden="1" x14ac:dyDescent="0.25">
      <c r="B552" s="50" t="s">
        <v>308</v>
      </c>
      <c r="C552" s="66">
        <v>5044</v>
      </c>
      <c r="D552" s="53" t="s">
        <v>304</v>
      </c>
      <c r="E552" s="69" t="s">
        <v>166</v>
      </c>
      <c r="F552" s="312"/>
      <c r="G552" s="121"/>
      <c r="H552" s="70"/>
      <c r="I552" s="105"/>
      <c r="J552" s="99">
        <f>'BOLETIM DE MEDIÇÃO 05'!O116-'MEMORIAL DE CALCULO 04'!K552</f>
        <v>0</v>
      </c>
      <c r="K552" s="82">
        <f t="shared" si="24"/>
        <v>0</v>
      </c>
      <c r="L552" s="82">
        <f t="shared" si="25"/>
        <v>0</v>
      </c>
      <c r="M552" s="82">
        <f>'BOLETIM DE MEDIÇÃO 05'!G116</f>
        <v>1</v>
      </c>
      <c r="N552" s="86">
        <f t="shared" si="26"/>
        <v>1</v>
      </c>
    </row>
    <row r="553" spans="2:14" ht="33.75" hidden="1" x14ac:dyDescent="0.25">
      <c r="B553" s="50" t="s">
        <v>309</v>
      </c>
      <c r="C553" s="66">
        <v>92023</v>
      </c>
      <c r="D553" s="53" t="s">
        <v>311</v>
      </c>
      <c r="E553" s="69" t="s">
        <v>166</v>
      </c>
      <c r="F553" s="312"/>
      <c r="G553" s="121"/>
      <c r="H553" s="70"/>
      <c r="I553" s="105"/>
      <c r="J553" s="99">
        <f>'BOLETIM DE MEDIÇÃO 05'!O117-'MEMORIAL DE CALCULO 04'!K553</f>
        <v>0</v>
      </c>
      <c r="K553" s="82">
        <f t="shared" si="24"/>
        <v>0</v>
      </c>
      <c r="L553" s="82">
        <f t="shared" si="25"/>
        <v>0</v>
      </c>
      <c r="M553" s="82">
        <f>'BOLETIM DE MEDIÇÃO 05'!G117</f>
        <v>5</v>
      </c>
      <c r="N553" s="86">
        <f t="shared" si="26"/>
        <v>5</v>
      </c>
    </row>
    <row r="554" spans="2:14" hidden="1" x14ac:dyDescent="0.25">
      <c r="B554" s="51" t="s">
        <v>312</v>
      </c>
      <c r="C554" s="71" t="s">
        <v>313</v>
      </c>
      <c r="D554" s="53"/>
      <c r="E554" s="69"/>
      <c r="F554" s="312"/>
      <c r="G554" s="121"/>
      <c r="H554" s="70"/>
      <c r="I554" s="105"/>
      <c r="J554" s="99"/>
      <c r="K554" s="82">
        <f t="shared" si="24"/>
        <v>0</v>
      </c>
      <c r="L554" s="82"/>
      <c r="M554" s="82"/>
      <c r="N554" s="86"/>
    </row>
    <row r="555" spans="2:14" ht="22.5" hidden="1" x14ac:dyDescent="0.25">
      <c r="B555" s="50" t="s">
        <v>314</v>
      </c>
      <c r="C555" s="66">
        <v>96620</v>
      </c>
      <c r="D555" s="53" t="s">
        <v>316</v>
      </c>
      <c r="E555" s="44" t="s">
        <v>41</v>
      </c>
      <c r="F555" s="312"/>
      <c r="G555" s="121"/>
      <c r="H555" s="70"/>
      <c r="I555" s="105"/>
      <c r="J555" s="99">
        <f>'BOLETIM DE MEDIÇÃO 05'!O119-'MEMORIAL DE CALCULO 04'!K555</f>
        <v>0</v>
      </c>
      <c r="K555" s="82">
        <f t="shared" si="24"/>
        <v>0</v>
      </c>
      <c r="L555" s="82">
        <f t="shared" si="25"/>
        <v>0</v>
      </c>
      <c r="M555" s="82">
        <f>'BOLETIM DE MEDIÇÃO 05'!G119</f>
        <v>31.73</v>
      </c>
      <c r="N555" s="86">
        <f t="shared" si="26"/>
        <v>31.73</v>
      </c>
    </row>
    <row r="556" spans="2:14" ht="67.5" hidden="1" x14ac:dyDescent="0.25">
      <c r="B556" s="50" t="s">
        <v>317</v>
      </c>
      <c r="C556" s="66">
        <v>94439</v>
      </c>
      <c r="D556" s="53" t="s">
        <v>319</v>
      </c>
      <c r="E556" s="44" t="s">
        <v>17</v>
      </c>
      <c r="F556" s="312"/>
      <c r="G556" s="121"/>
      <c r="H556" s="70"/>
      <c r="I556" s="105"/>
      <c r="J556" s="99">
        <f>'BOLETIM DE MEDIÇÃO 05'!O120-'MEMORIAL DE CALCULO 04'!K556</f>
        <v>0</v>
      </c>
      <c r="K556" s="82">
        <f t="shared" si="24"/>
        <v>0</v>
      </c>
      <c r="L556" s="82">
        <f t="shared" si="25"/>
        <v>0</v>
      </c>
      <c r="M556" s="82">
        <f>'BOLETIM DE MEDIÇÃO 05'!G120</f>
        <v>634.5</v>
      </c>
      <c r="N556" s="86">
        <f t="shared" si="26"/>
        <v>634.5</v>
      </c>
    </row>
    <row r="557" spans="2:14" ht="33.75" hidden="1" x14ac:dyDescent="0.25">
      <c r="B557" s="50" t="s">
        <v>320</v>
      </c>
      <c r="C557" s="66">
        <v>87257</v>
      </c>
      <c r="D557" s="53" t="s">
        <v>322</v>
      </c>
      <c r="E557" s="44" t="s">
        <v>17</v>
      </c>
      <c r="F557" s="312"/>
      <c r="G557" s="121"/>
      <c r="H557" s="70"/>
      <c r="I557" s="105"/>
      <c r="J557" s="99">
        <f>'BOLETIM DE MEDIÇÃO 05'!O121-'MEMORIAL DE CALCULO 04'!K557</f>
        <v>0</v>
      </c>
      <c r="K557" s="82">
        <f t="shared" si="24"/>
        <v>0</v>
      </c>
      <c r="L557" s="82">
        <f t="shared" si="25"/>
        <v>0</v>
      </c>
      <c r="M557" s="82">
        <f>'BOLETIM DE MEDIÇÃO 05'!G121</f>
        <v>634.5</v>
      </c>
      <c r="N557" s="86">
        <f t="shared" si="26"/>
        <v>634.5</v>
      </c>
    </row>
    <row r="558" spans="2:14" ht="33.75" hidden="1" x14ac:dyDescent="0.25">
      <c r="B558" s="50" t="s">
        <v>323</v>
      </c>
      <c r="C558" s="66">
        <v>92403</v>
      </c>
      <c r="D558" s="53" t="s">
        <v>325</v>
      </c>
      <c r="E558" s="44" t="s">
        <v>17</v>
      </c>
      <c r="F558" s="312"/>
      <c r="G558" s="121"/>
      <c r="H558" s="70"/>
      <c r="I558" s="105"/>
      <c r="J558" s="99">
        <f>'BOLETIM DE MEDIÇÃO 05'!O122-'MEMORIAL DE CALCULO 04'!K558</f>
        <v>0</v>
      </c>
      <c r="K558" s="82">
        <f t="shared" si="24"/>
        <v>0</v>
      </c>
      <c r="L558" s="82">
        <f t="shared" si="25"/>
        <v>0</v>
      </c>
      <c r="M558" s="82">
        <f>'BOLETIM DE MEDIÇÃO 05'!G122</f>
        <v>629.38</v>
      </c>
      <c r="N558" s="86">
        <f t="shared" si="26"/>
        <v>629.38</v>
      </c>
    </row>
    <row r="559" spans="2:14" ht="56.25" hidden="1" x14ac:dyDescent="0.25">
      <c r="B559" s="50" t="s">
        <v>326</v>
      </c>
      <c r="C559" s="66">
        <v>94273</v>
      </c>
      <c r="D559" s="53" t="s">
        <v>328</v>
      </c>
      <c r="E559" s="44" t="s">
        <v>37</v>
      </c>
      <c r="F559" s="312"/>
      <c r="G559" s="121"/>
      <c r="H559" s="70"/>
      <c r="I559" s="105"/>
      <c r="J559" s="99">
        <f>'BOLETIM DE MEDIÇÃO 05'!O123-'MEMORIAL DE CALCULO 04'!K559</f>
        <v>0</v>
      </c>
      <c r="K559" s="82">
        <f t="shared" si="24"/>
        <v>0</v>
      </c>
      <c r="L559" s="82">
        <f t="shared" si="25"/>
        <v>0</v>
      </c>
      <c r="M559" s="82">
        <f>'BOLETIM DE MEDIÇÃO 05'!G123</f>
        <v>126.37</v>
      </c>
      <c r="N559" s="86">
        <f t="shared" si="26"/>
        <v>126.37</v>
      </c>
    </row>
    <row r="560" spans="2:14" ht="22.5" hidden="1" x14ac:dyDescent="0.25">
      <c r="B560" s="50" t="s">
        <v>329</v>
      </c>
      <c r="C560" s="66">
        <v>368</v>
      </c>
      <c r="D560" s="53" t="s">
        <v>331</v>
      </c>
      <c r="E560" s="44" t="s">
        <v>41</v>
      </c>
      <c r="F560" s="312"/>
      <c r="G560" s="121"/>
      <c r="H560" s="70"/>
      <c r="I560" s="105"/>
      <c r="J560" s="99">
        <f>'BOLETIM DE MEDIÇÃO 05'!O124-'MEMORIAL DE CALCULO 04'!K560</f>
        <v>0</v>
      </c>
      <c r="K560" s="82">
        <f t="shared" si="24"/>
        <v>0</v>
      </c>
      <c r="L560" s="82">
        <f t="shared" si="25"/>
        <v>0</v>
      </c>
      <c r="M560" s="82">
        <f>'BOLETIM DE MEDIÇÃO 05'!G124</f>
        <v>7.46</v>
      </c>
      <c r="N560" s="86">
        <f t="shared" si="26"/>
        <v>7.46</v>
      </c>
    </row>
    <row r="561" spans="2:14" hidden="1" x14ac:dyDescent="0.25">
      <c r="B561" s="50" t="s">
        <v>332</v>
      </c>
      <c r="C561" s="66">
        <v>98504</v>
      </c>
      <c r="D561" s="53" t="s">
        <v>334</v>
      </c>
      <c r="E561" s="44" t="s">
        <v>17</v>
      </c>
      <c r="F561" s="312"/>
      <c r="G561" s="121"/>
      <c r="H561" s="70"/>
      <c r="I561" s="105"/>
      <c r="J561" s="99">
        <f>'BOLETIM DE MEDIÇÃO 05'!O125-'MEMORIAL DE CALCULO 04'!K561</f>
        <v>0</v>
      </c>
      <c r="K561" s="82">
        <f t="shared" si="24"/>
        <v>0</v>
      </c>
      <c r="L561" s="82">
        <f t="shared" si="25"/>
        <v>0</v>
      </c>
      <c r="M561" s="82">
        <f>'BOLETIM DE MEDIÇÃO 05'!G125</f>
        <v>25.6</v>
      </c>
      <c r="N561" s="86">
        <f t="shared" si="26"/>
        <v>25.6</v>
      </c>
    </row>
    <row r="562" spans="2:14" ht="22.5" hidden="1" x14ac:dyDescent="0.25">
      <c r="B562" s="50" t="s">
        <v>335</v>
      </c>
      <c r="C562" s="66">
        <v>103913</v>
      </c>
      <c r="D562" s="53" t="s">
        <v>337</v>
      </c>
      <c r="E562" s="44" t="s">
        <v>17</v>
      </c>
      <c r="F562" s="312"/>
      <c r="G562" s="121"/>
      <c r="H562" s="70"/>
      <c r="I562" s="105"/>
      <c r="J562" s="99">
        <f>'BOLETIM DE MEDIÇÃO 05'!O126-'MEMORIAL DE CALCULO 04'!K562</f>
        <v>0</v>
      </c>
      <c r="K562" s="82">
        <f t="shared" si="24"/>
        <v>0</v>
      </c>
      <c r="L562" s="82">
        <f t="shared" si="25"/>
        <v>0</v>
      </c>
      <c r="M562" s="82">
        <f>'BOLETIM DE MEDIÇÃO 05'!G126</f>
        <v>39.6</v>
      </c>
      <c r="N562" s="86">
        <f t="shared" si="26"/>
        <v>39.6</v>
      </c>
    </row>
    <row r="563" spans="2:14" hidden="1" x14ac:dyDescent="0.25">
      <c r="B563" s="51" t="s">
        <v>338</v>
      </c>
      <c r="C563" s="71" t="s">
        <v>339</v>
      </c>
      <c r="D563" s="53"/>
      <c r="E563" s="44"/>
      <c r="F563" s="312"/>
      <c r="G563" s="121"/>
      <c r="H563" s="70"/>
      <c r="I563" s="105"/>
      <c r="J563" s="99"/>
      <c r="K563" s="82">
        <f t="shared" si="24"/>
        <v>0</v>
      </c>
      <c r="L563" s="82"/>
      <c r="M563" s="82"/>
      <c r="N563" s="86"/>
    </row>
    <row r="564" spans="2:14" ht="45" hidden="1" x14ac:dyDescent="0.25">
      <c r="B564" s="50" t="s">
        <v>340</v>
      </c>
      <c r="C564" s="66">
        <v>94207</v>
      </c>
      <c r="D564" s="53" t="s">
        <v>342</v>
      </c>
      <c r="E564" s="44" t="s">
        <v>17</v>
      </c>
      <c r="F564" s="312"/>
      <c r="G564" s="121"/>
      <c r="H564" s="70"/>
      <c r="I564" s="105"/>
      <c r="J564" s="99">
        <f>'BOLETIM DE MEDIÇÃO 05'!O128-'MEMORIAL DE CALCULO 04'!K564</f>
        <v>0</v>
      </c>
      <c r="K564" s="82">
        <f t="shared" si="24"/>
        <v>0</v>
      </c>
      <c r="L564" s="82">
        <f t="shared" si="25"/>
        <v>0</v>
      </c>
      <c r="M564" s="82">
        <f>'BOLETIM DE MEDIÇÃO 05'!G128</f>
        <v>610.20000000000005</v>
      </c>
      <c r="N564" s="86">
        <f t="shared" si="26"/>
        <v>610.20000000000005</v>
      </c>
    </row>
    <row r="565" spans="2:14" ht="33.75" hidden="1" x14ac:dyDescent="0.25">
      <c r="B565" s="50" t="s">
        <v>343</v>
      </c>
      <c r="C565" s="66">
        <v>98546</v>
      </c>
      <c r="D565" s="53" t="s">
        <v>345</v>
      </c>
      <c r="E565" s="44" t="s">
        <v>17</v>
      </c>
      <c r="F565" s="312"/>
      <c r="G565" s="121"/>
      <c r="H565" s="70"/>
      <c r="I565" s="105"/>
      <c r="J565" s="99">
        <f>'BOLETIM DE MEDIÇÃO 05'!O129-'MEMORIAL DE CALCULO 04'!K565</f>
        <v>0</v>
      </c>
      <c r="K565" s="82">
        <f t="shared" si="24"/>
        <v>0</v>
      </c>
      <c r="L565" s="82">
        <f t="shared" si="25"/>
        <v>0</v>
      </c>
      <c r="M565" s="82">
        <f>'BOLETIM DE MEDIÇÃO 05'!G129</f>
        <v>181.61</v>
      </c>
      <c r="N565" s="86">
        <f t="shared" si="26"/>
        <v>181.61</v>
      </c>
    </row>
    <row r="566" spans="2:14" ht="33.75" hidden="1" x14ac:dyDescent="0.25">
      <c r="B566" s="50" t="s">
        <v>346</v>
      </c>
      <c r="C566" s="66">
        <v>98565</v>
      </c>
      <c r="D566" s="53" t="s">
        <v>348</v>
      </c>
      <c r="E566" s="44" t="s">
        <v>17</v>
      </c>
      <c r="F566" s="312"/>
      <c r="G566" s="121"/>
      <c r="H566" s="70"/>
      <c r="I566" s="105"/>
      <c r="J566" s="99">
        <f>'BOLETIM DE MEDIÇÃO 05'!O130-'MEMORIAL DE CALCULO 04'!K566</f>
        <v>0</v>
      </c>
      <c r="K566" s="82">
        <f t="shared" si="24"/>
        <v>0</v>
      </c>
      <c r="L566" s="82">
        <f t="shared" si="25"/>
        <v>0</v>
      </c>
      <c r="M566" s="82">
        <f>'BOLETIM DE MEDIÇÃO 05'!G130</f>
        <v>181.61</v>
      </c>
      <c r="N566" s="86">
        <f t="shared" si="26"/>
        <v>181.61</v>
      </c>
    </row>
    <row r="567" spans="2:14" ht="45" hidden="1" x14ac:dyDescent="0.25">
      <c r="B567" s="50" t="s">
        <v>349</v>
      </c>
      <c r="C567" s="66">
        <v>100374</v>
      </c>
      <c r="D567" s="53" t="s">
        <v>351</v>
      </c>
      <c r="E567" s="44" t="s">
        <v>166</v>
      </c>
      <c r="F567" s="312"/>
      <c r="G567" s="121"/>
      <c r="H567" s="70"/>
      <c r="I567" s="105"/>
      <c r="J567" s="99">
        <f>'BOLETIM DE MEDIÇÃO 05'!O131-'MEMORIAL DE CALCULO 04'!K567</f>
        <v>0</v>
      </c>
      <c r="K567" s="82">
        <f t="shared" si="24"/>
        <v>0</v>
      </c>
      <c r="L567" s="82">
        <f t="shared" si="25"/>
        <v>0</v>
      </c>
      <c r="M567" s="82">
        <f>'BOLETIM DE MEDIÇÃO 05'!G131</f>
        <v>10</v>
      </c>
      <c r="N567" s="86">
        <f t="shared" si="26"/>
        <v>10</v>
      </c>
    </row>
    <row r="568" spans="2:14" ht="45" hidden="1" x14ac:dyDescent="0.25">
      <c r="B568" s="50" t="s">
        <v>352</v>
      </c>
      <c r="C568" s="66">
        <v>100375</v>
      </c>
      <c r="D568" s="53" t="s">
        <v>354</v>
      </c>
      <c r="E568" s="44" t="s">
        <v>166</v>
      </c>
      <c r="F568" s="312"/>
      <c r="G568" s="121"/>
      <c r="H568" s="70"/>
      <c r="I568" s="105"/>
      <c r="J568" s="99">
        <f>'BOLETIM DE MEDIÇÃO 05'!O132-'MEMORIAL DE CALCULO 04'!K568</f>
        <v>0</v>
      </c>
      <c r="K568" s="82">
        <f t="shared" si="24"/>
        <v>0</v>
      </c>
      <c r="L568" s="82">
        <f t="shared" si="25"/>
        <v>0</v>
      </c>
      <c r="M568" s="82">
        <f>'BOLETIM DE MEDIÇÃO 05'!G132</f>
        <v>10</v>
      </c>
      <c r="N568" s="86">
        <f t="shared" si="26"/>
        <v>10</v>
      </c>
    </row>
    <row r="569" spans="2:14" ht="45" hidden="1" x14ac:dyDescent="0.25">
      <c r="B569" s="50" t="s">
        <v>355</v>
      </c>
      <c r="C569" s="66">
        <v>92544</v>
      </c>
      <c r="D569" s="53" t="s">
        <v>357</v>
      </c>
      <c r="E569" s="44" t="s">
        <v>17</v>
      </c>
      <c r="F569" s="312"/>
      <c r="G569" s="121"/>
      <c r="H569" s="70"/>
      <c r="I569" s="105"/>
      <c r="J569" s="99">
        <f>'BOLETIM DE MEDIÇÃO 05'!O133-'MEMORIAL DE CALCULO 04'!K569</f>
        <v>0</v>
      </c>
      <c r="K569" s="82">
        <f t="shared" si="24"/>
        <v>0</v>
      </c>
      <c r="L569" s="82">
        <f t="shared" si="25"/>
        <v>0</v>
      </c>
      <c r="M569" s="82">
        <f>'BOLETIM DE MEDIÇÃO 05'!G133</f>
        <v>610.20000000000005</v>
      </c>
      <c r="N569" s="86">
        <f t="shared" si="26"/>
        <v>610.20000000000005</v>
      </c>
    </row>
    <row r="570" spans="2:14" ht="33.75" hidden="1" x14ac:dyDescent="0.25">
      <c r="B570" s="50" t="s">
        <v>358</v>
      </c>
      <c r="C570" s="66">
        <v>100435</v>
      </c>
      <c r="D570" s="53" t="s">
        <v>360</v>
      </c>
      <c r="E570" s="44" t="s">
        <v>37</v>
      </c>
      <c r="F570" s="312"/>
      <c r="G570" s="121"/>
      <c r="H570" s="70"/>
      <c r="I570" s="105"/>
      <c r="J570" s="99">
        <f>'BOLETIM DE MEDIÇÃO 05'!O134-'MEMORIAL DE CALCULO 04'!K570</f>
        <v>0</v>
      </c>
      <c r="K570" s="82">
        <f t="shared" si="24"/>
        <v>0</v>
      </c>
      <c r="L570" s="82">
        <f t="shared" si="25"/>
        <v>0</v>
      </c>
      <c r="M570" s="82">
        <f>'BOLETIM DE MEDIÇÃO 05'!G134</f>
        <v>113.1</v>
      </c>
      <c r="N570" s="86">
        <f t="shared" si="26"/>
        <v>113.1</v>
      </c>
    </row>
    <row r="571" spans="2:14" ht="33.75" hidden="1" x14ac:dyDescent="0.25">
      <c r="B571" s="50" t="s">
        <v>361</v>
      </c>
      <c r="C571" s="66">
        <v>94229</v>
      </c>
      <c r="D571" s="53" t="s">
        <v>363</v>
      </c>
      <c r="E571" s="44" t="s">
        <v>37</v>
      </c>
      <c r="F571" s="312"/>
      <c r="G571" s="121"/>
      <c r="H571" s="70"/>
      <c r="I571" s="105"/>
      <c r="J571" s="99">
        <f>'BOLETIM DE MEDIÇÃO 05'!O135-'MEMORIAL DE CALCULO 04'!K571</f>
        <v>0</v>
      </c>
      <c r="K571" s="82">
        <f t="shared" si="24"/>
        <v>0</v>
      </c>
      <c r="L571" s="82">
        <f t="shared" si="25"/>
        <v>0</v>
      </c>
      <c r="M571" s="82">
        <f>'BOLETIM DE MEDIÇÃO 05'!G135</f>
        <v>52.64</v>
      </c>
      <c r="N571" s="86">
        <f t="shared" si="26"/>
        <v>52.64</v>
      </c>
    </row>
    <row r="572" spans="2:14" ht="22.5" hidden="1" x14ac:dyDescent="0.25">
      <c r="B572" s="50" t="s">
        <v>364</v>
      </c>
      <c r="C572" s="66">
        <v>96113</v>
      </c>
      <c r="D572" s="53" t="s">
        <v>366</v>
      </c>
      <c r="E572" s="44" t="s">
        <v>17</v>
      </c>
      <c r="F572" s="312"/>
      <c r="G572" s="121"/>
      <c r="H572" s="70"/>
      <c r="I572" s="105"/>
      <c r="J572" s="99">
        <f>'BOLETIM DE MEDIÇÃO 05'!O136-'MEMORIAL DE CALCULO 04'!K572</f>
        <v>0</v>
      </c>
      <c r="K572" s="82">
        <f t="shared" si="24"/>
        <v>0</v>
      </c>
      <c r="L572" s="82">
        <f t="shared" si="25"/>
        <v>0</v>
      </c>
      <c r="M572" s="82">
        <f>'BOLETIM DE MEDIÇÃO 05'!G136</f>
        <v>634.5</v>
      </c>
      <c r="N572" s="86">
        <f t="shared" si="26"/>
        <v>634.5</v>
      </c>
    </row>
    <row r="573" spans="2:14" ht="14.45" hidden="1" customHeight="1" x14ac:dyDescent="0.25">
      <c r="B573" s="51">
        <v>1.1299999999999999</v>
      </c>
      <c r="C573" s="65" t="s">
        <v>368</v>
      </c>
      <c r="D573" s="53"/>
      <c r="E573" s="44"/>
      <c r="F573" s="312"/>
      <c r="G573" s="121"/>
      <c r="H573" s="70"/>
      <c r="I573" s="105"/>
      <c r="J573" s="99"/>
      <c r="K573" s="82">
        <f t="shared" ref="K573:K608" si="27">(F573*G573*I573)</f>
        <v>0</v>
      </c>
      <c r="L573" s="82"/>
      <c r="M573" s="82"/>
      <c r="N573" s="86"/>
    </row>
    <row r="574" spans="2:14" ht="56.25" hidden="1" x14ac:dyDescent="0.25">
      <c r="B574" s="50" t="s">
        <v>369</v>
      </c>
      <c r="C574" s="66">
        <v>91785</v>
      </c>
      <c r="D574" s="53" t="s">
        <v>371</v>
      </c>
      <c r="E574" s="44" t="s">
        <v>37</v>
      </c>
      <c r="F574" s="312"/>
      <c r="G574" s="121"/>
      <c r="H574" s="69"/>
      <c r="I574" s="105"/>
      <c r="J574" s="99">
        <f>'BOLETIM DE MEDIÇÃO 05'!O138-'MEMORIAL DE CALCULO 04'!K574</f>
        <v>0</v>
      </c>
      <c r="K574" s="82">
        <f t="shared" si="27"/>
        <v>0</v>
      </c>
      <c r="L574" s="82">
        <f t="shared" si="25"/>
        <v>0</v>
      </c>
      <c r="M574" s="82">
        <f>'BOLETIM DE MEDIÇÃO 05'!G138</f>
        <v>98.77</v>
      </c>
      <c r="N574" s="86">
        <f t="shared" si="26"/>
        <v>98.77</v>
      </c>
    </row>
    <row r="575" spans="2:14" ht="56.25" hidden="1" x14ac:dyDescent="0.25">
      <c r="B575" s="50" t="s">
        <v>372</v>
      </c>
      <c r="C575" s="66">
        <v>91784</v>
      </c>
      <c r="D575" s="53" t="s">
        <v>374</v>
      </c>
      <c r="E575" s="44" t="s">
        <v>37</v>
      </c>
      <c r="F575" s="312"/>
      <c r="G575" s="121"/>
      <c r="H575" s="69"/>
      <c r="I575" s="105"/>
      <c r="J575" s="99">
        <f>'BOLETIM DE MEDIÇÃO 05'!O139-'MEMORIAL DE CALCULO 04'!K575</f>
        <v>0</v>
      </c>
      <c r="K575" s="82">
        <f t="shared" si="27"/>
        <v>0</v>
      </c>
      <c r="L575" s="82">
        <f t="shared" si="25"/>
        <v>0</v>
      </c>
      <c r="M575" s="82">
        <f>'BOLETIM DE MEDIÇÃO 05'!G139</f>
        <v>62.17</v>
      </c>
      <c r="N575" s="86">
        <f t="shared" si="26"/>
        <v>62.17</v>
      </c>
    </row>
    <row r="576" spans="2:14" ht="56.25" hidden="1" x14ac:dyDescent="0.25">
      <c r="B576" s="50" t="s">
        <v>375</v>
      </c>
      <c r="C576" s="66">
        <v>91786</v>
      </c>
      <c r="D576" s="53" t="s">
        <v>377</v>
      </c>
      <c r="E576" s="44" t="s">
        <v>37</v>
      </c>
      <c r="F576" s="312"/>
      <c r="G576" s="121"/>
      <c r="H576" s="69"/>
      <c r="I576" s="105"/>
      <c r="J576" s="99">
        <f>'BOLETIM DE MEDIÇÃO 05'!O140-'MEMORIAL DE CALCULO 04'!K576</f>
        <v>0</v>
      </c>
      <c r="K576" s="82">
        <f t="shared" si="27"/>
        <v>0</v>
      </c>
      <c r="L576" s="82">
        <f t="shared" si="25"/>
        <v>0</v>
      </c>
      <c r="M576" s="82">
        <f>'BOLETIM DE MEDIÇÃO 05'!G140</f>
        <v>24.75</v>
      </c>
      <c r="N576" s="86">
        <f t="shared" si="26"/>
        <v>24.75</v>
      </c>
    </row>
    <row r="577" spans="2:14" ht="56.25" hidden="1" x14ac:dyDescent="0.25">
      <c r="B577" s="50" t="s">
        <v>378</v>
      </c>
      <c r="C577" s="66">
        <v>91787</v>
      </c>
      <c r="D577" s="53" t="s">
        <v>380</v>
      </c>
      <c r="E577" s="44" t="s">
        <v>37</v>
      </c>
      <c r="F577" s="312"/>
      <c r="G577" s="121"/>
      <c r="H577" s="69"/>
      <c r="I577" s="105"/>
      <c r="J577" s="99">
        <f>'BOLETIM DE MEDIÇÃO 05'!O141-'MEMORIAL DE CALCULO 04'!K577</f>
        <v>0</v>
      </c>
      <c r="K577" s="82">
        <f t="shared" si="27"/>
        <v>0</v>
      </c>
      <c r="L577" s="82">
        <f t="shared" si="25"/>
        <v>0</v>
      </c>
      <c r="M577" s="82">
        <f>'BOLETIM DE MEDIÇÃO 05'!G141</f>
        <v>25.92</v>
      </c>
      <c r="N577" s="86">
        <f t="shared" si="26"/>
        <v>25.92</v>
      </c>
    </row>
    <row r="578" spans="2:14" ht="33.75" hidden="1" x14ac:dyDescent="0.25">
      <c r="B578" s="50" t="s">
        <v>381</v>
      </c>
      <c r="C578" s="66">
        <v>89987</v>
      </c>
      <c r="D578" s="53" t="s">
        <v>383</v>
      </c>
      <c r="E578" s="44" t="s">
        <v>166</v>
      </c>
      <c r="F578" s="312"/>
      <c r="G578" s="121"/>
      <c r="H578" s="69"/>
      <c r="I578" s="105"/>
      <c r="J578" s="99">
        <f>'BOLETIM DE MEDIÇÃO 05'!O142-'MEMORIAL DE CALCULO 04'!K578</f>
        <v>0</v>
      </c>
      <c r="K578" s="82">
        <f t="shared" si="27"/>
        <v>0</v>
      </c>
      <c r="L578" s="82">
        <f t="shared" si="25"/>
        <v>0</v>
      </c>
      <c r="M578" s="82">
        <f>'BOLETIM DE MEDIÇÃO 05'!G142</f>
        <v>10</v>
      </c>
      <c r="N578" s="86">
        <f t="shared" si="26"/>
        <v>10</v>
      </c>
    </row>
    <row r="579" spans="2:14" ht="22.5" hidden="1" x14ac:dyDescent="0.25">
      <c r="B579" s="50" t="s">
        <v>384</v>
      </c>
      <c r="C579" s="66">
        <v>94490</v>
      </c>
      <c r="D579" s="53" t="s">
        <v>386</v>
      </c>
      <c r="E579" s="44" t="s">
        <v>166</v>
      </c>
      <c r="F579" s="312"/>
      <c r="G579" s="121"/>
      <c r="H579" s="69"/>
      <c r="I579" s="105"/>
      <c r="J579" s="99">
        <f>'BOLETIM DE MEDIÇÃO 05'!O143-'MEMORIAL DE CALCULO 04'!K579</f>
        <v>0</v>
      </c>
      <c r="K579" s="82">
        <f t="shared" si="27"/>
        <v>0</v>
      </c>
      <c r="L579" s="82">
        <f t="shared" ref="L579:L713" si="28">J579+K579</f>
        <v>0</v>
      </c>
      <c r="M579" s="82">
        <f>'BOLETIM DE MEDIÇÃO 05'!G143</f>
        <v>2</v>
      </c>
      <c r="N579" s="86">
        <f t="shared" ref="N579:N713" si="29">M579-L579</f>
        <v>2</v>
      </c>
    </row>
    <row r="580" spans="2:14" ht="33.75" hidden="1" x14ac:dyDescent="0.25">
      <c r="B580" s="50" t="s">
        <v>387</v>
      </c>
      <c r="C580" s="66">
        <v>89985</v>
      </c>
      <c r="D580" s="53" t="s">
        <v>389</v>
      </c>
      <c r="E580" s="44" t="s">
        <v>166</v>
      </c>
      <c r="F580" s="312"/>
      <c r="G580" s="121"/>
      <c r="H580" s="69"/>
      <c r="I580" s="105"/>
      <c r="J580" s="99">
        <f>'BOLETIM DE MEDIÇÃO 05'!O144-'MEMORIAL DE CALCULO 04'!K580</f>
        <v>0</v>
      </c>
      <c r="K580" s="82">
        <f t="shared" si="27"/>
        <v>0</v>
      </c>
      <c r="L580" s="82">
        <f t="shared" si="28"/>
        <v>0</v>
      </c>
      <c r="M580" s="82">
        <f>'BOLETIM DE MEDIÇÃO 05'!G144</f>
        <v>6</v>
      </c>
      <c r="N580" s="86">
        <f t="shared" si="29"/>
        <v>6</v>
      </c>
    </row>
    <row r="581" spans="2:14" ht="33.75" hidden="1" x14ac:dyDescent="0.25">
      <c r="B581" s="50" t="s">
        <v>390</v>
      </c>
      <c r="C581" s="66">
        <v>102613</v>
      </c>
      <c r="D581" s="53" t="s">
        <v>392</v>
      </c>
      <c r="E581" s="44" t="s">
        <v>166</v>
      </c>
      <c r="F581" s="312"/>
      <c r="G581" s="121"/>
      <c r="H581" s="69"/>
      <c r="I581" s="105"/>
      <c r="J581" s="99">
        <f>'BOLETIM DE MEDIÇÃO 05'!O145-'MEMORIAL DE CALCULO 04'!K581</f>
        <v>0</v>
      </c>
      <c r="K581" s="82">
        <f t="shared" si="27"/>
        <v>0</v>
      </c>
      <c r="L581" s="82">
        <f t="shared" si="28"/>
        <v>0</v>
      </c>
      <c r="M581" s="82">
        <f>'BOLETIM DE MEDIÇÃO 05'!G145</f>
        <v>2</v>
      </c>
      <c r="N581" s="86">
        <f t="shared" si="29"/>
        <v>2</v>
      </c>
    </row>
    <row r="582" spans="2:14" ht="22.5" hidden="1" x14ac:dyDescent="0.25">
      <c r="B582" s="50" t="s">
        <v>393</v>
      </c>
      <c r="C582" s="66">
        <v>102609</v>
      </c>
      <c r="D582" s="53" t="s">
        <v>395</v>
      </c>
      <c r="E582" s="44" t="s">
        <v>166</v>
      </c>
      <c r="F582" s="312"/>
      <c r="G582" s="121"/>
      <c r="H582" s="69"/>
      <c r="I582" s="105"/>
      <c r="J582" s="99">
        <f>'BOLETIM DE MEDIÇÃO 05'!O146-'MEMORIAL DE CALCULO 04'!K582</f>
        <v>0</v>
      </c>
      <c r="K582" s="82">
        <f t="shared" si="27"/>
        <v>0</v>
      </c>
      <c r="L582" s="82">
        <f t="shared" si="28"/>
        <v>0</v>
      </c>
      <c r="M582" s="82">
        <f>'BOLETIM DE MEDIÇÃO 05'!G146</f>
        <v>2</v>
      </c>
      <c r="N582" s="86">
        <f t="shared" si="29"/>
        <v>2</v>
      </c>
    </row>
    <row r="583" spans="2:14" ht="22.5" hidden="1" x14ac:dyDescent="0.25">
      <c r="B583" s="50" t="s">
        <v>396</v>
      </c>
      <c r="C583" s="66">
        <v>94796</v>
      </c>
      <c r="D583" s="53" t="s">
        <v>398</v>
      </c>
      <c r="E583" s="44" t="s">
        <v>166</v>
      </c>
      <c r="F583" s="312"/>
      <c r="G583" s="121"/>
      <c r="H583" s="69"/>
      <c r="I583" s="105"/>
      <c r="J583" s="99">
        <f>'BOLETIM DE MEDIÇÃO 05'!O147-'MEMORIAL DE CALCULO 04'!K583</f>
        <v>0</v>
      </c>
      <c r="K583" s="82">
        <f t="shared" si="27"/>
        <v>0</v>
      </c>
      <c r="L583" s="82">
        <f t="shared" si="28"/>
        <v>0</v>
      </c>
      <c r="M583" s="82">
        <f>'BOLETIM DE MEDIÇÃO 05'!G147</f>
        <v>4</v>
      </c>
      <c r="N583" s="86">
        <f t="shared" si="29"/>
        <v>4</v>
      </c>
    </row>
    <row r="584" spans="2:14" ht="22.5" hidden="1" x14ac:dyDescent="0.25">
      <c r="B584" s="50" t="s">
        <v>399</v>
      </c>
      <c r="C584" s="66">
        <v>94491</v>
      </c>
      <c r="D584" s="53" t="s">
        <v>401</v>
      </c>
      <c r="E584" s="44" t="s">
        <v>166</v>
      </c>
      <c r="F584" s="312"/>
      <c r="G584" s="121"/>
      <c r="H584" s="69"/>
      <c r="I584" s="105"/>
      <c r="J584" s="99">
        <f>'BOLETIM DE MEDIÇÃO 05'!O148-'MEMORIAL DE CALCULO 04'!K584</f>
        <v>0</v>
      </c>
      <c r="K584" s="82">
        <f t="shared" si="27"/>
        <v>0</v>
      </c>
      <c r="L584" s="82">
        <f t="shared" si="28"/>
        <v>0</v>
      </c>
      <c r="M584" s="82">
        <f>'BOLETIM DE MEDIÇÃO 05'!G148</f>
        <v>4</v>
      </c>
      <c r="N584" s="86">
        <f t="shared" si="29"/>
        <v>4</v>
      </c>
    </row>
    <row r="585" spans="2:14" ht="22.5" hidden="1" x14ac:dyDescent="0.25">
      <c r="B585" s="50" t="s">
        <v>402</v>
      </c>
      <c r="C585" s="66">
        <v>94492</v>
      </c>
      <c r="D585" s="53" t="s">
        <v>404</v>
      </c>
      <c r="E585" s="44" t="s">
        <v>166</v>
      </c>
      <c r="F585" s="312"/>
      <c r="G585" s="121"/>
      <c r="H585" s="69"/>
      <c r="I585" s="105"/>
      <c r="J585" s="99">
        <f>'BOLETIM DE MEDIÇÃO 05'!O149-'MEMORIAL DE CALCULO 04'!K585</f>
        <v>0</v>
      </c>
      <c r="K585" s="82">
        <f t="shared" si="27"/>
        <v>0</v>
      </c>
      <c r="L585" s="82">
        <f t="shared" si="28"/>
        <v>0</v>
      </c>
      <c r="M585" s="82">
        <f>'BOLETIM DE MEDIÇÃO 05'!G149</f>
        <v>2</v>
      </c>
      <c r="N585" s="86">
        <f t="shared" si="29"/>
        <v>2</v>
      </c>
    </row>
    <row r="586" spans="2:14" ht="22.5" hidden="1" x14ac:dyDescent="0.25">
      <c r="B586" s="50" t="s">
        <v>405</v>
      </c>
      <c r="C586" s="66">
        <v>95675</v>
      </c>
      <c r="D586" s="53" t="s">
        <v>407</v>
      </c>
      <c r="E586" s="44" t="s">
        <v>166</v>
      </c>
      <c r="F586" s="312"/>
      <c r="G586" s="121"/>
      <c r="H586" s="69"/>
      <c r="I586" s="105"/>
      <c r="J586" s="99">
        <f>'BOLETIM DE MEDIÇÃO 05'!O150-'MEMORIAL DE CALCULO 04'!K586</f>
        <v>0</v>
      </c>
      <c r="K586" s="82">
        <f t="shared" si="27"/>
        <v>0</v>
      </c>
      <c r="L586" s="82">
        <f t="shared" si="28"/>
        <v>0</v>
      </c>
      <c r="M586" s="82">
        <f>'BOLETIM DE MEDIÇÃO 05'!G150</f>
        <v>1</v>
      </c>
      <c r="N586" s="86">
        <f t="shared" si="29"/>
        <v>1</v>
      </c>
    </row>
    <row r="587" spans="2:14" ht="45" hidden="1" x14ac:dyDescent="0.25">
      <c r="B587" s="50" t="s">
        <v>408</v>
      </c>
      <c r="C587" s="66">
        <v>97902</v>
      </c>
      <c r="D587" s="53" t="s">
        <v>410</v>
      </c>
      <c r="E587" s="44" t="s">
        <v>166</v>
      </c>
      <c r="F587" s="312"/>
      <c r="G587" s="121"/>
      <c r="H587" s="69"/>
      <c r="I587" s="105"/>
      <c r="J587" s="99">
        <f>'BOLETIM DE MEDIÇÃO 05'!O151-'MEMORIAL DE CALCULO 04'!K587</f>
        <v>0</v>
      </c>
      <c r="K587" s="82">
        <f t="shared" si="27"/>
        <v>0</v>
      </c>
      <c r="L587" s="82">
        <f t="shared" si="28"/>
        <v>0</v>
      </c>
      <c r="M587" s="82">
        <f>'BOLETIM DE MEDIÇÃO 05'!G151</f>
        <v>7</v>
      </c>
      <c r="N587" s="86">
        <f t="shared" si="29"/>
        <v>7</v>
      </c>
    </row>
    <row r="588" spans="2:14" ht="45" hidden="1" x14ac:dyDescent="0.25">
      <c r="B588" s="50" t="s">
        <v>411</v>
      </c>
      <c r="C588" s="66">
        <v>99258</v>
      </c>
      <c r="D588" s="53" t="s">
        <v>413</v>
      </c>
      <c r="E588" s="44" t="s">
        <v>166</v>
      </c>
      <c r="F588" s="312"/>
      <c r="G588" s="121"/>
      <c r="H588" s="69"/>
      <c r="I588" s="105"/>
      <c r="J588" s="99">
        <f>'BOLETIM DE MEDIÇÃO 05'!O152-'MEMORIAL DE CALCULO 04'!K588</f>
        <v>0</v>
      </c>
      <c r="K588" s="82">
        <f t="shared" si="27"/>
        <v>0</v>
      </c>
      <c r="L588" s="82">
        <f t="shared" si="28"/>
        <v>0</v>
      </c>
      <c r="M588" s="82">
        <f>'BOLETIM DE MEDIÇÃO 05'!G152</f>
        <v>1</v>
      </c>
      <c r="N588" s="86">
        <f t="shared" si="29"/>
        <v>1</v>
      </c>
    </row>
    <row r="589" spans="2:14" ht="33.75" hidden="1" x14ac:dyDescent="0.25">
      <c r="B589" s="50" t="s">
        <v>414</v>
      </c>
      <c r="C589" s="66">
        <v>89482</v>
      </c>
      <c r="D589" s="53" t="s">
        <v>416</v>
      </c>
      <c r="E589" s="44" t="s">
        <v>166</v>
      </c>
      <c r="F589" s="312"/>
      <c r="G589" s="121"/>
      <c r="H589" s="69"/>
      <c r="I589" s="105"/>
      <c r="J589" s="99">
        <f>'BOLETIM DE MEDIÇÃO 05'!O153-'MEMORIAL DE CALCULO 04'!K589</f>
        <v>0</v>
      </c>
      <c r="K589" s="82">
        <f t="shared" si="27"/>
        <v>0</v>
      </c>
      <c r="L589" s="82">
        <f t="shared" si="28"/>
        <v>0</v>
      </c>
      <c r="M589" s="82">
        <f>'BOLETIM DE MEDIÇÃO 05'!G153</f>
        <v>10</v>
      </c>
      <c r="N589" s="86">
        <f t="shared" si="29"/>
        <v>10</v>
      </c>
    </row>
    <row r="590" spans="2:14" ht="56.25" hidden="1" x14ac:dyDescent="0.25">
      <c r="B590" s="50" t="s">
        <v>417</v>
      </c>
      <c r="C590" s="66">
        <v>91792</v>
      </c>
      <c r="D590" s="53" t="s">
        <v>419</v>
      </c>
      <c r="E590" s="44" t="s">
        <v>37</v>
      </c>
      <c r="F590" s="312"/>
      <c r="G590" s="121"/>
      <c r="H590" s="69"/>
      <c r="I590" s="105"/>
      <c r="J590" s="99">
        <f>'BOLETIM DE MEDIÇÃO 05'!O154-'MEMORIAL DE CALCULO 04'!K590</f>
        <v>0</v>
      </c>
      <c r="K590" s="82">
        <f t="shared" si="27"/>
        <v>0</v>
      </c>
      <c r="L590" s="82">
        <f t="shared" si="28"/>
        <v>0</v>
      </c>
      <c r="M590" s="82">
        <f>'BOLETIM DE MEDIÇÃO 05'!G154</f>
        <v>38.85</v>
      </c>
      <c r="N590" s="86">
        <f t="shared" si="29"/>
        <v>38.85</v>
      </c>
    </row>
    <row r="591" spans="2:14" ht="56.25" hidden="1" x14ac:dyDescent="0.25">
      <c r="B591" s="50" t="s">
        <v>420</v>
      </c>
      <c r="C591" s="66">
        <v>91793</v>
      </c>
      <c r="D591" s="53" t="s">
        <v>422</v>
      </c>
      <c r="E591" s="44" t="s">
        <v>37</v>
      </c>
      <c r="F591" s="312"/>
      <c r="G591" s="121"/>
      <c r="H591" s="69"/>
      <c r="I591" s="105"/>
      <c r="J591" s="99">
        <f>'BOLETIM DE MEDIÇÃO 05'!O155-'MEMORIAL DE CALCULO 04'!K591</f>
        <v>0</v>
      </c>
      <c r="K591" s="82">
        <f t="shared" si="27"/>
        <v>0</v>
      </c>
      <c r="L591" s="82">
        <f t="shared" si="28"/>
        <v>0</v>
      </c>
      <c r="M591" s="82">
        <f>'BOLETIM DE MEDIÇÃO 05'!G155</f>
        <v>46.51</v>
      </c>
      <c r="N591" s="86">
        <f t="shared" si="29"/>
        <v>46.51</v>
      </c>
    </row>
    <row r="592" spans="2:14" ht="45" hidden="1" x14ac:dyDescent="0.25">
      <c r="B592" s="50" t="s">
        <v>423</v>
      </c>
      <c r="C592" s="66">
        <v>98107</v>
      </c>
      <c r="D592" s="53" t="s">
        <v>425</v>
      </c>
      <c r="E592" s="44" t="s">
        <v>166</v>
      </c>
      <c r="F592" s="312"/>
      <c r="G592" s="121"/>
      <c r="H592" s="69"/>
      <c r="I592" s="105"/>
      <c r="J592" s="99">
        <f>'BOLETIM DE MEDIÇÃO 05'!O156-'MEMORIAL DE CALCULO 04'!K592</f>
        <v>0</v>
      </c>
      <c r="K592" s="82">
        <f t="shared" si="27"/>
        <v>0</v>
      </c>
      <c r="L592" s="82">
        <f t="shared" si="28"/>
        <v>0</v>
      </c>
      <c r="M592" s="82">
        <f>'BOLETIM DE MEDIÇÃO 05'!G156</f>
        <v>1</v>
      </c>
      <c r="N592" s="86">
        <f t="shared" si="29"/>
        <v>1</v>
      </c>
    </row>
    <row r="593" spans="2:14" ht="56.25" hidden="1" x14ac:dyDescent="0.25">
      <c r="B593" s="50" t="s">
        <v>426</v>
      </c>
      <c r="C593" s="66">
        <v>91795</v>
      </c>
      <c r="D593" s="53" t="s">
        <v>428</v>
      </c>
      <c r="E593" s="44" t="s">
        <v>37</v>
      </c>
      <c r="F593" s="312"/>
      <c r="G593" s="121"/>
      <c r="H593" s="69"/>
      <c r="I593" s="105"/>
      <c r="J593" s="99">
        <f>'BOLETIM DE MEDIÇÃO 05'!O157-'MEMORIAL DE CALCULO 04'!K593</f>
        <v>0</v>
      </c>
      <c r="K593" s="82">
        <f t="shared" si="27"/>
        <v>0</v>
      </c>
      <c r="L593" s="82">
        <f t="shared" si="28"/>
        <v>0</v>
      </c>
      <c r="M593" s="82">
        <f>'BOLETIM DE MEDIÇÃO 05'!G157</f>
        <v>132.77000000000001</v>
      </c>
      <c r="N593" s="86">
        <f t="shared" si="29"/>
        <v>132.77000000000001</v>
      </c>
    </row>
    <row r="594" spans="2:14" ht="45" hidden="1" x14ac:dyDescent="0.25">
      <c r="B594" s="50" t="s">
        <v>429</v>
      </c>
      <c r="C594" s="68">
        <v>99251</v>
      </c>
      <c r="D594" s="67" t="s">
        <v>431</v>
      </c>
      <c r="E594" s="44" t="s">
        <v>166</v>
      </c>
      <c r="F594" s="312"/>
      <c r="G594" s="121"/>
      <c r="H594" s="69"/>
      <c r="I594" s="105"/>
      <c r="J594" s="99">
        <f>'BOLETIM DE MEDIÇÃO 05'!O158-'MEMORIAL DE CALCULO 04'!K594</f>
        <v>0</v>
      </c>
      <c r="K594" s="82">
        <f t="shared" si="27"/>
        <v>0</v>
      </c>
      <c r="L594" s="82">
        <f t="shared" si="28"/>
        <v>0</v>
      </c>
      <c r="M594" s="82">
        <f>'BOLETIM DE MEDIÇÃO 05'!G158</f>
        <v>2</v>
      </c>
      <c r="N594" s="86">
        <f t="shared" si="29"/>
        <v>2</v>
      </c>
    </row>
    <row r="595" spans="2:14" ht="56.25" hidden="1" x14ac:dyDescent="0.25">
      <c r="B595" s="50" t="s">
        <v>432</v>
      </c>
      <c r="C595" s="68">
        <v>91790</v>
      </c>
      <c r="D595" s="67" t="s">
        <v>434</v>
      </c>
      <c r="E595" s="44" t="s">
        <v>37</v>
      </c>
      <c r="F595" s="312"/>
      <c r="G595" s="121"/>
      <c r="H595" s="69"/>
      <c r="I595" s="105"/>
      <c r="J595" s="99">
        <f>'BOLETIM DE MEDIÇÃO 05'!O159-'MEMORIAL DE CALCULO 04'!K595</f>
        <v>0</v>
      </c>
      <c r="K595" s="82">
        <f t="shared" si="27"/>
        <v>0</v>
      </c>
      <c r="L595" s="82">
        <f t="shared" si="28"/>
        <v>0</v>
      </c>
      <c r="M595" s="82">
        <f>'BOLETIM DE MEDIÇÃO 05'!G159</f>
        <v>43.01</v>
      </c>
      <c r="N595" s="86">
        <f t="shared" si="29"/>
        <v>43.01</v>
      </c>
    </row>
    <row r="596" spans="2:14" ht="14.45" hidden="1" customHeight="1" x14ac:dyDescent="0.25">
      <c r="B596" s="51">
        <v>1.1399999999999999</v>
      </c>
      <c r="C596" s="65" t="s">
        <v>436</v>
      </c>
      <c r="D596" s="53"/>
      <c r="E596" s="44"/>
      <c r="F596" s="130"/>
      <c r="G596" s="121"/>
      <c r="H596" s="70"/>
      <c r="I596" s="105"/>
      <c r="J596" s="99"/>
      <c r="K596" s="82">
        <f t="shared" si="27"/>
        <v>0</v>
      </c>
      <c r="L596" s="82"/>
      <c r="M596" s="82"/>
      <c r="N596" s="86"/>
    </row>
    <row r="597" spans="2:14" ht="22.5" hidden="1" x14ac:dyDescent="0.25">
      <c r="B597" s="50" t="s">
        <v>437</v>
      </c>
      <c r="C597" s="59" t="s">
        <v>438</v>
      </c>
      <c r="D597" s="53" t="s">
        <v>439</v>
      </c>
      <c r="E597" s="44" t="s">
        <v>17</v>
      </c>
      <c r="F597" s="130"/>
      <c r="G597" s="121"/>
      <c r="H597" s="70"/>
      <c r="I597" s="105"/>
      <c r="J597" s="99">
        <f>'BOLETIM DE MEDIÇÃO 05'!O161-'MEMORIAL DE CALCULO 04'!K597</f>
        <v>0</v>
      </c>
      <c r="K597" s="82">
        <f t="shared" si="27"/>
        <v>0</v>
      </c>
      <c r="L597" s="82">
        <f t="shared" si="28"/>
        <v>0</v>
      </c>
      <c r="M597" s="82">
        <f>'BOLETIM DE MEDIÇÃO 05'!G161</f>
        <v>14.07</v>
      </c>
      <c r="N597" s="86">
        <f t="shared" si="29"/>
        <v>14.07</v>
      </c>
    </row>
    <row r="598" spans="2:14" ht="33.75" hidden="1" x14ac:dyDescent="0.25">
      <c r="B598" s="50" t="s">
        <v>440</v>
      </c>
      <c r="C598" s="68">
        <v>86906</v>
      </c>
      <c r="D598" s="67" t="s">
        <v>442</v>
      </c>
      <c r="E598" s="44" t="s">
        <v>166</v>
      </c>
      <c r="F598" s="313"/>
      <c r="G598" s="121"/>
      <c r="H598" s="44"/>
      <c r="I598" s="105"/>
      <c r="J598" s="99">
        <f>'BOLETIM DE MEDIÇÃO 05'!O162-'MEMORIAL DE CALCULO 04'!K598</f>
        <v>0</v>
      </c>
      <c r="K598" s="82">
        <f t="shared" si="27"/>
        <v>0</v>
      </c>
      <c r="L598" s="82">
        <f t="shared" si="28"/>
        <v>0</v>
      </c>
      <c r="M598" s="82">
        <f>'BOLETIM DE MEDIÇÃO 05'!G162</f>
        <v>10</v>
      </c>
      <c r="N598" s="86">
        <f t="shared" si="29"/>
        <v>10</v>
      </c>
    </row>
    <row r="599" spans="2:14" ht="33.75" hidden="1" x14ac:dyDescent="0.25">
      <c r="B599" s="50" t="s">
        <v>443</v>
      </c>
      <c r="C599" s="66">
        <v>86911</v>
      </c>
      <c r="D599" s="53" t="s">
        <v>445</v>
      </c>
      <c r="E599" s="44" t="s">
        <v>166</v>
      </c>
      <c r="F599" s="130"/>
      <c r="G599" s="121"/>
      <c r="H599" s="70"/>
      <c r="I599" s="105"/>
      <c r="J599" s="99">
        <f>'BOLETIM DE MEDIÇÃO 05'!O163-'MEMORIAL DE CALCULO 04'!K599</f>
        <v>0</v>
      </c>
      <c r="K599" s="82">
        <f t="shared" si="27"/>
        <v>0</v>
      </c>
      <c r="L599" s="82">
        <f t="shared" si="28"/>
        <v>0</v>
      </c>
      <c r="M599" s="82">
        <f>'BOLETIM DE MEDIÇÃO 05'!G163</f>
        <v>3</v>
      </c>
      <c r="N599" s="86">
        <f t="shared" si="29"/>
        <v>3</v>
      </c>
    </row>
    <row r="600" spans="2:14" ht="33.75" hidden="1" x14ac:dyDescent="0.25">
      <c r="B600" s="50" t="s">
        <v>446</v>
      </c>
      <c r="C600" s="66">
        <v>10428</v>
      </c>
      <c r="D600" s="53" t="s">
        <v>448</v>
      </c>
      <c r="E600" s="44" t="s">
        <v>166</v>
      </c>
      <c r="F600" s="130"/>
      <c r="G600" s="121"/>
      <c r="H600" s="70"/>
      <c r="I600" s="105"/>
      <c r="J600" s="99">
        <f>'BOLETIM DE MEDIÇÃO 05'!O164-'MEMORIAL DE CALCULO 04'!K600</f>
        <v>0</v>
      </c>
      <c r="K600" s="82">
        <f t="shared" si="27"/>
        <v>0</v>
      </c>
      <c r="L600" s="82">
        <f t="shared" si="28"/>
        <v>0</v>
      </c>
      <c r="M600" s="82">
        <f>'BOLETIM DE MEDIÇÃO 05'!G164</f>
        <v>8</v>
      </c>
      <c r="N600" s="86">
        <f t="shared" si="29"/>
        <v>8</v>
      </c>
    </row>
    <row r="601" spans="2:14" ht="45" hidden="1" x14ac:dyDescent="0.25">
      <c r="B601" s="50" t="s">
        <v>449</v>
      </c>
      <c r="C601" s="66">
        <v>86932</v>
      </c>
      <c r="D601" s="53" t="s">
        <v>451</v>
      </c>
      <c r="E601" s="44" t="s">
        <v>166</v>
      </c>
      <c r="F601" s="130"/>
      <c r="G601" s="121"/>
      <c r="H601" s="70"/>
      <c r="I601" s="105"/>
      <c r="J601" s="99">
        <f>'BOLETIM DE MEDIÇÃO 05'!O165-'MEMORIAL DE CALCULO 04'!K601</f>
        <v>0</v>
      </c>
      <c r="K601" s="82">
        <f t="shared" si="27"/>
        <v>0</v>
      </c>
      <c r="L601" s="82">
        <f t="shared" si="28"/>
        <v>0</v>
      </c>
      <c r="M601" s="82">
        <f>'BOLETIM DE MEDIÇÃO 05'!G165</f>
        <v>9</v>
      </c>
      <c r="N601" s="86">
        <f t="shared" si="29"/>
        <v>9</v>
      </c>
    </row>
    <row r="602" spans="2:14" ht="45" hidden="1" x14ac:dyDescent="0.25">
      <c r="B602" s="50" t="s">
        <v>452</v>
      </c>
      <c r="C602" s="66">
        <v>86935</v>
      </c>
      <c r="D602" s="53" t="s">
        <v>454</v>
      </c>
      <c r="E602" s="44" t="s">
        <v>166</v>
      </c>
      <c r="F602" s="130"/>
      <c r="G602" s="121"/>
      <c r="H602" s="70"/>
      <c r="I602" s="105"/>
      <c r="J602" s="99">
        <f>'BOLETIM DE MEDIÇÃO 05'!O166-'MEMORIAL DE CALCULO 04'!K602</f>
        <v>0</v>
      </c>
      <c r="K602" s="82">
        <f t="shared" si="27"/>
        <v>0</v>
      </c>
      <c r="L602" s="82">
        <f t="shared" si="28"/>
        <v>0</v>
      </c>
      <c r="M602" s="82">
        <f>'BOLETIM DE MEDIÇÃO 05'!G166</f>
        <v>2</v>
      </c>
      <c r="N602" s="86">
        <f t="shared" si="29"/>
        <v>2</v>
      </c>
    </row>
    <row r="603" spans="2:14" ht="33.75" hidden="1" x14ac:dyDescent="0.25">
      <c r="B603" s="50" t="s">
        <v>455</v>
      </c>
      <c r="C603" s="66">
        <v>100868</v>
      </c>
      <c r="D603" s="53" t="s">
        <v>457</v>
      </c>
      <c r="E603" s="44" t="s">
        <v>166</v>
      </c>
      <c r="F603" s="130"/>
      <c r="G603" s="121"/>
      <c r="H603" s="70"/>
      <c r="I603" s="105"/>
      <c r="J603" s="99">
        <f>'BOLETIM DE MEDIÇÃO 05'!O167-'MEMORIAL DE CALCULO 04'!K603</f>
        <v>0</v>
      </c>
      <c r="K603" s="82">
        <f t="shared" si="27"/>
        <v>0</v>
      </c>
      <c r="L603" s="82">
        <f t="shared" si="28"/>
        <v>0</v>
      </c>
      <c r="M603" s="82">
        <f>'BOLETIM DE MEDIÇÃO 05'!G167</f>
        <v>2</v>
      </c>
      <c r="N603" s="86">
        <f t="shared" si="29"/>
        <v>2</v>
      </c>
    </row>
    <row r="604" spans="2:14" ht="56.25" hidden="1" x14ac:dyDescent="0.25">
      <c r="B604" s="50" t="s">
        <v>458</v>
      </c>
      <c r="C604" s="66">
        <v>86942</v>
      </c>
      <c r="D604" s="53" t="s">
        <v>460</v>
      </c>
      <c r="E604" s="44" t="s">
        <v>166</v>
      </c>
      <c r="F604" s="130"/>
      <c r="G604" s="121"/>
      <c r="H604" s="70"/>
      <c r="I604" s="105"/>
      <c r="J604" s="99">
        <f>'BOLETIM DE MEDIÇÃO 05'!O168-'MEMORIAL DE CALCULO 04'!K604</f>
        <v>0</v>
      </c>
      <c r="K604" s="82">
        <f t="shared" si="27"/>
        <v>0</v>
      </c>
      <c r="L604" s="82">
        <f t="shared" si="28"/>
        <v>0</v>
      </c>
      <c r="M604" s="82">
        <f>'BOLETIM DE MEDIÇÃO 05'!G168</f>
        <v>1</v>
      </c>
      <c r="N604" s="86">
        <f t="shared" si="29"/>
        <v>1</v>
      </c>
    </row>
    <row r="605" spans="2:14" ht="56.25" hidden="1" x14ac:dyDescent="0.25">
      <c r="B605" s="50" t="s">
        <v>461</v>
      </c>
      <c r="C605" s="66">
        <v>86923</v>
      </c>
      <c r="D605" s="53" t="s">
        <v>463</v>
      </c>
      <c r="E605" s="44" t="s">
        <v>166</v>
      </c>
      <c r="F605" s="130"/>
      <c r="G605" s="121"/>
      <c r="H605" s="70"/>
      <c r="I605" s="105"/>
      <c r="J605" s="99">
        <f>'BOLETIM DE MEDIÇÃO 05'!O169-'MEMORIAL DE CALCULO 04'!K605</f>
        <v>0</v>
      </c>
      <c r="K605" s="82">
        <f t="shared" si="27"/>
        <v>0</v>
      </c>
      <c r="L605" s="82">
        <f t="shared" si="28"/>
        <v>0</v>
      </c>
      <c r="M605" s="82">
        <f>'BOLETIM DE MEDIÇÃO 05'!G169</f>
        <v>1</v>
      </c>
      <c r="N605" s="86">
        <f t="shared" si="29"/>
        <v>1</v>
      </c>
    </row>
    <row r="606" spans="2:14" ht="45" hidden="1" x14ac:dyDescent="0.25">
      <c r="B606" s="50" t="s">
        <v>464</v>
      </c>
      <c r="C606" s="66">
        <v>95472</v>
      </c>
      <c r="D606" s="53" t="s">
        <v>466</v>
      </c>
      <c r="E606" s="44" t="s">
        <v>166</v>
      </c>
      <c r="F606" s="130"/>
      <c r="G606" s="121"/>
      <c r="H606" s="70"/>
      <c r="I606" s="105"/>
      <c r="J606" s="99">
        <f>'BOLETIM DE MEDIÇÃO 05'!O170-'MEMORIAL DE CALCULO 04'!K606</f>
        <v>0</v>
      </c>
      <c r="K606" s="82">
        <f t="shared" si="27"/>
        <v>0</v>
      </c>
      <c r="L606" s="82">
        <f t="shared" si="28"/>
        <v>0</v>
      </c>
      <c r="M606" s="82">
        <f>'BOLETIM DE MEDIÇÃO 05'!G170</f>
        <v>1</v>
      </c>
      <c r="N606" s="86">
        <f t="shared" si="29"/>
        <v>1</v>
      </c>
    </row>
    <row r="607" spans="2:14" ht="33.75" hidden="1" x14ac:dyDescent="0.25">
      <c r="B607" s="50" t="s">
        <v>467</v>
      </c>
      <c r="C607" s="66">
        <v>102253</v>
      </c>
      <c r="D607" s="53" t="s">
        <v>469</v>
      </c>
      <c r="E607" s="44" t="s">
        <v>17</v>
      </c>
      <c r="F607" s="130"/>
      <c r="G607" s="121"/>
      <c r="H607" s="70"/>
      <c r="I607" s="105"/>
      <c r="J607" s="99">
        <f>'BOLETIM DE MEDIÇÃO 05'!O171-'MEMORIAL DE CALCULO 04'!K607</f>
        <v>0</v>
      </c>
      <c r="K607" s="82">
        <f t="shared" si="27"/>
        <v>0</v>
      </c>
      <c r="L607" s="82">
        <f t="shared" si="28"/>
        <v>0</v>
      </c>
      <c r="M607" s="82">
        <f>'BOLETIM DE MEDIÇÃO 05'!G171</f>
        <v>33.92</v>
      </c>
      <c r="N607" s="86">
        <f t="shared" si="29"/>
        <v>33.92</v>
      </c>
    </row>
    <row r="608" spans="2:14" ht="22.5" hidden="1" x14ac:dyDescent="0.25">
      <c r="B608" s="50" t="s">
        <v>470</v>
      </c>
      <c r="C608" s="66">
        <v>100860</v>
      </c>
      <c r="D608" s="53" t="s">
        <v>472</v>
      </c>
      <c r="E608" s="44" t="s">
        <v>166</v>
      </c>
      <c r="F608" s="130"/>
      <c r="G608" s="121"/>
      <c r="H608" s="70"/>
      <c r="I608" s="105"/>
      <c r="J608" s="99">
        <f>'BOLETIM DE MEDIÇÃO 05'!O172-'MEMORIAL DE CALCULO 04'!K608</f>
        <v>0</v>
      </c>
      <c r="K608" s="82">
        <f t="shared" si="27"/>
        <v>0</v>
      </c>
      <c r="L608" s="82">
        <f t="shared" si="28"/>
        <v>0</v>
      </c>
      <c r="M608" s="82">
        <f>'BOLETIM DE MEDIÇÃO 05'!G172</f>
        <v>4</v>
      </c>
      <c r="N608" s="86">
        <f t="shared" si="29"/>
        <v>4</v>
      </c>
    </row>
    <row r="609" spans="2:14" ht="14.45" customHeight="1" x14ac:dyDescent="0.25">
      <c r="B609" s="51">
        <v>1.1499999999999999</v>
      </c>
      <c r="C609" s="65" t="s">
        <v>474</v>
      </c>
      <c r="D609" s="53"/>
      <c r="E609" s="44"/>
      <c r="F609" s="130"/>
      <c r="G609" s="469"/>
      <c r="H609" s="469"/>
      <c r="I609" s="470"/>
      <c r="J609" s="99"/>
      <c r="K609" s="81"/>
      <c r="L609" s="82"/>
      <c r="M609" s="82"/>
      <c r="N609" s="86"/>
    </row>
    <row r="610" spans="2:14" ht="33.75" hidden="1" x14ac:dyDescent="0.25">
      <c r="B610" s="50" t="s">
        <v>475</v>
      </c>
      <c r="C610" s="66">
        <v>99059</v>
      </c>
      <c r="D610" s="53" t="s">
        <v>36</v>
      </c>
      <c r="E610" s="44" t="s">
        <v>37</v>
      </c>
      <c r="F610" s="95">
        <v>1</v>
      </c>
      <c r="G610" s="106">
        <v>130.85</v>
      </c>
      <c r="H610" s="70"/>
      <c r="I610" s="105"/>
      <c r="J610" s="99">
        <f>'BOLETIM DE MEDIÇÃO 05'!O174-'MEMORIAL DE CALCULO 04'!K610</f>
        <v>0</v>
      </c>
      <c r="K610" s="81">
        <f>F610*G610</f>
        <v>130.85</v>
      </c>
      <c r="L610" s="82">
        <f t="shared" si="28"/>
        <v>130.85</v>
      </c>
      <c r="M610" s="82">
        <f>'BOLETIM DE MEDIÇÃO 05'!G174</f>
        <v>130.85</v>
      </c>
      <c r="N610" s="86">
        <f t="shared" si="29"/>
        <v>0</v>
      </c>
    </row>
    <row r="611" spans="2:14" ht="22.5" hidden="1" x14ac:dyDescent="0.25">
      <c r="B611" s="50" t="s">
        <v>476</v>
      </c>
      <c r="C611" s="66">
        <v>93358</v>
      </c>
      <c r="D611" s="53" t="s">
        <v>40</v>
      </c>
      <c r="E611" s="44" t="s">
        <v>41</v>
      </c>
      <c r="F611" s="95"/>
      <c r="G611" s="106"/>
      <c r="H611" s="70"/>
      <c r="I611" s="105"/>
      <c r="J611" s="99">
        <f>'BOLETIM DE MEDIÇÃO 05'!O175-'MEMORIAL DE CALCULO 04'!K611</f>
        <v>3.9520000000052846E-3</v>
      </c>
      <c r="K611" s="81">
        <f>SUM(K612:K613)</f>
        <v>32.676047999999994</v>
      </c>
      <c r="L611" s="82">
        <f t="shared" si="28"/>
        <v>32.68</v>
      </c>
      <c r="M611" s="82">
        <f>'BOLETIM DE MEDIÇÃO 05'!G175</f>
        <v>32.68</v>
      </c>
      <c r="N611" s="86">
        <f t="shared" si="29"/>
        <v>0</v>
      </c>
    </row>
    <row r="612" spans="2:14" hidden="1" x14ac:dyDescent="0.25">
      <c r="B612" s="50"/>
      <c r="C612" s="66"/>
      <c r="D612" s="118" t="s">
        <v>577</v>
      </c>
      <c r="E612" s="44"/>
      <c r="F612" s="95">
        <v>43</v>
      </c>
      <c r="G612" s="106">
        <v>0.6</v>
      </c>
      <c r="H612" s="70">
        <v>0.6</v>
      </c>
      <c r="I612" s="105">
        <v>1.3501000000000001</v>
      </c>
      <c r="J612" s="99"/>
      <c r="K612" s="82">
        <f>F612*(G612*H612*I612)</f>
        <v>20.899547999999999</v>
      </c>
      <c r="L612" s="82"/>
      <c r="M612" s="82"/>
      <c r="N612" s="86"/>
    </row>
    <row r="613" spans="2:14" hidden="1" x14ac:dyDescent="0.25">
      <c r="B613" s="50"/>
      <c r="C613" s="66"/>
      <c r="D613" s="118" t="s">
        <v>578</v>
      </c>
      <c r="E613" s="44"/>
      <c r="F613" s="95">
        <v>1</v>
      </c>
      <c r="G613" s="106">
        <v>130.85</v>
      </c>
      <c r="H613" s="70">
        <v>0.3</v>
      </c>
      <c r="I613" s="105">
        <v>0.3</v>
      </c>
      <c r="J613" s="99"/>
      <c r="K613" s="82">
        <f>F613*(G613*H613*I613)</f>
        <v>11.776499999999999</v>
      </c>
      <c r="L613" s="82"/>
      <c r="M613" s="82"/>
      <c r="N613" s="86"/>
    </row>
    <row r="614" spans="2:14" hidden="1" x14ac:dyDescent="0.25">
      <c r="B614" s="50" t="s">
        <v>477</v>
      </c>
      <c r="C614" s="66">
        <v>96995</v>
      </c>
      <c r="D614" s="53" t="s">
        <v>44</v>
      </c>
      <c r="E614" s="44" t="s">
        <v>41</v>
      </c>
      <c r="F614" s="95"/>
      <c r="G614" s="106"/>
      <c r="H614" s="70"/>
      <c r="I614" s="105"/>
      <c r="J614" s="99">
        <f>'BOLETIM DE MEDIÇÃO 05'!O176-'MEMORIAL DE CALCULO 04'!K614</f>
        <v>0</v>
      </c>
      <c r="K614" s="81">
        <f>G615</f>
        <v>11.01</v>
      </c>
      <c r="L614" s="82">
        <f t="shared" si="28"/>
        <v>11.01</v>
      </c>
      <c r="M614" s="82">
        <f>'BOLETIM DE MEDIÇÃO 05'!G176</f>
        <v>11.01</v>
      </c>
      <c r="N614" s="86">
        <f t="shared" si="29"/>
        <v>0</v>
      </c>
    </row>
    <row r="615" spans="2:14" hidden="1" x14ac:dyDescent="0.25">
      <c r="B615" s="50"/>
      <c r="C615" s="66"/>
      <c r="D615" s="118" t="s">
        <v>708</v>
      </c>
      <c r="E615" s="44"/>
      <c r="F615" s="95">
        <v>1</v>
      </c>
      <c r="G615" s="468">
        <v>11.01</v>
      </c>
      <c r="H615" s="469"/>
      <c r="I615" s="470"/>
      <c r="J615" s="99"/>
      <c r="K615" s="81"/>
      <c r="L615" s="82"/>
      <c r="M615" s="82"/>
      <c r="N615" s="86"/>
    </row>
    <row r="616" spans="2:14" hidden="1" x14ac:dyDescent="0.25">
      <c r="B616" s="50"/>
      <c r="C616" s="66"/>
      <c r="D616" s="118"/>
      <c r="E616" s="44"/>
      <c r="F616" s="95"/>
      <c r="G616" s="106"/>
      <c r="H616" s="70"/>
      <c r="I616" s="105"/>
      <c r="J616" s="99"/>
      <c r="K616" s="81"/>
      <c r="L616" s="82"/>
      <c r="M616" s="82"/>
      <c r="N616" s="86"/>
    </row>
    <row r="617" spans="2:14" ht="22.5" x14ac:dyDescent="0.25">
      <c r="B617" s="50" t="s">
        <v>478</v>
      </c>
      <c r="C617" s="166">
        <v>93205</v>
      </c>
      <c r="D617" s="53" t="s">
        <v>480</v>
      </c>
      <c r="E617" s="44" t="s">
        <v>37</v>
      </c>
      <c r="F617" s="95"/>
      <c r="G617" s="468"/>
      <c r="H617" s="469"/>
      <c r="I617" s="470"/>
      <c r="J617" s="99">
        <v>0</v>
      </c>
      <c r="K617" s="81">
        <f>G619*F619</f>
        <v>42.8</v>
      </c>
      <c r="L617" s="82">
        <f t="shared" si="28"/>
        <v>42.8</v>
      </c>
      <c r="M617" s="82">
        <f>'BOLETIM DE MEDIÇÃO 05'!G177</f>
        <v>244.5</v>
      </c>
      <c r="N617" s="86">
        <f t="shared" si="29"/>
        <v>201.7</v>
      </c>
    </row>
    <row r="618" spans="2:14" hidden="1" x14ac:dyDescent="0.25">
      <c r="B618" s="50"/>
      <c r="C618" s="166"/>
      <c r="D618" s="187" t="s">
        <v>785</v>
      </c>
      <c r="E618" s="44"/>
      <c r="F618" s="95">
        <v>1</v>
      </c>
      <c r="G618" s="468">
        <v>67.27</v>
      </c>
      <c r="H618" s="469"/>
      <c r="I618" s="470"/>
      <c r="J618" s="99"/>
      <c r="K618" s="81"/>
      <c r="L618" s="82"/>
      <c r="M618" s="82"/>
      <c r="N618" s="86"/>
    </row>
    <row r="619" spans="2:14" x14ac:dyDescent="0.25">
      <c r="B619" s="50"/>
      <c r="C619" s="166"/>
      <c r="D619" s="187" t="s">
        <v>785</v>
      </c>
      <c r="E619" s="44"/>
      <c r="F619" s="95">
        <v>1</v>
      </c>
      <c r="G619" s="468">
        <v>42.8</v>
      </c>
      <c r="H619" s="469"/>
      <c r="I619" s="470"/>
      <c r="J619" s="99"/>
      <c r="K619" s="81"/>
      <c r="L619" s="82"/>
      <c r="M619" s="82"/>
      <c r="N619" s="86"/>
    </row>
    <row r="620" spans="2:14" ht="22.5" hidden="1" x14ac:dyDescent="0.25">
      <c r="B620" s="50" t="s">
        <v>481</v>
      </c>
      <c r="C620" s="166">
        <v>101616</v>
      </c>
      <c r="D620" s="53" t="s">
        <v>55</v>
      </c>
      <c r="E620" s="44" t="s">
        <v>17</v>
      </c>
      <c r="F620" s="95">
        <v>8</v>
      </c>
      <c r="G620" s="106">
        <v>0.6</v>
      </c>
      <c r="H620" s="70">
        <v>0.6</v>
      </c>
      <c r="I620" s="105"/>
      <c r="J620" s="99">
        <f>'BOLETIM DE MEDIÇÃO 05'!O178-'MEMORIAL DE CALCULO 04'!K620</f>
        <v>12.600000000000001</v>
      </c>
      <c r="K620" s="81">
        <f>(F620*G620*H620)</f>
        <v>2.88</v>
      </c>
      <c r="L620" s="82">
        <f t="shared" si="28"/>
        <v>15.48</v>
      </c>
      <c r="M620" s="82">
        <f>'BOLETIM DE MEDIÇÃO 05'!G178</f>
        <v>15.48</v>
      </c>
      <c r="N620" s="86">
        <f t="shared" si="29"/>
        <v>0</v>
      </c>
    </row>
    <row r="621" spans="2:14" ht="33.75" hidden="1" x14ac:dyDescent="0.25">
      <c r="B621" s="50" t="s">
        <v>482</v>
      </c>
      <c r="C621" s="166">
        <v>96619</v>
      </c>
      <c r="D621" s="53" t="s">
        <v>58</v>
      </c>
      <c r="E621" s="44" t="s">
        <v>17</v>
      </c>
      <c r="F621" s="95">
        <v>8</v>
      </c>
      <c r="G621" s="106">
        <v>0.6</v>
      </c>
      <c r="H621" s="70">
        <v>0.6</v>
      </c>
      <c r="I621" s="105"/>
      <c r="J621" s="99">
        <f>'BOLETIM DE MEDIÇÃO 05'!O179-'MEMORIAL DE CALCULO 04'!K621</f>
        <v>12.600000000000001</v>
      </c>
      <c r="K621" s="81">
        <f>(F621*G621*H621)</f>
        <v>2.88</v>
      </c>
      <c r="L621" s="82">
        <f t="shared" si="28"/>
        <v>15.48</v>
      </c>
      <c r="M621" s="82">
        <f>'BOLETIM DE MEDIÇÃO 05'!G179</f>
        <v>15.48</v>
      </c>
      <c r="N621" s="86">
        <f t="shared" si="29"/>
        <v>0</v>
      </c>
    </row>
    <row r="622" spans="2:14" ht="22.5" hidden="1" x14ac:dyDescent="0.25">
      <c r="B622" s="50" t="s">
        <v>483</v>
      </c>
      <c r="C622" s="166">
        <v>96545</v>
      </c>
      <c r="D622" s="67" t="s">
        <v>61</v>
      </c>
      <c r="E622" s="44" t="s">
        <v>62</v>
      </c>
      <c r="F622" s="95"/>
      <c r="G622" s="106"/>
      <c r="H622" s="44"/>
      <c r="I622" s="105"/>
      <c r="J622" s="99">
        <f>'BOLETIM DE MEDIÇÃO 05'!O180-'MEMORIAL DE CALCULO 04'!K622</f>
        <v>133.69999999999999</v>
      </c>
      <c r="K622" s="81">
        <f>G623</f>
        <v>33.43</v>
      </c>
      <c r="L622" s="82">
        <f t="shared" si="28"/>
        <v>167.13</v>
      </c>
      <c r="M622" s="82">
        <f>'BOLETIM DE MEDIÇÃO 05'!G180</f>
        <v>167.13</v>
      </c>
      <c r="N622" s="86">
        <f t="shared" si="29"/>
        <v>0</v>
      </c>
    </row>
    <row r="623" spans="2:14" ht="22.5" hidden="1" x14ac:dyDescent="0.25">
      <c r="B623" s="50"/>
      <c r="C623" s="166"/>
      <c r="D623" s="117" t="s">
        <v>709</v>
      </c>
      <c r="E623" s="44"/>
      <c r="F623" s="95">
        <v>1</v>
      </c>
      <c r="G623" s="106">
        <v>33.43</v>
      </c>
      <c r="H623" s="44"/>
      <c r="I623" s="105"/>
      <c r="J623" s="99"/>
      <c r="K623" s="81"/>
      <c r="L623" s="82"/>
      <c r="M623" s="82"/>
      <c r="N623" s="86"/>
    </row>
    <row r="624" spans="2:14" ht="33.75" x14ac:dyDescent="0.25">
      <c r="B624" s="50" t="s">
        <v>484</v>
      </c>
      <c r="C624" s="166">
        <v>94966</v>
      </c>
      <c r="D624" s="67" t="s">
        <v>65</v>
      </c>
      <c r="E624" s="44" t="s">
        <v>41</v>
      </c>
      <c r="F624" s="95"/>
      <c r="G624" s="106"/>
      <c r="H624" s="44"/>
      <c r="I624" s="105"/>
      <c r="J624" s="99">
        <f>'BOLETIM DE MEDIÇÃO 05'!O181-'MEMORIAL DE CALCULO 04'!K624</f>
        <v>7.5248100000000004</v>
      </c>
      <c r="K624" s="81">
        <f>SUM(K626:K642)</f>
        <v>2.3652000000000002</v>
      </c>
      <c r="L624" s="82">
        <f t="shared" si="28"/>
        <v>9.8900100000000002</v>
      </c>
      <c r="M624" s="82">
        <f>'BOLETIM DE MEDIÇÃO 05'!G181</f>
        <v>9.89</v>
      </c>
      <c r="N624" s="86">
        <f t="shared" si="29"/>
        <v>-9.9999999996214228E-6</v>
      </c>
    </row>
    <row r="625" spans="1:14" x14ac:dyDescent="0.25">
      <c r="B625" s="50"/>
      <c r="C625" s="166"/>
      <c r="D625" s="188"/>
      <c r="E625" s="189"/>
      <c r="F625" s="190"/>
      <c r="G625" s="133" t="s">
        <v>558</v>
      </c>
      <c r="H625" s="191" t="s">
        <v>559</v>
      </c>
      <c r="I625" s="127" t="s">
        <v>560</v>
      </c>
      <c r="J625" s="99"/>
      <c r="K625" s="81"/>
      <c r="L625" s="82"/>
      <c r="M625" s="82"/>
      <c r="N625" s="86"/>
    </row>
    <row r="626" spans="1:14" s="167" customFormat="1" x14ac:dyDescent="0.25">
      <c r="B626" s="119"/>
      <c r="C626" s="193"/>
      <c r="D626" s="117" t="s">
        <v>783</v>
      </c>
      <c r="E626" s="189"/>
      <c r="F626" s="190">
        <v>1</v>
      </c>
      <c r="G626" s="133">
        <v>0.2</v>
      </c>
      <c r="H626" s="191">
        <v>0.2</v>
      </c>
      <c r="I626" s="105">
        <f>2.5+0.46</f>
        <v>2.96</v>
      </c>
      <c r="J626" s="99"/>
      <c r="K626" s="82">
        <f>F626*G626*H626*I626</f>
        <v>0.11840000000000002</v>
      </c>
      <c r="L626" s="82"/>
      <c r="M626" s="82"/>
      <c r="N626" s="86"/>
    </row>
    <row r="627" spans="1:14" s="167" customFormat="1" x14ac:dyDescent="0.25">
      <c r="B627" s="119"/>
      <c r="C627" s="193"/>
      <c r="D627" s="117" t="s">
        <v>783</v>
      </c>
      <c r="E627" s="189"/>
      <c r="F627" s="190">
        <v>1</v>
      </c>
      <c r="G627" s="133">
        <v>0.2</v>
      </c>
      <c r="H627" s="191">
        <v>0.2</v>
      </c>
      <c r="I627" s="105">
        <f>2.5+0.47</f>
        <v>2.9699999999999998</v>
      </c>
      <c r="J627" s="99"/>
      <c r="K627" s="82">
        <f>F627*G627*H627*I627</f>
        <v>0.11880000000000002</v>
      </c>
      <c r="L627" s="82"/>
      <c r="M627" s="82"/>
      <c r="N627" s="86"/>
    </row>
    <row r="628" spans="1:14" s="167" customFormat="1" x14ac:dyDescent="0.25">
      <c r="B628" s="119"/>
      <c r="C628" s="193"/>
      <c r="D628" s="117" t="s">
        <v>783</v>
      </c>
      <c r="E628" s="189"/>
      <c r="F628" s="190">
        <v>1</v>
      </c>
      <c r="G628" s="133">
        <v>0.2</v>
      </c>
      <c r="H628" s="191">
        <v>0.2</v>
      </c>
      <c r="I628" s="105">
        <f>2.5+0.48</f>
        <v>2.98</v>
      </c>
      <c r="J628" s="99"/>
      <c r="K628" s="82">
        <f t="shared" ref="K628:K642" si="30">F628*G628*H628*I628</f>
        <v>0.11920000000000003</v>
      </c>
      <c r="L628" s="82"/>
      <c r="M628" s="82"/>
      <c r="N628" s="86"/>
    </row>
    <row r="629" spans="1:14" s="167" customFormat="1" x14ac:dyDescent="0.25">
      <c r="A629" s="234"/>
      <c r="B629" s="119"/>
      <c r="C629" s="193"/>
      <c r="D629" s="267" t="s">
        <v>783</v>
      </c>
      <c r="E629" s="44"/>
      <c r="F629" s="130">
        <v>2</v>
      </c>
      <c r="G629" s="133">
        <v>0.2</v>
      </c>
      <c r="H629" s="191">
        <v>0.2</v>
      </c>
      <c r="I629" s="105">
        <f>2.5+0.54</f>
        <v>3.04</v>
      </c>
      <c r="J629" s="99"/>
      <c r="K629" s="82">
        <f t="shared" si="30"/>
        <v>0.24320000000000006</v>
      </c>
      <c r="L629" s="82"/>
      <c r="M629" s="82"/>
      <c r="N629" s="86"/>
    </row>
    <row r="630" spans="1:14" s="167" customFormat="1" x14ac:dyDescent="0.25">
      <c r="A630" s="234"/>
      <c r="B630" s="119"/>
      <c r="C630" s="193"/>
      <c r="D630" s="267" t="s">
        <v>783</v>
      </c>
      <c r="E630" s="189"/>
      <c r="F630" s="190">
        <v>1</v>
      </c>
      <c r="G630" s="133">
        <v>0.2</v>
      </c>
      <c r="H630" s="191">
        <v>0.2</v>
      </c>
      <c r="I630" s="105">
        <f>2.5+0.67</f>
        <v>3.17</v>
      </c>
      <c r="J630" s="99"/>
      <c r="K630" s="82">
        <f t="shared" si="30"/>
        <v>0.12680000000000002</v>
      </c>
      <c r="L630" s="82"/>
      <c r="M630" s="82"/>
      <c r="N630" s="86"/>
    </row>
    <row r="631" spans="1:14" s="167" customFormat="1" x14ac:dyDescent="0.25">
      <c r="A631" s="234"/>
      <c r="B631" s="119"/>
      <c r="C631" s="193"/>
      <c r="D631" s="117" t="s">
        <v>783</v>
      </c>
      <c r="E631" s="189"/>
      <c r="F631" s="190">
        <v>1</v>
      </c>
      <c r="G631" s="133">
        <v>0.2</v>
      </c>
      <c r="H631" s="191">
        <v>0.2</v>
      </c>
      <c r="I631" s="105">
        <f>2.5+0.76</f>
        <v>3.26</v>
      </c>
      <c r="J631" s="99"/>
      <c r="K631" s="82">
        <f t="shared" si="30"/>
        <v>0.13040000000000002</v>
      </c>
      <c r="L631" s="82"/>
      <c r="M631" s="82"/>
      <c r="N631" s="86"/>
    </row>
    <row r="632" spans="1:14" s="167" customFormat="1" x14ac:dyDescent="0.25">
      <c r="A632" s="234"/>
      <c r="B632" s="119"/>
      <c r="C632" s="193"/>
      <c r="D632" s="117" t="s">
        <v>783</v>
      </c>
      <c r="E632" s="189"/>
      <c r="F632" s="190">
        <v>1</v>
      </c>
      <c r="G632" s="133">
        <v>0.2</v>
      </c>
      <c r="H632" s="191">
        <v>0.2</v>
      </c>
      <c r="I632" s="105">
        <f>2.5+0.8</f>
        <v>3.3</v>
      </c>
      <c r="J632" s="99"/>
      <c r="K632" s="82">
        <f t="shared" si="30"/>
        <v>0.13200000000000001</v>
      </c>
      <c r="L632" s="82"/>
      <c r="M632" s="82"/>
      <c r="N632" s="86"/>
    </row>
    <row r="633" spans="1:14" s="167" customFormat="1" x14ac:dyDescent="0.25">
      <c r="A633" s="234"/>
      <c r="B633" s="119"/>
      <c r="C633" s="193"/>
      <c r="D633" s="117" t="s">
        <v>783</v>
      </c>
      <c r="E633" s="189"/>
      <c r="F633" s="190">
        <v>1</v>
      </c>
      <c r="G633" s="133">
        <v>0.2</v>
      </c>
      <c r="H633" s="191">
        <v>0.2</v>
      </c>
      <c r="I633" s="105">
        <f>2.5+0.77</f>
        <v>3.27</v>
      </c>
      <c r="J633" s="99"/>
      <c r="K633" s="82">
        <f t="shared" si="30"/>
        <v>0.13080000000000003</v>
      </c>
      <c r="L633" s="82"/>
      <c r="M633" s="82"/>
      <c r="N633" s="86"/>
    </row>
    <row r="634" spans="1:14" s="167" customFormat="1" x14ac:dyDescent="0.25">
      <c r="B634" s="119"/>
      <c r="C634" s="193"/>
      <c r="D634" s="117" t="s">
        <v>783</v>
      </c>
      <c r="E634" s="189"/>
      <c r="F634" s="190">
        <v>1</v>
      </c>
      <c r="G634" s="133">
        <v>0.2</v>
      </c>
      <c r="H634" s="191">
        <v>0.2</v>
      </c>
      <c r="I634" s="105">
        <f>2.5+0.74</f>
        <v>3.24</v>
      </c>
      <c r="J634" s="99"/>
      <c r="K634" s="82">
        <f t="shared" si="30"/>
        <v>0.12960000000000002</v>
      </c>
      <c r="L634" s="82"/>
      <c r="M634" s="82"/>
      <c r="N634" s="86"/>
    </row>
    <row r="635" spans="1:14" s="167" customFormat="1" x14ac:dyDescent="0.25">
      <c r="A635" s="234"/>
      <c r="B635" s="264"/>
      <c r="C635" s="264"/>
      <c r="D635" s="117" t="s">
        <v>783</v>
      </c>
      <c r="E635" s="189"/>
      <c r="F635" s="190">
        <v>1</v>
      </c>
      <c r="G635" s="133">
        <v>0.2</v>
      </c>
      <c r="H635" s="191">
        <v>0.2</v>
      </c>
      <c r="I635" s="105">
        <f>2.5+0.69</f>
        <v>3.19</v>
      </c>
      <c r="J635" s="99"/>
      <c r="K635" s="82">
        <f t="shared" si="30"/>
        <v>0.12760000000000002</v>
      </c>
      <c r="L635" s="82"/>
      <c r="M635" s="82"/>
      <c r="N635" s="86"/>
    </row>
    <row r="636" spans="1:14" s="167" customFormat="1" x14ac:dyDescent="0.25">
      <c r="B636" s="119"/>
      <c r="C636" s="193"/>
      <c r="D636" s="117" t="s">
        <v>783</v>
      </c>
      <c r="E636" s="189"/>
      <c r="F636" s="190">
        <v>2</v>
      </c>
      <c r="G636" s="133">
        <v>0.2</v>
      </c>
      <c r="H636" s="191">
        <v>0.2</v>
      </c>
      <c r="I636" s="105">
        <f>2.5+0.53</f>
        <v>3.0300000000000002</v>
      </c>
      <c r="J636" s="99"/>
      <c r="K636" s="82">
        <f t="shared" si="30"/>
        <v>0.24240000000000006</v>
      </c>
      <c r="L636" s="82"/>
      <c r="M636" s="82"/>
      <c r="N636" s="86"/>
    </row>
    <row r="637" spans="1:14" s="167" customFormat="1" x14ac:dyDescent="0.25">
      <c r="B637" s="119"/>
      <c r="C637" s="193"/>
      <c r="D637" s="117" t="s">
        <v>783</v>
      </c>
      <c r="E637" s="189"/>
      <c r="F637" s="190">
        <v>1</v>
      </c>
      <c r="G637" s="133">
        <v>0.2</v>
      </c>
      <c r="H637" s="191">
        <v>0.2</v>
      </c>
      <c r="I637" s="105">
        <f>2.5+0.57</f>
        <v>3.07</v>
      </c>
      <c r="J637" s="99"/>
      <c r="K637" s="82">
        <f t="shared" si="30"/>
        <v>0.12280000000000002</v>
      </c>
      <c r="L637" s="82"/>
      <c r="M637" s="82"/>
      <c r="N637" s="86"/>
    </row>
    <row r="638" spans="1:14" s="167" customFormat="1" x14ac:dyDescent="0.25">
      <c r="A638" s="234"/>
      <c r="B638" s="119"/>
      <c r="C638" s="193"/>
      <c r="D638" s="267" t="s">
        <v>783</v>
      </c>
      <c r="E638" s="44"/>
      <c r="F638" s="130">
        <v>1</v>
      </c>
      <c r="G638" s="133">
        <v>0.2</v>
      </c>
      <c r="H638" s="191">
        <v>0.2</v>
      </c>
      <c r="I638" s="105">
        <f>2.5+0.55</f>
        <v>3.05</v>
      </c>
      <c r="J638" s="99"/>
      <c r="K638" s="82">
        <f t="shared" si="30"/>
        <v>0.12200000000000001</v>
      </c>
      <c r="L638" s="82"/>
      <c r="M638" s="82"/>
      <c r="N638" s="86"/>
    </row>
    <row r="639" spans="1:14" s="167" customFormat="1" x14ac:dyDescent="0.25">
      <c r="A639" s="234"/>
      <c r="B639" s="119"/>
      <c r="C639" s="193"/>
      <c r="D639" s="267" t="s">
        <v>783</v>
      </c>
      <c r="E639" s="189"/>
      <c r="F639" s="190">
        <v>1</v>
      </c>
      <c r="G639" s="133">
        <v>0.2</v>
      </c>
      <c r="H639" s="191">
        <v>0.2</v>
      </c>
      <c r="I639" s="105">
        <f>2.5+0.6</f>
        <v>3.1</v>
      </c>
      <c r="J639" s="99"/>
      <c r="K639" s="82">
        <f t="shared" si="30"/>
        <v>0.12400000000000003</v>
      </c>
      <c r="L639" s="82"/>
      <c r="M639" s="82"/>
      <c r="N639" s="86"/>
    </row>
    <row r="640" spans="1:14" s="167" customFormat="1" x14ac:dyDescent="0.25">
      <c r="A640" s="234"/>
      <c r="B640" s="119"/>
      <c r="C640" s="193"/>
      <c r="D640" s="117" t="s">
        <v>783</v>
      </c>
      <c r="E640" s="189"/>
      <c r="F640" s="190">
        <v>1</v>
      </c>
      <c r="G640" s="133">
        <v>0.2</v>
      </c>
      <c r="H640" s="191">
        <v>0.2</v>
      </c>
      <c r="I640" s="105">
        <f>2.5+0.64</f>
        <v>3.14</v>
      </c>
      <c r="J640" s="99"/>
      <c r="K640" s="82">
        <f t="shared" si="30"/>
        <v>0.12560000000000002</v>
      </c>
      <c r="L640" s="82"/>
      <c r="M640" s="82"/>
      <c r="N640" s="86"/>
    </row>
    <row r="641" spans="1:14" s="167" customFormat="1" x14ac:dyDescent="0.25">
      <c r="A641" s="234"/>
      <c r="B641" s="119"/>
      <c r="C641" s="193"/>
      <c r="D641" s="117" t="s">
        <v>783</v>
      </c>
      <c r="E641" s="189"/>
      <c r="F641" s="190">
        <v>1</v>
      </c>
      <c r="G641" s="133">
        <v>0.2</v>
      </c>
      <c r="H641" s="191">
        <v>0.2</v>
      </c>
      <c r="I641" s="105">
        <f>2.5+0.63</f>
        <v>3.13</v>
      </c>
      <c r="J641" s="99"/>
      <c r="K641" s="82">
        <f t="shared" si="30"/>
        <v>0.12520000000000003</v>
      </c>
      <c r="L641" s="82"/>
      <c r="M641" s="82"/>
      <c r="N641" s="86"/>
    </row>
    <row r="642" spans="1:14" s="167" customFormat="1" x14ac:dyDescent="0.25">
      <c r="A642" s="234"/>
      <c r="B642" s="119"/>
      <c r="C642" s="193"/>
      <c r="D642" s="117" t="s">
        <v>783</v>
      </c>
      <c r="E642" s="189"/>
      <c r="F642" s="190">
        <v>1</v>
      </c>
      <c r="G642" s="133">
        <v>0.2</v>
      </c>
      <c r="H642" s="191">
        <v>0.2</v>
      </c>
      <c r="I642" s="105">
        <f>2.5+0.66</f>
        <v>3.16</v>
      </c>
      <c r="J642" s="99"/>
      <c r="K642" s="82">
        <f t="shared" si="30"/>
        <v>0.12640000000000004</v>
      </c>
      <c r="L642" s="82"/>
      <c r="M642" s="82"/>
      <c r="N642" s="86"/>
    </row>
    <row r="643" spans="1:14" ht="45" hidden="1" x14ac:dyDescent="0.25">
      <c r="B643" s="50" t="s">
        <v>485</v>
      </c>
      <c r="C643" s="166">
        <v>103800</v>
      </c>
      <c r="D643" s="53" t="s">
        <v>487</v>
      </c>
      <c r="E643" s="44" t="s">
        <v>41</v>
      </c>
      <c r="F643" s="95">
        <v>1</v>
      </c>
      <c r="G643" s="106">
        <v>120.88</v>
      </c>
      <c r="H643" s="70">
        <v>0.3</v>
      </c>
      <c r="I643" s="105">
        <v>0.3</v>
      </c>
      <c r="J643" s="99">
        <f>'BOLETIM DE MEDIÇÃO 05'!O182-'MEMORIAL DE CALCULO 04'!K643</f>
        <v>0.90080000000000204</v>
      </c>
      <c r="K643" s="81">
        <f>F643*(G643*H643*I643)</f>
        <v>10.879199999999999</v>
      </c>
      <c r="L643" s="82">
        <f t="shared" si="28"/>
        <v>11.780000000000001</v>
      </c>
      <c r="M643" s="82">
        <f>'BOLETIM DE MEDIÇÃO 05'!G182</f>
        <v>11.78</v>
      </c>
      <c r="N643" s="86">
        <f t="shared" si="29"/>
        <v>0</v>
      </c>
    </row>
    <row r="644" spans="1:14" ht="22.5" x14ac:dyDescent="0.25">
      <c r="B644" s="50" t="s">
        <v>488</v>
      </c>
      <c r="C644" s="166">
        <v>103670</v>
      </c>
      <c r="D644" s="53" t="s">
        <v>71</v>
      </c>
      <c r="E644" s="44" t="s">
        <v>41</v>
      </c>
      <c r="F644" s="95"/>
      <c r="G644" s="106"/>
      <c r="H644" s="70"/>
      <c r="I644" s="105"/>
      <c r="J644" s="99">
        <f>'BOLETIM DE MEDIÇÃO 05'!O183-'MEMORIAL DE CALCULO 04'!K644</f>
        <v>7.5248300000000015</v>
      </c>
      <c r="K644" s="81">
        <f>G645</f>
        <v>2.3652000000000002</v>
      </c>
      <c r="L644" s="82">
        <f t="shared" si="28"/>
        <v>9.8900300000000012</v>
      </c>
      <c r="M644" s="82">
        <f>'BOLETIM DE MEDIÇÃO 05'!G183</f>
        <v>9.89</v>
      </c>
      <c r="N644" s="86">
        <f t="shared" si="29"/>
        <v>-3.0000000000640625E-5</v>
      </c>
    </row>
    <row r="645" spans="1:14" x14ac:dyDescent="0.25">
      <c r="B645" s="50"/>
      <c r="C645" s="166"/>
      <c r="D645" s="118" t="s">
        <v>581</v>
      </c>
      <c r="E645" s="44"/>
      <c r="F645" s="95">
        <v>1</v>
      </c>
      <c r="G645" s="468">
        <f>K624</f>
        <v>2.3652000000000002</v>
      </c>
      <c r="H645" s="469"/>
      <c r="I645" s="470"/>
      <c r="J645" s="99"/>
      <c r="K645" s="81"/>
      <c r="L645" s="82"/>
      <c r="M645" s="82"/>
      <c r="N645" s="86"/>
    </row>
    <row r="646" spans="1:14" s="167" customFormat="1" ht="22.5" x14ac:dyDescent="0.25">
      <c r="B646" s="50" t="s">
        <v>489</v>
      </c>
      <c r="C646" s="166">
        <v>96543</v>
      </c>
      <c r="D646" s="53" t="s">
        <v>74</v>
      </c>
      <c r="E646" s="44" t="s">
        <v>62</v>
      </c>
      <c r="F646" s="95"/>
      <c r="G646" s="106" t="s">
        <v>583</v>
      </c>
      <c r="H646" s="70" t="s">
        <v>584</v>
      </c>
      <c r="I646" s="105" t="s">
        <v>781</v>
      </c>
      <c r="J646" s="99">
        <f>'BOLETIM DE MEDIÇÃO 05'!O184-'MEMORIAL DE CALCULO 04'!K646</f>
        <v>99.995195999999993</v>
      </c>
      <c r="K646" s="81">
        <f>SUM(K647:K663)</f>
        <v>62.025655999999977</v>
      </c>
      <c r="L646" s="82">
        <f>J646+K646</f>
        <v>162.02085199999996</v>
      </c>
      <c r="M646" s="82">
        <f>'BOLETIM DE MEDIÇÃO 05'!G184</f>
        <v>162.02000000000001</v>
      </c>
      <c r="N646" s="86">
        <f t="shared" si="29"/>
        <v>-8.5199999995211328E-4</v>
      </c>
    </row>
    <row r="647" spans="1:14" s="167" customFormat="1" x14ac:dyDescent="0.25">
      <c r="B647" s="50"/>
      <c r="C647" s="166"/>
      <c r="D647" s="117" t="s">
        <v>783</v>
      </c>
      <c r="E647" s="44"/>
      <c r="F647" s="190">
        <v>1</v>
      </c>
      <c r="G647" s="106">
        <v>0.68</v>
      </c>
      <c r="H647" s="70">
        <v>0.1</v>
      </c>
      <c r="I647" s="105">
        <f>2.5+0.46</f>
        <v>2.96</v>
      </c>
      <c r="J647" s="192"/>
      <c r="K647" s="64">
        <f>(I647/H647)*G647*0.154*F647</f>
        <v>3.0997119999999998</v>
      </c>
      <c r="L647" s="82"/>
      <c r="M647" s="82"/>
      <c r="N647" s="86"/>
    </row>
    <row r="648" spans="1:14" s="167" customFormat="1" x14ac:dyDescent="0.25">
      <c r="B648" s="50"/>
      <c r="C648" s="166"/>
      <c r="D648" s="117" t="s">
        <v>783</v>
      </c>
      <c r="E648" s="44"/>
      <c r="F648" s="190">
        <v>1</v>
      </c>
      <c r="G648" s="106">
        <v>0.68</v>
      </c>
      <c r="H648" s="70">
        <v>0.1</v>
      </c>
      <c r="I648" s="105">
        <f>2.5+0.47</f>
        <v>2.9699999999999998</v>
      </c>
      <c r="J648" s="192"/>
      <c r="K648" s="64">
        <f t="shared" ref="K648:K663" si="31">(I648/H648)*G648*0.154*F648</f>
        <v>3.1101839999999998</v>
      </c>
      <c r="L648" s="82"/>
      <c r="M648" s="82"/>
      <c r="N648" s="86"/>
    </row>
    <row r="649" spans="1:14" s="167" customFormat="1" x14ac:dyDescent="0.25">
      <c r="B649" s="50"/>
      <c r="C649" s="166"/>
      <c r="D649" s="267" t="s">
        <v>783</v>
      </c>
      <c r="E649" s="44"/>
      <c r="F649" s="130">
        <v>2</v>
      </c>
      <c r="G649" s="106">
        <v>0.68</v>
      </c>
      <c r="H649" s="70">
        <v>0.1</v>
      </c>
      <c r="I649" s="105">
        <f>2.5+0.48</f>
        <v>2.98</v>
      </c>
      <c r="J649" s="192"/>
      <c r="K649" s="64">
        <f t="shared" si="31"/>
        <v>6.2413119999999997</v>
      </c>
      <c r="L649" s="82"/>
      <c r="M649" s="82"/>
      <c r="N649" s="86"/>
    </row>
    <row r="650" spans="1:14" s="167" customFormat="1" x14ac:dyDescent="0.25">
      <c r="B650" s="50"/>
      <c r="C650" s="166"/>
      <c r="D650" s="267" t="s">
        <v>783</v>
      </c>
      <c r="E650" s="44"/>
      <c r="F650" s="190">
        <v>1</v>
      </c>
      <c r="G650" s="106">
        <v>0.68</v>
      </c>
      <c r="H650" s="70">
        <v>0.1</v>
      </c>
      <c r="I650" s="105">
        <f>2.5+0.54</f>
        <v>3.04</v>
      </c>
      <c r="J650" s="192"/>
      <c r="K650" s="64">
        <f t="shared" si="31"/>
        <v>3.1834880000000001</v>
      </c>
      <c r="L650" s="82"/>
      <c r="M650" s="82"/>
      <c r="N650" s="86"/>
    </row>
    <row r="651" spans="1:14" s="167" customFormat="1" x14ac:dyDescent="0.25">
      <c r="B651" s="50"/>
      <c r="C651" s="166"/>
      <c r="D651" s="117" t="s">
        <v>783</v>
      </c>
      <c r="E651" s="44"/>
      <c r="F651" s="190">
        <v>1</v>
      </c>
      <c r="G651" s="106">
        <v>0.68</v>
      </c>
      <c r="H651" s="70">
        <v>0.1</v>
      </c>
      <c r="I651" s="105">
        <f>2.5+0.67</f>
        <v>3.17</v>
      </c>
      <c r="J651" s="192"/>
      <c r="K651" s="64">
        <f t="shared" si="31"/>
        <v>3.3196240000000001</v>
      </c>
      <c r="L651" s="82"/>
      <c r="M651" s="82"/>
      <c r="N651" s="86"/>
    </row>
    <row r="652" spans="1:14" s="167" customFormat="1" x14ac:dyDescent="0.25">
      <c r="B652" s="50"/>
      <c r="C652" s="166"/>
      <c r="D652" s="117" t="s">
        <v>783</v>
      </c>
      <c r="E652" s="44"/>
      <c r="F652" s="190">
        <v>1</v>
      </c>
      <c r="G652" s="106">
        <v>0.68</v>
      </c>
      <c r="H652" s="70">
        <v>0.1</v>
      </c>
      <c r="I652" s="105">
        <f>2.5+0.76</f>
        <v>3.26</v>
      </c>
      <c r="J652" s="192"/>
      <c r="K652" s="64">
        <f t="shared" si="31"/>
        <v>3.413872</v>
      </c>
      <c r="L652" s="82"/>
      <c r="M652" s="82"/>
      <c r="N652" s="86"/>
    </row>
    <row r="653" spans="1:14" s="167" customFormat="1" x14ac:dyDescent="0.25">
      <c r="B653" s="50"/>
      <c r="C653" s="166"/>
      <c r="D653" s="117" t="s">
        <v>783</v>
      </c>
      <c r="E653" s="44"/>
      <c r="F653" s="190">
        <v>1</v>
      </c>
      <c r="G653" s="106">
        <v>0.68</v>
      </c>
      <c r="H653" s="70">
        <v>0.1</v>
      </c>
      <c r="I653" s="105">
        <f>2.5+0.8</f>
        <v>3.3</v>
      </c>
      <c r="J653" s="192"/>
      <c r="K653" s="64">
        <f t="shared" si="31"/>
        <v>3.4557599999999997</v>
      </c>
      <c r="L653" s="82"/>
      <c r="M653" s="82"/>
      <c r="N653" s="86"/>
    </row>
    <row r="654" spans="1:14" s="167" customFormat="1" x14ac:dyDescent="0.25">
      <c r="B654" s="50"/>
      <c r="C654" s="166"/>
      <c r="D654" s="117" t="s">
        <v>783</v>
      </c>
      <c r="E654" s="44"/>
      <c r="F654" s="190">
        <v>1</v>
      </c>
      <c r="G654" s="106">
        <v>0.68</v>
      </c>
      <c r="H654" s="70">
        <v>0.1</v>
      </c>
      <c r="I654" s="105">
        <f>2.5+0.77</f>
        <v>3.27</v>
      </c>
      <c r="J654" s="192"/>
      <c r="K654" s="64">
        <f t="shared" si="31"/>
        <v>3.4243439999999996</v>
      </c>
      <c r="L654" s="82"/>
      <c r="M654" s="82"/>
      <c r="N654" s="86"/>
    </row>
    <row r="655" spans="1:14" s="167" customFormat="1" x14ac:dyDescent="0.25">
      <c r="B655" s="50"/>
      <c r="C655" s="166"/>
      <c r="D655" s="117" t="s">
        <v>783</v>
      </c>
      <c r="E655" s="44"/>
      <c r="F655" s="190">
        <v>1</v>
      </c>
      <c r="G655" s="106">
        <v>0.68</v>
      </c>
      <c r="H655" s="70">
        <v>0.1</v>
      </c>
      <c r="I655" s="105">
        <f>2.5+0.74</f>
        <v>3.24</v>
      </c>
      <c r="J655" s="192"/>
      <c r="K655" s="64">
        <f t="shared" si="31"/>
        <v>3.3929279999999999</v>
      </c>
      <c r="L655" s="82"/>
      <c r="M655" s="82"/>
      <c r="N655" s="86"/>
    </row>
    <row r="656" spans="1:14" s="167" customFormat="1" x14ac:dyDescent="0.25">
      <c r="B656" s="50"/>
      <c r="C656" s="166"/>
      <c r="D656" s="117" t="s">
        <v>783</v>
      </c>
      <c r="E656" s="44"/>
      <c r="F656" s="190">
        <v>2</v>
      </c>
      <c r="G656" s="106">
        <v>0.68</v>
      </c>
      <c r="H656" s="70">
        <v>0.1</v>
      </c>
      <c r="I656" s="105">
        <f>2.5+0.69</f>
        <v>3.19</v>
      </c>
      <c r="J656" s="192"/>
      <c r="K656" s="64">
        <f t="shared" si="31"/>
        <v>6.6811360000000004</v>
      </c>
      <c r="L656" s="82"/>
      <c r="M656" s="82"/>
      <c r="N656" s="86"/>
    </row>
    <row r="657" spans="2:14" s="167" customFormat="1" x14ac:dyDescent="0.25">
      <c r="B657" s="50"/>
      <c r="C657" s="166"/>
      <c r="D657" s="117" t="s">
        <v>783</v>
      </c>
      <c r="E657" s="44"/>
      <c r="F657" s="190">
        <v>1</v>
      </c>
      <c r="G657" s="106">
        <v>0.68</v>
      </c>
      <c r="H657" s="70">
        <v>0.1</v>
      </c>
      <c r="I657" s="105">
        <f>2.5+0.53</f>
        <v>3.0300000000000002</v>
      </c>
      <c r="J657" s="192"/>
      <c r="K657" s="64">
        <f t="shared" si="31"/>
        <v>3.1730160000000005</v>
      </c>
      <c r="L657" s="82"/>
      <c r="M657" s="82"/>
      <c r="N657" s="86"/>
    </row>
    <row r="658" spans="2:14" s="167" customFormat="1" x14ac:dyDescent="0.25">
      <c r="B658" s="50"/>
      <c r="C658" s="166"/>
      <c r="D658" s="267" t="s">
        <v>783</v>
      </c>
      <c r="E658" s="44"/>
      <c r="F658" s="130">
        <v>1</v>
      </c>
      <c r="G658" s="106">
        <v>0.68</v>
      </c>
      <c r="H658" s="70">
        <v>0.1</v>
      </c>
      <c r="I658" s="105">
        <f>2.5+0.57</f>
        <v>3.07</v>
      </c>
      <c r="J658" s="192"/>
      <c r="K658" s="64">
        <f t="shared" si="31"/>
        <v>3.2149039999999998</v>
      </c>
      <c r="L658" s="82"/>
      <c r="M658" s="82"/>
      <c r="N658" s="86"/>
    </row>
    <row r="659" spans="2:14" s="167" customFormat="1" x14ac:dyDescent="0.25">
      <c r="B659" s="50"/>
      <c r="C659" s="166"/>
      <c r="D659" s="267" t="s">
        <v>783</v>
      </c>
      <c r="E659" s="44"/>
      <c r="F659" s="190">
        <v>1</v>
      </c>
      <c r="G659" s="106">
        <v>0.68</v>
      </c>
      <c r="H659" s="70">
        <v>0.1</v>
      </c>
      <c r="I659" s="105">
        <f>2.5+0.55</f>
        <v>3.05</v>
      </c>
      <c r="J659" s="192"/>
      <c r="K659" s="64">
        <f t="shared" si="31"/>
        <v>3.1939599999999997</v>
      </c>
      <c r="L659" s="82"/>
      <c r="M659" s="82"/>
      <c r="N659" s="86"/>
    </row>
    <row r="660" spans="2:14" s="167" customFormat="1" x14ac:dyDescent="0.25">
      <c r="B660" s="50"/>
      <c r="C660" s="166"/>
      <c r="D660" s="117" t="s">
        <v>783</v>
      </c>
      <c r="E660" s="44"/>
      <c r="F660" s="190">
        <v>1</v>
      </c>
      <c r="G660" s="106">
        <v>0.68</v>
      </c>
      <c r="H660" s="70">
        <v>0.1</v>
      </c>
      <c r="I660" s="105">
        <f>2.5+0.6</f>
        <v>3.1</v>
      </c>
      <c r="J660" s="192"/>
      <c r="K660" s="64">
        <f t="shared" si="31"/>
        <v>3.2463200000000003</v>
      </c>
      <c r="L660" s="82"/>
      <c r="M660" s="82"/>
      <c r="N660" s="86"/>
    </row>
    <row r="661" spans="2:14" s="167" customFormat="1" x14ac:dyDescent="0.25">
      <c r="B661" s="50"/>
      <c r="C661" s="166"/>
      <c r="D661" s="117" t="s">
        <v>783</v>
      </c>
      <c r="E661" s="44"/>
      <c r="F661" s="190">
        <v>1</v>
      </c>
      <c r="G661" s="106">
        <v>0.68</v>
      </c>
      <c r="H661" s="70">
        <v>0.1</v>
      </c>
      <c r="I661" s="105">
        <f>2.5+0.64</f>
        <v>3.14</v>
      </c>
      <c r="J661" s="192"/>
      <c r="K661" s="64">
        <f t="shared" si="31"/>
        <v>3.288208</v>
      </c>
      <c r="L661" s="82"/>
      <c r="M661" s="82"/>
      <c r="N661" s="86"/>
    </row>
    <row r="662" spans="2:14" s="167" customFormat="1" x14ac:dyDescent="0.25">
      <c r="B662" s="50"/>
      <c r="C662" s="166"/>
      <c r="D662" s="117" t="s">
        <v>783</v>
      </c>
      <c r="E662" s="44"/>
      <c r="F662" s="190">
        <v>1</v>
      </c>
      <c r="G662" s="106">
        <v>0.68</v>
      </c>
      <c r="H662" s="70">
        <v>0.1</v>
      </c>
      <c r="I662" s="105">
        <f>2.5+0.63</f>
        <v>3.13</v>
      </c>
      <c r="J662" s="192"/>
      <c r="K662" s="64">
        <f t="shared" si="31"/>
        <v>3.277736</v>
      </c>
      <c r="L662" s="82"/>
      <c r="M662" s="82"/>
      <c r="N662" s="86"/>
    </row>
    <row r="663" spans="2:14" s="167" customFormat="1" x14ac:dyDescent="0.25">
      <c r="B663" s="50"/>
      <c r="C663" s="166"/>
      <c r="D663" s="117" t="s">
        <v>783</v>
      </c>
      <c r="E663" s="44"/>
      <c r="F663" s="190">
        <v>1</v>
      </c>
      <c r="G663" s="106">
        <v>0.68</v>
      </c>
      <c r="H663" s="70">
        <v>0.1</v>
      </c>
      <c r="I663" s="105">
        <f>2.5+0.66</f>
        <v>3.16</v>
      </c>
      <c r="J663" s="192"/>
      <c r="K663" s="64">
        <f t="shared" si="31"/>
        <v>3.3091520000000005</v>
      </c>
      <c r="L663" s="82"/>
      <c r="M663" s="82"/>
      <c r="N663" s="86"/>
    </row>
    <row r="664" spans="2:14" s="167" customFormat="1" ht="19.899999999999999" customHeight="1" x14ac:dyDescent="0.25">
      <c r="B664" s="50" t="s">
        <v>490</v>
      </c>
      <c r="C664" s="166">
        <v>96546</v>
      </c>
      <c r="D664" s="67" t="s">
        <v>80</v>
      </c>
      <c r="E664" s="44" t="s">
        <v>62</v>
      </c>
      <c r="F664" s="95"/>
      <c r="G664" s="468" t="s">
        <v>586</v>
      </c>
      <c r="H664" s="471"/>
      <c r="I664" s="122" t="s">
        <v>784</v>
      </c>
      <c r="J664" s="99">
        <f>'BOLETIM DE MEDIÇÃO 05'!O185-'MEMORIAL DE CALCULO 04'!K664</f>
        <v>231.61723999999995</v>
      </c>
      <c r="K664" s="81">
        <f>SUM(K665:K681)</f>
        <v>146.17963999999998</v>
      </c>
      <c r="L664" s="82">
        <f t="shared" si="28"/>
        <v>377.79687999999993</v>
      </c>
      <c r="M664" s="82">
        <f>'BOLETIM DE MEDIÇÃO 05'!G185</f>
        <v>377.8</v>
      </c>
      <c r="N664" s="86">
        <f t="shared" si="29"/>
        <v>3.1200000000808359E-3</v>
      </c>
    </row>
    <row r="665" spans="2:14" s="167" customFormat="1" ht="19.149999999999999" customHeight="1" x14ac:dyDescent="0.25">
      <c r="B665" s="119"/>
      <c r="C665" s="193"/>
      <c r="D665" s="117" t="s">
        <v>783</v>
      </c>
      <c r="E665" s="44"/>
      <c r="F665" s="190">
        <v>1</v>
      </c>
      <c r="G665" s="468">
        <v>4</v>
      </c>
      <c r="H665" s="471"/>
      <c r="I665" s="105">
        <f>2.5+0.46</f>
        <v>2.96</v>
      </c>
      <c r="J665" s="192"/>
      <c r="K665" s="64">
        <f>I665*G665*F665*0.617</f>
        <v>7.3052799999999998</v>
      </c>
      <c r="L665" s="82"/>
      <c r="M665" s="82"/>
      <c r="N665" s="86"/>
    </row>
    <row r="666" spans="2:14" s="167" customFormat="1" ht="19.149999999999999" customHeight="1" x14ac:dyDescent="0.25">
      <c r="B666" s="119"/>
      <c r="C666" s="193"/>
      <c r="D666" s="117" t="s">
        <v>783</v>
      </c>
      <c r="E666" s="189"/>
      <c r="F666" s="190">
        <v>1</v>
      </c>
      <c r="G666" s="468">
        <v>4</v>
      </c>
      <c r="H666" s="471"/>
      <c r="I666" s="105">
        <f>2.5+0.47</f>
        <v>2.9699999999999998</v>
      </c>
      <c r="J666" s="192"/>
      <c r="K666" s="64">
        <f t="shared" ref="K666:K681" si="32">I666*G666*F666*0.617</f>
        <v>7.3299599999999989</v>
      </c>
      <c r="L666" s="82"/>
      <c r="M666" s="82"/>
      <c r="N666" s="86"/>
    </row>
    <row r="667" spans="2:14" s="167" customFormat="1" ht="19.149999999999999" customHeight="1" x14ac:dyDescent="0.25">
      <c r="B667" s="119"/>
      <c r="C667" s="193"/>
      <c r="D667" s="267" t="s">
        <v>783</v>
      </c>
      <c r="E667" s="189"/>
      <c r="F667" s="130">
        <v>2</v>
      </c>
      <c r="G667" s="468">
        <v>4</v>
      </c>
      <c r="H667" s="471"/>
      <c r="I667" s="105">
        <f>2.5+0.48</f>
        <v>2.98</v>
      </c>
      <c r="J667" s="192"/>
      <c r="K667" s="64">
        <f t="shared" si="32"/>
        <v>14.70928</v>
      </c>
      <c r="L667" s="82"/>
      <c r="M667" s="82"/>
      <c r="N667" s="86"/>
    </row>
    <row r="668" spans="2:14" s="167" customFormat="1" ht="19.149999999999999" customHeight="1" x14ac:dyDescent="0.25">
      <c r="B668" s="119"/>
      <c r="C668" s="193"/>
      <c r="D668" s="267" t="s">
        <v>783</v>
      </c>
      <c r="E668" s="189"/>
      <c r="F668" s="190">
        <v>1</v>
      </c>
      <c r="G668" s="468">
        <v>4</v>
      </c>
      <c r="H668" s="471"/>
      <c r="I668" s="105">
        <f>2.5+0.54</f>
        <v>3.04</v>
      </c>
      <c r="J668" s="192"/>
      <c r="K668" s="64">
        <f t="shared" si="32"/>
        <v>7.5027200000000001</v>
      </c>
      <c r="L668" s="82"/>
      <c r="M668" s="82"/>
      <c r="N668" s="86"/>
    </row>
    <row r="669" spans="2:14" s="167" customFormat="1" ht="19.149999999999999" customHeight="1" x14ac:dyDescent="0.25">
      <c r="B669" s="119"/>
      <c r="C669" s="193"/>
      <c r="D669" s="117" t="s">
        <v>783</v>
      </c>
      <c r="E669" s="189"/>
      <c r="F669" s="190">
        <v>1</v>
      </c>
      <c r="G669" s="468">
        <v>4</v>
      </c>
      <c r="H669" s="471"/>
      <c r="I669" s="105">
        <f>2.5+0.67</f>
        <v>3.17</v>
      </c>
      <c r="J669" s="192"/>
      <c r="K669" s="64">
        <f t="shared" si="32"/>
        <v>7.8235599999999996</v>
      </c>
      <c r="L669" s="82"/>
      <c r="M669" s="82"/>
      <c r="N669" s="86"/>
    </row>
    <row r="670" spans="2:14" s="167" customFormat="1" ht="19.149999999999999" customHeight="1" x14ac:dyDescent="0.25">
      <c r="B670" s="119"/>
      <c r="C670" s="193"/>
      <c r="D670" s="117" t="s">
        <v>783</v>
      </c>
      <c r="E670" s="189"/>
      <c r="F670" s="190">
        <v>1</v>
      </c>
      <c r="G670" s="468">
        <v>4</v>
      </c>
      <c r="H670" s="471"/>
      <c r="I670" s="105">
        <f>2.5+0.76</f>
        <v>3.26</v>
      </c>
      <c r="J670" s="192"/>
      <c r="K670" s="64">
        <f t="shared" si="32"/>
        <v>8.0456799999999991</v>
      </c>
      <c r="L670" s="82"/>
      <c r="M670" s="82"/>
      <c r="N670" s="86"/>
    </row>
    <row r="671" spans="2:14" s="167" customFormat="1" ht="19.149999999999999" customHeight="1" x14ac:dyDescent="0.25">
      <c r="B671" s="119"/>
      <c r="C671" s="193"/>
      <c r="D671" s="117" t="s">
        <v>783</v>
      </c>
      <c r="E671" s="189"/>
      <c r="F671" s="190">
        <v>1</v>
      </c>
      <c r="G671" s="468">
        <v>4</v>
      </c>
      <c r="H671" s="471"/>
      <c r="I671" s="105">
        <f>2.5+0.8</f>
        <v>3.3</v>
      </c>
      <c r="J671" s="192"/>
      <c r="K671" s="64">
        <f t="shared" si="32"/>
        <v>8.1443999999999992</v>
      </c>
      <c r="L671" s="82"/>
      <c r="M671" s="82"/>
      <c r="N671" s="86"/>
    </row>
    <row r="672" spans="2:14" s="167" customFormat="1" ht="19.149999999999999" customHeight="1" x14ac:dyDescent="0.25">
      <c r="B672" s="119"/>
      <c r="C672" s="193"/>
      <c r="D672" s="117" t="s">
        <v>783</v>
      </c>
      <c r="E672" s="189"/>
      <c r="F672" s="190">
        <v>1</v>
      </c>
      <c r="G672" s="468">
        <v>4</v>
      </c>
      <c r="H672" s="471"/>
      <c r="I672" s="105">
        <f>2.5+0.77</f>
        <v>3.27</v>
      </c>
      <c r="J672" s="192"/>
      <c r="K672" s="64">
        <f t="shared" si="32"/>
        <v>8.0703599999999991</v>
      </c>
      <c r="L672" s="82"/>
      <c r="M672" s="82"/>
      <c r="N672" s="86"/>
    </row>
    <row r="673" spans="1:14" s="167" customFormat="1" ht="19.149999999999999" customHeight="1" x14ac:dyDescent="0.25">
      <c r="B673" s="119"/>
      <c r="C673" s="193"/>
      <c r="D673" s="117" t="s">
        <v>783</v>
      </c>
      <c r="E673" s="189"/>
      <c r="F673" s="190">
        <v>1</v>
      </c>
      <c r="G673" s="468">
        <v>4</v>
      </c>
      <c r="H673" s="471"/>
      <c r="I673" s="105">
        <f>2.5+0.74</f>
        <v>3.24</v>
      </c>
      <c r="J673" s="192"/>
      <c r="K673" s="64">
        <f t="shared" si="32"/>
        <v>7.9963200000000008</v>
      </c>
      <c r="L673" s="82"/>
      <c r="M673" s="82"/>
      <c r="N673" s="86"/>
    </row>
    <row r="674" spans="1:14" s="167" customFormat="1" ht="19.149999999999999" customHeight="1" x14ac:dyDescent="0.25">
      <c r="B674" s="119"/>
      <c r="C674" s="193"/>
      <c r="D674" s="117" t="s">
        <v>783</v>
      </c>
      <c r="E674" s="189"/>
      <c r="F674" s="190">
        <v>2</v>
      </c>
      <c r="G674" s="468">
        <v>4</v>
      </c>
      <c r="H674" s="471"/>
      <c r="I674" s="105">
        <f>2.5+0.69</f>
        <v>3.19</v>
      </c>
      <c r="J674" s="192"/>
      <c r="K674" s="64">
        <f t="shared" si="32"/>
        <v>15.745839999999999</v>
      </c>
      <c r="L674" s="82"/>
      <c r="M674" s="82"/>
      <c r="N674" s="86"/>
    </row>
    <row r="675" spans="1:14" s="167" customFormat="1" ht="19.149999999999999" customHeight="1" x14ac:dyDescent="0.25">
      <c r="B675" s="119"/>
      <c r="C675" s="193"/>
      <c r="D675" s="117" t="s">
        <v>783</v>
      </c>
      <c r="E675" s="189"/>
      <c r="F675" s="190">
        <v>1</v>
      </c>
      <c r="G675" s="468">
        <v>4</v>
      </c>
      <c r="H675" s="471"/>
      <c r="I675" s="105">
        <f>2.5+0.53</f>
        <v>3.0300000000000002</v>
      </c>
      <c r="J675" s="192"/>
      <c r="K675" s="64">
        <f t="shared" si="32"/>
        <v>7.4780400000000009</v>
      </c>
      <c r="L675" s="82"/>
      <c r="M675" s="82"/>
      <c r="N675" s="86"/>
    </row>
    <row r="676" spans="1:14" s="167" customFormat="1" ht="19.149999999999999" customHeight="1" x14ac:dyDescent="0.25">
      <c r="B676" s="119"/>
      <c r="C676" s="193"/>
      <c r="D676" s="267" t="s">
        <v>783</v>
      </c>
      <c r="E676" s="189"/>
      <c r="F676" s="130">
        <v>1</v>
      </c>
      <c r="G676" s="468">
        <v>4</v>
      </c>
      <c r="H676" s="471"/>
      <c r="I676" s="105">
        <f>2.5+0.57</f>
        <v>3.07</v>
      </c>
      <c r="J676" s="192"/>
      <c r="K676" s="64">
        <f t="shared" si="32"/>
        <v>7.5767599999999993</v>
      </c>
      <c r="L676" s="82"/>
      <c r="M676" s="82"/>
      <c r="N676" s="86"/>
    </row>
    <row r="677" spans="1:14" s="167" customFormat="1" ht="19.149999999999999" customHeight="1" x14ac:dyDescent="0.25">
      <c r="B677" s="119"/>
      <c r="C677" s="193"/>
      <c r="D677" s="267" t="s">
        <v>783</v>
      </c>
      <c r="E677" s="189"/>
      <c r="F677" s="190">
        <v>1</v>
      </c>
      <c r="G677" s="468">
        <v>4</v>
      </c>
      <c r="H677" s="471"/>
      <c r="I677" s="105">
        <f>2.5+0.55</f>
        <v>3.05</v>
      </c>
      <c r="J677" s="192"/>
      <c r="K677" s="64">
        <f t="shared" si="32"/>
        <v>7.5273999999999992</v>
      </c>
      <c r="L677" s="82"/>
      <c r="M677" s="82"/>
      <c r="N677" s="86"/>
    </row>
    <row r="678" spans="1:14" s="167" customFormat="1" ht="19.149999999999999" customHeight="1" x14ac:dyDescent="0.25">
      <c r="B678" s="119"/>
      <c r="C678" s="193"/>
      <c r="D678" s="117" t="s">
        <v>783</v>
      </c>
      <c r="E678" s="189"/>
      <c r="F678" s="190">
        <v>1</v>
      </c>
      <c r="G678" s="468">
        <v>4</v>
      </c>
      <c r="H678" s="471"/>
      <c r="I678" s="105">
        <f>2.5+0.6</f>
        <v>3.1</v>
      </c>
      <c r="J678" s="192"/>
      <c r="K678" s="64">
        <f t="shared" si="32"/>
        <v>7.6508000000000003</v>
      </c>
      <c r="L678" s="82"/>
      <c r="M678" s="82"/>
      <c r="N678" s="86"/>
    </row>
    <row r="679" spans="1:14" s="167" customFormat="1" ht="19.149999999999999" customHeight="1" x14ac:dyDescent="0.25">
      <c r="B679" s="119"/>
      <c r="C679" s="193"/>
      <c r="D679" s="117" t="s">
        <v>783</v>
      </c>
      <c r="E679" s="189"/>
      <c r="F679" s="190">
        <v>1</v>
      </c>
      <c r="G679" s="468">
        <v>4</v>
      </c>
      <c r="H679" s="471"/>
      <c r="I679" s="105">
        <f>2.5+0.64</f>
        <v>3.14</v>
      </c>
      <c r="J679" s="192"/>
      <c r="K679" s="64">
        <f t="shared" si="32"/>
        <v>7.7495200000000004</v>
      </c>
      <c r="L679" s="82"/>
      <c r="M679" s="82"/>
      <c r="N679" s="86"/>
    </row>
    <row r="680" spans="1:14" s="167" customFormat="1" ht="19.149999999999999" customHeight="1" x14ac:dyDescent="0.25">
      <c r="B680" s="119"/>
      <c r="C680" s="193"/>
      <c r="D680" s="117" t="s">
        <v>783</v>
      </c>
      <c r="E680" s="189"/>
      <c r="F680" s="190">
        <v>1</v>
      </c>
      <c r="G680" s="468">
        <v>4</v>
      </c>
      <c r="H680" s="471"/>
      <c r="I680" s="105">
        <f>2.5+0.63</f>
        <v>3.13</v>
      </c>
      <c r="J680" s="192"/>
      <c r="K680" s="64">
        <f t="shared" si="32"/>
        <v>7.7248399999999995</v>
      </c>
      <c r="L680" s="82"/>
      <c r="M680" s="82"/>
      <c r="N680" s="86"/>
    </row>
    <row r="681" spans="1:14" s="167" customFormat="1" ht="19.149999999999999" customHeight="1" x14ac:dyDescent="0.25">
      <c r="B681" s="119"/>
      <c r="C681" s="193"/>
      <c r="D681" s="117" t="s">
        <v>783</v>
      </c>
      <c r="E681" s="189"/>
      <c r="F681" s="190">
        <v>1</v>
      </c>
      <c r="G681" s="468">
        <v>4</v>
      </c>
      <c r="H681" s="471"/>
      <c r="I681" s="105">
        <f>2.5+0.66</f>
        <v>3.16</v>
      </c>
      <c r="J681" s="192"/>
      <c r="K681" s="64">
        <f t="shared" si="32"/>
        <v>7.7988800000000005</v>
      </c>
      <c r="L681" s="82"/>
      <c r="M681" s="82"/>
      <c r="N681" s="86"/>
    </row>
    <row r="682" spans="1:14" s="167" customFormat="1" ht="33.75" x14ac:dyDescent="0.25">
      <c r="B682" s="119" t="s">
        <v>491</v>
      </c>
      <c r="C682" s="193">
        <v>96536</v>
      </c>
      <c r="D682" s="188" t="s">
        <v>86</v>
      </c>
      <c r="E682" s="189" t="s">
        <v>17</v>
      </c>
      <c r="F682" s="130"/>
      <c r="G682" s="468"/>
      <c r="H682" s="469"/>
      <c r="I682" s="470"/>
      <c r="J682" s="99">
        <f>'BOLETIM DE MEDIÇÃO 05'!O186-'MEMORIAL DE CALCULO 04'!K682</f>
        <v>102.29400000000001</v>
      </c>
      <c r="K682" s="81">
        <f>SUM(K684:K700)</f>
        <v>47.304000000000002</v>
      </c>
      <c r="L682" s="82">
        <f t="shared" si="28"/>
        <v>149.59800000000001</v>
      </c>
      <c r="M682" s="82">
        <f>'BOLETIM DE MEDIÇÃO 05'!G186</f>
        <v>149.6</v>
      </c>
      <c r="N682" s="86">
        <f t="shared" si="29"/>
        <v>1.999999999981128E-3</v>
      </c>
    </row>
    <row r="683" spans="1:14" s="167" customFormat="1" x14ac:dyDescent="0.25">
      <c r="B683" s="119"/>
      <c r="C683" s="193"/>
      <c r="D683" s="53"/>
      <c r="E683" s="44"/>
      <c r="F683" s="314"/>
      <c r="G683" s="133" t="s">
        <v>558</v>
      </c>
      <c r="H683" s="191" t="s">
        <v>559</v>
      </c>
      <c r="I683" s="127" t="s">
        <v>560</v>
      </c>
      <c r="J683" s="99"/>
      <c r="K683" s="81"/>
      <c r="L683" s="82"/>
      <c r="M683" s="82"/>
      <c r="N683" s="86"/>
    </row>
    <row r="684" spans="1:14" s="167" customFormat="1" x14ac:dyDescent="0.25">
      <c r="B684" s="119"/>
      <c r="C684" s="166"/>
      <c r="D684" s="117" t="s">
        <v>783</v>
      </c>
      <c r="E684" s="189"/>
      <c r="F684" s="190">
        <v>1</v>
      </c>
      <c r="G684" s="133">
        <v>0.2</v>
      </c>
      <c r="H684" s="191">
        <v>0.2</v>
      </c>
      <c r="I684" s="105">
        <f>2.5+0.46</f>
        <v>2.96</v>
      </c>
      <c r="J684" s="99"/>
      <c r="K684" s="81">
        <f>((G684+H684)*2)*I684*F684</f>
        <v>2.3679999999999999</v>
      </c>
      <c r="L684" s="82"/>
      <c r="M684" s="82"/>
      <c r="N684" s="86"/>
    </row>
    <row r="685" spans="1:14" s="167" customFormat="1" x14ac:dyDescent="0.25">
      <c r="B685" s="119"/>
      <c r="C685" s="193"/>
      <c r="D685" s="117" t="s">
        <v>783</v>
      </c>
      <c r="E685" s="189"/>
      <c r="F685" s="190">
        <v>1</v>
      </c>
      <c r="G685" s="133">
        <v>0.2</v>
      </c>
      <c r="H685" s="191">
        <v>0.2</v>
      </c>
      <c r="I685" s="105">
        <f>2.5+0.47</f>
        <v>2.9699999999999998</v>
      </c>
      <c r="J685" s="99"/>
      <c r="K685" s="81">
        <f t="shared" ref="K685:K693" si="33">((G685+H685)*2)*I685*F685</f>
        <v>2.3759999999999999</v>
      </c>
      <c r="L685" s="82"/>
      <c r="M685" s="82"/>
      <c r="N685" s="86"/>
    </row>
    <row r="686" spans="1:14" s="167" customFormat="1" x14ac:dyDescent="0.25">
      <c r="B686" s="119"/>
      <c r="C686" s="193"/>
      <c r="D686" s="117" t="s">
        <v>783</v>
      </c>
      <c r="E686" s="189"/>
      <c r="F686" s="190">
        <v>1</v>
      </c>
      <c r="G686" s="133">
        <v>0.2</v>
      </c>
      <c r="H686" s="191">
        <v>0.2</v>
      </c>
      <c r="I686" s="105">
        <f>2.5+0.48</f>
        <v>2.98</v>
      </c>
      <c r="J686" s="99"/>
      <c r="K686" s="81">
        <f t="shared" si="33"/>
        <v>2.3839999999999999</v>
      </c>
      <c r="L686" s="82"/>
      <c r="M686" s="82"/>
      <c r="N686" s="86"/>
    </row>
    <row r="687" spans="1:14" s="167" customFormat="1" x14ac:dyDescent="0.25">
      <c r="A687" s="234"/>
      <c r="B687" s="119"/>
      <c r="C687" s="193"/>
      <c r="D687" s="267" t="s">
        <v>783</v>
      </c>
      <c r="E687" s="44"/>
      <c r="F687" s="130">
        <v>2</v>
      </c>
      <c r="G687" s="133">
        <v>0.2</v>
      </c>
      <c r="H687" s="191">
        <v>0.2</v>
      </c>
      <c r="I687" s="105">
        <f>2.5+0.54</f>
        <v>3.04</v>
      </c>
      <c r="J687" s="99"/>
      <c r="K687" s="81">
        <f t="shared" si="33"/>
        <v>4.8640000000000008</v>
      </c>
      <c r="L687" s="82"/>
      <c r="M687" s="82"/>
      <c r="N687" s="86"/>
    </row>
    <row r="688" spans="1:14" s="167" customFormat="1" x14ac:dyDescent="0.25">
      <c r="A688" s="234"/>
      <c r="B688" s="119"/>
      <c r="C688" s="193"/>
      <c r="D688" s="267" t="s">
        <v>783</v>
      </c>
      <c r="E688" s="189"/>
      <c r="F688" s="190">
        <v>1</v>
      </c>
      <c r="G688" s="133">
        <v>0.2</v>
      </c>
      <c r="H688" s="191">
        <v>0.2</v>
      </c>
      <c r="I688" s="105">
        <f>2.5+0.67</f>
        <v>3.17</v>
      </c>
      <c r="J688" s="99"/>
      <c r="K688" s="81">
        <f t="shared" si="33"/>
        <v>2.536</v>
      </c>
      <c r="L688" s="82"/>
      <c r="M688" s="82"/>
      <c r="N688" s="86"/>
    </row>
    <row r="689" spans="1:14" s="167" customFormat="1" x14ac:dyDescent="0.25">
      <c r="A689" s="234"/>
      <c r="B689" s="119"/>
      <c r="C689" s="193"/>
      <c r="D689" s="117" t="s">
        <v>783</v>
      </c>
      <c r="E689" s="189"/>
      <c r="F689" s="190">
        <v>1</v>
      </c>
      <c r="G689" s="133">
        <v>0.2</v>
      </c>
      <c r="H689" s="191">
        <v>0.2</v>
      </c>
      <c r="I689" s="105">
        <f>2.5+0.76</f>
        <v>3.26</v>
      </c>
      <c r="J689" s="99"/>
      <c r="K689" s="81">
        <f t="shared" si="33"/>
        <v>2.6080000000000001</v>
      </c>
      <c r="L689" s="82"/>
      <c r="M689" s="82"/>
      <c r="N689" s="86"/>
    </row>
    <row r="690" spans="1:14" s="167" customFormat="1" x14ac:dyDescent="0.25">
      <c r="A690" s="234"/>
      <c r="B690" s="119"/>
      <c r="C690" s="193"/>
      <c r="D690" s="117" t="s">
        <v>783</v>
      </c>
      <c r="E690" s="189"/>
      <c r="F690" s="190">
        <v>1</v>
      </c>
      <c r="G690" s="133">
        <v>0.2</v>
      </c>
      <c r="H690" s="191">
        <v>0.2</v>
      </c>
      <c r="I690" s="105">
        <f>2.5+0.8</f>
        <v>3.3</v>
      </c>
      <c r="J690" s="99"/>
      <c r="K690" s="81">
        <f t="shared" si="33"/>
        <v>2.64</v>
      </c>
      <c r="L690" s="82"/>
      <c r="M690" s="82"/>
      <c r="N690" s="86"/>
    </row>
    <row r="691" spans="1:14" s="167" customFormat="1" x14ac:dyDescent="0.25">
      <c r="A691" s="234"/>
      <c r="B691" s="119"/>
      <c r="C691" s="193"/>
      <c r="D691" s="117" t="s">
        <v>783</v>
      </c>
      <c r="E691" s="189"/>
      <c r="F691" s="190">
        <v>1</v>
      </c>
      <c r="G691" s="133">
        <v>0.2</v>
      </c>
      <c r="H691" s="191">
        <v>0.2</v>
      </c>
      <c r="I691" s="105">
        <f>2.5+0.77</f>
        <v>3.27</v>
      </c>
      <c r="J691" s="99"/>
      <c r="K691" s="81">
        <f t="shared" si="33"/>
        <v>2.6160000000000001</v>
      </c>
      <c r="L691" s="82"/>
      <c r="M691" s="82"/>
      <c r="N691" s="86"/>
    </row>
    <row r="692" spans="1:14" s="167" customFormat="1" x14ac:dyDescent="0.25">
      <c r="B692" s="119"/>
      <c r="C692" s="193"/>
      <c r="D692" s="117" t="s">
        <v>783</v>
      </c>
      <c r="E692" s="189"/>
      <c r="F692" s="190">
        <v>1</v>
      </c>
      <c r="G692" s="133">
        <v>0.2</v>
      </c>
      <c r="H692" s="191">
        <v>0.2</v>
      </c>
      <c r="I692" s="105">
        <f>2.5+0.74</f>
        <v>3.24</v>
      </c>
      <c r="J692" s="99"/>
      <c r="K692" s="81">
        <f t="shared" si="33"/>
        <v>2.5920000000000005</v>
      </c>
      <c r="L692" s="82"/>
      <c r="M692" s="82"/>
      <c r="N692" s="86"/>
    </row>
    <row r="693" spans="1:14" s="167" customFormat="1" x14ac:dyDescent="0.25">
      <c r="A693" s="234"/>
      <c r="B693" s="264"/>
      <c r="C693" s="264"/>
      <c r="D693" s="117" t="s">
        <v>783</v>
      </c>
      <c r="E693" s="189"/>
      <c r="F693" s="190">
        <v>1</v>
      </c>
      <c r="G693" s="133">
        <v>0.2</v>
      </c>
      <c r="H693" s="191">
        <v>0.2</v>
      </c>
      <c r="I693" s="105">
        <f>2.5+0.69</f>
        <v>3.19</v>
      </c>
      <c r="J693" s="99"/>
      <c r="K693" s="81">
        <f t="shared" si="33"/>
        <v>2.552</v>
      </c>
      <c r="L693" s="82"/>
      <c r="M693" s="82"/>
      <c r="N693" s="86"/>
    </row>
    <row r="694" spans="1:14" s="167" customFormat="1" x14ac:dyDescent="0.25">
      <c r="B694" s="119"/>
      <c r="C694" s="193"/>
      <c r="D694" s="117" t="s">
        <v>783</v>
      </c>
      <c r="E694" s="189"/>
      <c r="F694" s="190">
        <v>2</v>
      </c>
      <c r="G694" s="133">
        <v>0.2</v>
      </c>
      <c r="H694" s="191">
        <v>0.2</v>
      </c>
      <c r="I694" s="105">
        <f>2.5+0.53</f>
        <v>3.0300000000000002</v>
      </c>
      <c r="J694" s="99"/>
      <c r="K694" s="81">
        <f t="shared" ref="K694:K700" si="34">((G694+H694)*2)*I694*F694</f>
        <v>4.8480000000000008</v>
      </c>
      <c r="L694" s="82"/>
      <c r="M694" s="82"/>
      <c r="N694" s="86"/>
    </row>
    <row r="695" spans="1:14" s="167" customFormat="1" x14ac:dyDescent="0.25">
      <c r="B695" s="119"/>
      <c r="C695" s="193"/>
      <c r="D695" s="117" t="s">
        <v>783</v>
      </c>
      <c r="E695" s="189"/>
      <c r="F695" s="190">
        <v>1</v>
      </c>
      <c r="G695" s="133">
        <v>0.2</v>
      </c>
      <c r="H695" s="191">
        <v>0.2</v>
      </c>
      <c r="I695" s="105">
        <f>2.5+0.57</f>
        <v>3.07</v>
      </c>
      <c r="J695" s="99"/>
      <c r="K695" s="81">
        <f t="shared" si="34"/>
        <v>2.456</v>
      </c>
      <c r="L695" s="82"/>
      <c r="M695" s="82"/>
      <c r="N695" s="86"/>
    </row>
    <row r="696" spans="1:14" s="167" customFormat="1" x14ac:dyDescent="0.25">
      <c r="A696" s="234"/>
      <c r="B696" s="119"/>
      <c r="C696" s="193"/>
      <c r="D696" s="267" t="s">
        <v>783</v>
      </c>
      <c r="E696" s="44"/>
      <c r="F696" s="130">
        <v>1</v>
      </c>
      <c r="G696" s="133">
        <v>0.2</v>
      </c>
      <c r="H696" s="191">
        <v>0.2</v>
      </c>
      <c r="I696" s="105">
        <f>2.5+0.55</f>
        <v>3.05</v>
      </c>
      <c r="J696" s="99"/>
      <c r="K696" s="81">
        <f t="shared" si="34"/>
        <v>2.44</v>
      </c>
      <c r="L696" s="82"/>
      <c r="M696" s="82"/>
      <c r="N696" s="86"/>
    </row>
    <row r="697" spans="1:14" s="167" customFormat="1" x14ac:dyDescent="0.25">
      <c r="A697" s="234"/>
      <c r="B697" s="119"/>
      <c r="C697" s="193"/>
      <c r="D697" s="267" t="s">
        <v>783</v>
      </c>
      <c r="E697" s="189"/>
      <c r="F697" s="190">
        <v>1</v>
      </c>
      <c r="G697" s="133">
        <v>0.2</v>
      </c>
      <c r="H697" s="191">
        <v>0.2</v>
      </c>
      <c r="I697" s="105">
        <f>2.5+0.6</f>
        <v>3.1</v>
      </c>
      <c r="J697" s="99"/>
      <c r="K697" s="81">
        <f t="shared" si="34"/>
        <v>2.4800000000000004</v>
      </c>
      <c r="L697" s="82"/>
      <c r="M697" s="82"/>
      <c r="N697" s="86"/>
    </row>
    <row r="698" spans="1:14" s="167" customFormat="1" x14ac:dyDescent="0.25">
      <c r="A698" s="234"/>
      <c r="B698" s="119"/>
      <c r="C698" s="193"/>
      <c r="D698" s="117" t="s">
        <v>783</v>
      </c>
      <c r="E698" s="189"/>
      <c r="F698" s="190">
        <v>1</v>
      </c>
      <c r="G698" s="133">
        <v>0.2</v>
      </c>
      <c r="H698" s="191">
        <v>0.2</v>
      </c>
      <c r="I698" s="105">
        <f>2.5+0.64</f>
        <v>3.14</v>
      </c>
      <c r="J698" s="99"/>
      <c r="K698" s="81">
        <f t="shared" si="34"/>
        <v>2.5120000000000005</v>
      </c>
      <c r="L698" s="82"/>
      <c r="M698" s="82"/>
      <c r="N698" s="86"/>
    </row>
    <row r="699" spans="1:14" s="167" customFormat="1" x14ac:dyDescent="0.25">
      <c r="A699" s="234"/>
      <c r="B699" s="119"/>
      <c r="C699" s="193"/>
      <c r="D699" s="117" t="s">
        <v>783</v>
      </c>
      <c r="E699" s="189"/>
      <c r="F699" s="190">
        <v>1</v>
      </c>
      <c r="G699" s="133">
        <v>0.2</v>
      </c>
      <c r="H699" s="191">
        <v>0.2</v>
      </c>
      <c r="I699" s="105">
        <f>2.5+0.63</f>
        <v>3.13</v>
      </c>
      <c r="J699" s="99"/>
      <c r="K699" s="81">
        <f t="shared" si="34"/>
        <v>2.504</v>
      </c>
      <c r="L699" s="82"/>
      <c r="M699" s="82"/>
      <c r="N699" s="86"/>
    </row>
    <row r="700" spans="1:14" s="167" customFormat="1" x14ac:dyDescent="0.25">
      <c r="A700" s="234"/>
      <c r="B700" s="119"/>
      <c r="C700" s="193"/>
      <c r="D700" s="117" t="s">
        <v>783</v>
      </c>
      <c r="E700" s="189"/>
      <c r="F700" s="190">
        <v>1</v>
      </c>
      <c r="G700" s="133">
        <v>0.2</v>
      </c>
      <c r="H700" s="191">
        <v>0.2</v>
      </c>
      <c r="I700" s="105">
        <f>2.5+0.66</f>
        <v>3.16</v>
      </c>
      <c r="J700" s="99"/>
      <c r="K700" s="81">
        <f t="shared" si="34"/>
        <v>2.5280000000000005</v>
      </c>
      <c r="L700" s="82"/>
      <c r="M700" s="82"/>
      <c r="N700" s="86"/>
    </row>
    <row r="701" spans="1:14" s="167" customFormat="1" ht="38.450000000000003" customHeight="1" x14ac:dyDescent="0.25">
      <c r="A701" s="234"/>
      <c r="B701" s="264" t="s">
        <v>492</v>
      </c>
      <c r="C701" s="264"/>
      <c r="D701" s="262" t="s">
        <v>89</v>
      </c>
      <c r="E701" s="44"/>
      <c r="F701" s="130"/>
      <c r="G701" s="533"/>
      <c r="H701" s="534"/>
      <c r="I701" s="535"/>
      <c r="J701" s="192"/>
      <c r="K701" s="64"/>
      <c r="L701" s="82"/>
      <c r="M701" s="82"/>
      <c r="N701" s="86"/>
    </row>
    <row r="702" spans="1:14" s="167" customFormat="1" x14ac:dyDescent="0.25">
      <c r="A702" s="234"/>
      <c r="B702" s="264"/>
      <c r="C702" s="264"/>
      <c r="D702" s="263"/>
      <c r="E702" s="114" t="s">
        <v>17</v>
      </c>
      <c r="F702" s="283">
        <v>1</v>
      </c>
      <c r="G702" s="269">
        <v>63.6</v>
      </c>
      <c r="H702" s="270">
        <v>0.5</v>
      </c>
      <c r="I702" s="256"/>
      <c r="J702" s="253">
        <f>'BOLETIM DE MEDIÇÃO 05'!O187-'MEMORIAL DE CALCULO 04'!K702</f>
        <v>33.635000000000005</v>
      </c>
      <c r="K702" s="81">
        <f>TRUNC(F702*G702*H702,2)</f>
        <v>31.8</v>
      </c>
      <c r="L702" s="109">
        <f t="shared" si="28"/>
        <v>65.435000000000002</v>
      </c>
      <c r="M702" s="109">
        <f>'BOLETIM DE MEDIÇÃO 05'!G187</f>
        <v>65.430000000000007</v>
      </c>
      <c r="N702" s="110">
        <f t="shared" si="29"/>
        <v>-4.9999999999954525E-3</v>
      </c>
    </row>
    <row r="703" spans="1:14" ht="45" x14ac:dyDescent="0.25">
      <c r="A703" s="79"/>
      <c r="B703" s="265" t="s">
        <v>493</v>
      </c>
      <c r="C703" s="66">
        <v>103356</v>
      </c>
      <c r="D703" s="53" t="s">
        <v>137</v>
      </c>
      <c r="E703" s="44" t="s">
        <v>17</v>
      </c>
      <c r="F703" s="283"/>
      <c r="G703" s="468"/>
      <c r="H703" s="469"/>
      <c r="I703" s="470"/>
      <c r="J703" s="99"/>
      <c r="K703" s="268">
        <f>SUM(K704:K704)</f>
        <v>177.38200000000001</v>
      </c>
      <c r="L703" s="82">
        <f t="shared" si="28"/>
        <v>177.38200000000001</v>
      </c>
      <c r="M703" s="82">
        <f>'BOLETIM DE MEDIÇÃO 05'!G188</f>
        <v>405.64</v>
      </c>
      <c r="N703" s="86">
        <f t="shared" si="29"/>
        <v>228.25799999999998</v>
      </c>
    </row>
    <row r="704" spans="1:14" x14ac:dyDescent="0.25">
      <c r="A704" s="79"/>
      <c r="B704" s="265"/>
      <c r="C704" s="66"/>
      <c r="D704" s="315" t="s">
        <v>932</v>
      </c>
      <c r="E704" s="44"/>
      <c r="F704" s="283">
        <v>1</v>
      </c>
      <c r="G704" s="121"/>
      <c r="H704" s="70">
        <v>57.22</v>
      </c>
      <c r="I704" s="105">
        <v>3.1</v>
      </c>
      <c r="J704" s="99"/>
      <c r="K704" s="268">
        <f>H704*I704*F704</f>
        <v>177.38200000000001</v>
      </c>
      <c r="L704" s="82"/>
      <c r="M704" s="82"/>
      <c r="N704" s="86"/>
    </row>
    <row r="705" spans="1:14" ht="45" x14ac:dyDescent="0.25">
      <c r="A705" s="79"/>
      <c r="B705" s="50" t="s">
        <v>494</v>
      </c>
      <c r="C705" s="66">
        <v>87893</v>
      </c>
      <c r="D705" s="53" t="s">
        <v>151</v>
      </c>
      <c r="E705" s="44" t="s">
        <v>17</v>
      </c>
      <c r="F705" s="259"/>
      <c r="G705" s="121"/>
      <c r="H705" s="70"/>
      <c r="I705" s="105"/>
      <c r="J705" s="99">
        <f>'BOLETIM DE MEDIÇÃO 05'!O189-'MEMORIAL DE CALCULO 04'!K705</f>
        <v>686.74300000000005</v>
      </c>
      <c r="K705" s="268">
        <f>K706+K707</f>
        <v>124.52700000000002</v>
      </c>
      <c r="L705" s="82">
        <f t="shared" si="28"/>
        <v>811.2700000000001</v>
      </c>
      <c r="M705" s="82">
        <f>'BOLETIM DE MEDIÇÃO 05'!G189</f>
        <v>811.27</v>
      </c>
      <c r="N705" s="86">
        <f t="shared" si="29"/>
        <v>0</v>
      </c>
    </row>
    <row r="706" spans="1:14" ht="22.5" x14ac:dyDescent="0.25">
      <c r="A706" s="79"/>
      <c r="B706" s="50"/>
      <c r="C706" s="66"/>
      <c r="D706" s="315" t="s">
        <v>879</v>
      </c>
      <c r="E706" s="44"/>
      <c r="F706" s="259">
        <v>1</v>
      </c>
      <c r="G706" s="121">
        <v>11.67</v>
      </c>
      <c r="H706" s="70">
        <v>3.1</v>
      </c>
      <c r="I706" s="105"/>
      <c r="J706" s="99"/>
      <c r="K706" s="268">
        <f>G706*H706</f>
        <v>36.177</v>
      </c>
      <c r="L706" s="82"/>
      <c r="M706" s="82"/>
      <c r="N706" s="86"/>
    </row>
    <row r="707" spans="1:14" ht="28.15" customHeight="1" x14ac:dyDescent="0.25">
      <c r="A707" s="79"/>
      <c r="B707" s="50"/>
      <c r="C707" s="66"/>
      <c r="D707" s="315" t="s">
        <v>876</v>
      </c>
      <c r="E707" s="44"/>
      <c r="F707" s="259">
        <v>1</v>
      </c>
      <c r="G707" s="121">
        <v>28.5</v>
      </c>
      <c r="H707" s="70">
        <v>3.1</v>
      </c>
      <c r="I707" s="105"/>
      <c r="J707" s="99"/>
      <c r="K707" s="268">
        <f>G707*H707</f>
        <v>88.350000000000009</v>
      </c>
      <c r="L707" s="82"/>
      <c r="M707" s="82"/>
      <c r="N707" s="86"/>
    </row>
    <row r="708" spans="1:14" ht="56.25" hidden="1" x14ac:dyDescent="0.25">
      <c r="A708" s="79"/>
      <c r="B708" s="50" t="s">
        <v>495</v>
      </c>
      <c r="C708" s="66">
        <v>87548</v>
      </c>
      <c r="D708" s="53" t="s">
        <v>154</v>
      </c>
      <c r="E708" s="44" t="s">
        <v>17</v>
      </c>
      <c r="F708" s="259"/>
      <c r="G708" s="121"/>
      <c r="H708" s="70"/>
      <c r="I708" s="105"/>
      <c r="J708" s="99">
        <f>'BOLETIM DE MEDIÇÃO 05'!O190-'MEMORIAL DE CALCULO 04'!K708</f>
        <v>405.66600000000005</v>
      </c>
      <c r="K708" s="240">
        <f t="shared" ref="K708:K713" si="35">H708*I708*F708</f>
        <v>0</v>
      </c>
      <c r="L708" s="82">
        <f t="shared" si="28"/>
        <v>405.66600000000005</v>
      </c>
      <c r="M708" s="82">
        <f>'BOLETIM DE MEDIÇÃO 05'!G190</f>
        <v>811.27</v>
      </c>
      <c r="N708" s="86">
        <f t="shared" si="29"/>
        <v>405.60399999999993</v>
      </c>
    </row>
    <row r="709" spans="1:14" ht="22.5" hidden="1" x14ac:dyDescent="0.25">
      <c r="A709" s="79"/>
      <c r="B709" s="50" t="s">
        <v>496</v>
      </c>
      <c r="C709" s="66">
        <v>88489</v>
      </c>
      <c r="D709" s="53" t="s">
        <v>198</v>
      </c>
      <c r="E709" s="44" t="s">
        <v>17</v>
      </c>
      <c r="F709" s="259"/>
      <c r="G709" s="121"/>
      <c r="H709" s="70"/>
      <c r="I709" s="105"/>
      <c r="J709" s="99">
        <f>'BOLETIM DE MEDIÇÃO 05'!O191-'MEMORIAL DE CALCULO 04'!K709</f>
        <v>0</v>
      </c>
      <c r="K709" s="240">
        <f t="shared" si="35"/>
        <v>0</v>
      </c>
      <c r="L709" s="82">
        <f t="shared" si="28"/>
        <v>0</v>
      </c>
      <c r="M709" s="82">
        <f>'BOLETIM DE MEDIÇÃO 05'!G191</f>
        <v>811.27</v>
      </c>
      <c r="N709" s="86">
        <f t="shared" si="29"/>
        <v>811.27</v>
      </c>
    </row>
    <row r="710" spans="1:14" ht="22.5" hidden="1" x14ac:dyDescent="0.25">
      <c r="A710" s="79"/>
      <c r="B710" s="50" t="s">
        <v>497</v>
      </c>
      <c r="C710" s="66">
        <v>95305</v>
      </c>
      <c r="D710" s="53" t="s">
        <v>499</v>
      </c>
      <c r="E710" s="44" t="s">
        <v>17</v>
      </c>
      <c r="F710" s="259"/>
      <c r="G710" s="121"/>
      <c r="H710" s="70"/>
      <c r="I710" s="105"/>
      <c r="J710" s="99">
        <f>'BOLETIM DE MEDIÇÃO 05'!O192-'MEMORIAL DE CALCULO 04'!K710</f>
        <v>0</v>
      </c>
      <c r="K710" s="240">
        <f t="shared" si="35"/>
        <v>0</v>
      </c>
      <c r="L710" s="82">
        <f t="shared" si="28"/>
        <v>0</v>
      </c>
      <c r="M710" s="82">
        <f>'BOLETIM DE MEDIÇÃO 05'!G192</f>
        <v>811.27</v>
      </c>
      <c r="N710" s="86">
        <f t="shared" si="29"/>
        <v>811.27</v>
      </c>
    </row>
    <row r="711" spans="1:14" ht="14.45" hidden="1" customHeight="1" x14ac:dyDescent="0.25">
      <c r="A711" s="79"/>
      <c r="B711" s="51">
        <v>1.1599999999999999</v>
      </c>
      <c r="C711" s="65" t="s">
        <v>501</v>
      </c>
      <c r="D711" s="53"/>
      <c r="E711" s="44"/>
      <c r="F711" s="259"/>
      <c r="G711" s="121"/>
      <c r="H711" s="271"/>
      <c r="I711" s="105"/>
      <c r="J711" s="99"/>
      <c r="K711" s="240">
        <f t="shared" si="35"/>
        <v>0</v>
      </c>
      <c r="L711" s="82"/>
      <c r="M711" s="82"/>
      <c r="N711" s="86"/>
    </row>
    <row r="712" spans="1:14" ht="33.75" hidden="1" x14ac:dyDescent="0.25">
      <c r="A712" s="79"/>
      <c r="B712" s="50" t="s">
        <v>502</v>
      </c>
      <c r="C712" s="59" t="s">
        <v>503</v>
      </c>
      <c r="D712" s="53" t="s">
        <v>504</v>
      </c>
      <c r="E712" s="44" t="s">
        <v>166</v>
      </c>
      <c r="F712" s="259"/>
      <c r="G712" s="121"/>
      <c r="H712" s="70"/>
      <c r="I712" s="105"/>
      <c r="J712" s="99">
        <f>'BOLETIM DE MEDIÇÃO 05'!O194-'MEMORIAL DE CALCULO 04'!K712</f>
        <v>0</v>
      </c>
      <c r="K712" s="240">
        <f t="shared" si="35"/>
        <v>0</v>
      </c>
      <c r="L712" s="82">
        <f t="shared" si="28"/>
        <v>0</v>
      </c>
      <c r="M712" s="82">
        <f>'BOLETIM DE MEDIÇÃO 05'!G194</f>
        <v>2</v>
      </c>
      <c r="N712" s="86">
        <f t="shared" si="29"/>
        <v>2</v>
      </c>
    </row>
    <row r="713" spans="1:14" ht="45" hidden="1" x14ac:dyDescent="0.25">
      <c r="A713" s="79"/>
      <c r="B713" s="119" t="s">
        <v>505</v>
      </c>
      <c r="C713" s="235" t="s">
        <v>506</v>
      </c>
      <c r="D713" s="188" t="s">
        <v>507</v>
      </c>
      <c r="E713" s="189" t="s">
        <v>166</v>
      </c>
      <c r="F713" s="260"/>
      <c r="G713" s="191"/>
      <c r="H713" s="134"/>
      <c r="I713" s="257"/>
      <c r="J713" s="254">
        <f>'BOLETIM DE MEDIÇÃO 05'!O195-'MEMORIAL DE CALCULO 04'!K713</f>
        <v>0</v>
      </c>
      <c r="K713" s="240">
        <f t="shared" si="35"/>
        <v>0</v>
      </c>
      <c r="L713" s="236">
        <f t="shared" si="28"/>
        <v>0</v>
      </c>
      <c r="M713" s="236">
        <f>'BOLETIM DE MEDIÇÃO 05'!G195</f>
        <v>1</v>
      </c>
      <c r="N713" s="237">
        <f t="shared" si="29"/>
        <v>1</v>
      </c>
    </row>
    <row r="714" spans="1:14" hidden="1" x14ac:dyDescent="0.25">
      <c r="A714" s="79"/>
      <c r="B714" s="266"/>
      <c r="C714" s="266"/>
      <c r="D714" s="255"/>
      <c r="E714" s="238"/>
      <c r="F714" s="261"/>
      <c r="G714" s="272"/>
      <c r="H714" s="273"/>
      <c r="I714" s="274"/>
      <c r="J714" s="255"/>
      <c r="K714" s="238"/>
      <c r="L714" s="238"/>
      <c r="M714" s="238"/>
      <c r="N714" s="258"/>
    </row>
    <row r="717" spans="1:14" ht="69.599999999999994" hidden="1" customHeight="1" x14ac:dyDescent="0.25">
      <c r="D717" s="278" t="s">
        <v>832</v>
      </c>
      <c r="E717" s="277" t="s">
        <v>41</v>
      </c>
      <c r="F717" s="279"/>
      <c r="G717" s="539" t="s">
        <v>836</v>
      </c>
      <c r="H717" s="539"/>
      <c r="I717" s="539"/>
      <c r="J717" s="279"/>
      <c r="K717" s="280">
        <f>SUM(K720:K724)</f>
        <v>16.472439999999999</v>
      </c>
      <c r="M717" s="282"/>
    </row>
    <row r="718" spans="1:14" hidden="1" x14ac:dyDescent="0.25">
      <c r="D718" s="239"/>
      <c r="E718" s="239"/>
      <c r="F718" s="239"/>
      <c r="G718" s="239"/>
      <c r="H718" s="239"/>
      <c r="I718" s="239"/>
      <c r="J718" s="239"/>
      <c r="K718" s="239"/>
    </row>
    <row r="719" spans="1:14" ht="36.6" hidden="1" customHeight="1" x14ac:dyDescent="0.25">
      <c r="D719" s="281"/>
      <c r="E719" s="239"/>
      <c r="F719" s="275" t="s">
        <v>556</v>
      </c>
      <c r="G719" s="276" t="s">
        <v>833</v>
      </c>
      <c r="H719" s="276" t="s">
        <v>834</v>
      </c>
      <c r="I719" s="276" t="s">
        <v>835</v>
      </c>
      <c r="J719" s="239"/>
      <c r="K719" s="239"/>
    </row>
    <row r="720" spans="1:14" hidden="1" x14ac:dyDescent="0.25">
      <c r="D720" s="288" t="s">
        <v>879</v>
      </c>
      <c r="E720" s="239"/>
      <c r="F720" s="245">
        <v>1</v>
      </c>
      <c r="G720" s="245">
        <v>12.5</v>
      </c>
      <c r="H720" s="245">
        <v>0.1</v>
      </c>
      <c r="I720" s="245">
        <v>0.36</v>
      </c>
      <c r="J720" s="277"/>
      <c r="K720" s="245">
        <f>((I720+H720/2)*G720)*0.2</f>
        <v>1.0250000000000001</v>
      </c>
    </row>
    <row r="721" spans="4:11" ht="22.5" hidden="1" x14ac:dyDescent="0.25">
      <c r="D721" s="288" t="s">
        <v>876</v>
      </c>
      <c r="E721" s="239"/>
      <c r="F721" s="245">
        <v>1</v>
      </c>
      <c r="G721" s="245">
        <v>11.67</v>
      </c>
      <c r="H721" s="245">
        <v>0.36</v>
      </c>
      <c r="I721" s="245">
        <v>0.53</v>
      </c>
      <c r="J721" s="277"/>
      <c r="K721" s="245">
        <f t="shared" ref="K721:K724" si="36">((I721+H721/2)*G721)*0.2</f>
        <v>1.6571400000000001</v>
      </c>
    </row>
    <row r="722" spans="4:11" ht="33.75" hidden="1" x14ac:dyDescent="0.25">
      <c r="D722" s="288" t="s">
        <v>880</v>
      </c>
      <c r="E722" s="239"/>
      <c r="F722" s="245">
        <v>1</v>
      </c>
      <c r="G722" s="245">
        <v>27.1</v>
      </c>
      <c r="H722" s="245">
        <v>0.53</v>
      </c>
      <c r="I722" s="245">
        <v>0.74</v>
      </c>
      <c r="J722" s="277"/>
      <c r="K722" s="245">
        <f t="shared" si="36"/>
        <v>5.4470999999999998</v>
      </c>
    </row>
    <row r="723" spans="4:11" ht="33.75" hidden="1" x14ac:dyDescent="0.25">
      <c r="D723" s="288" t="s">
        <v>881</v>
      </c>
      <c r="E723" s="239"/>
      <c r="F723" s="245">
        <v>1</v>
      </c>
      <c r="G723" s="245">
        <v>33.9</v>
      </c>
      <c r="H723" s="245">
        <v>0.74</v>
      </c>
      <c r="I723" s="245">
        <v>0.61</v>
      </c>
      <c r="J723" s="277"/>
      <c r="K723" s="245">
        <f t="shared" si="36"/>
        <v>6.644400000000001</v>
      </c>
    </row>
    <row r="724" spans="4:11" ht="22.5" hidden="1" x14ac:dyDescent="0.25">
      <c r="D724" s="288" t="s">
        <v>882</v>
      </c>
      <c r="E724" s="239"/>
      <c r="F724" s="245">
        <v>1</v>
      </c>
      <c r="G724" s="245">
        <v>12.4</v>
      </c>
      <c r="H724" s="245">
        <v>0.61</v>
      </c>
      <c r="I724" s="245">
        <v>0.38</v>
      </c>
      <c r="J724" s="277"/>
      <c r="K724" s="245">
        <f t="shared" si="36"/>
        <v>1.6988000000000003</v>
      </c>
    </row>
  </sheetData>
  <mergeCells count="270">
    <mergeCell ref="G682:I682"/>
    <mergeCell ref="G701:I701"/>
    <mergeCell ref="G703:I703"/>
    <mergeCell ref="G717:I717"/>
    <mergeCell ref="G669:H669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0:H680"/>
    <mergeCell ref="G681:H681"/>
    <mergeCell ref="G645:I645"/>
    <mergeCell ref="G664:H664"/>
    <mergeCell ref="G665:H665"/>
    <mergeCell ref="G666:H666"/>
    <mergeCell ref="G667:H667"/>
    <mergeCell ref="G668:H668"/>
    <mergeCell ref="G379:H379"/>
    <mergeCell ref="G380:H380"/>
    <mergeCell ref="G609:I609"/>
    <mergeCell ref="G615:I615"/>
    <mergeCell ref="G617:I617"/>
    <mergeCell ref="G618:I618"/>
    <mergeCell ref="G619:I619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AC198"/>
  <sheetViews>
    <sheetView zoomScale="42" zoomScaleNormal="72" workbookViewId="0">
      <selection activeCell="AJ187" sqref="AJ187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13.710937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customWidth="1"/>
    <col min="13" max="14" width="8.85546875" hidden="1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9" hidden="1" customWidth="1"/>
    <col min="19" max="20" width="16.28515625" hidden="1" customWidth="1"/>
    <col min="21" max="21" width="17" hidden="1" customWidth="1"/>
    <col min="22" max="22" width="17.5703125" customWidth="1"/>
    <col min="23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934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v>45422</v>
      </c>
      <c r="C8" s="498"/>
      <c r="D8" s="23" t="s">
        <v>954</v>
      </c>
      <c r="E8" s="140">
        <f>V196</f>
        <v>103177.48903680005</v>
      </c>
      <c r="F8" s="138"/>
      <c r="G8" s="139"/>
      <c r="H8" s="141">
        <f>Y196-E8</f>
        <v>274592.67562904983</v>
      </c>
      <c r="I8" s="142"/>
      <c r="J8" s="503">
        <f>Y196-E8</f>
        <v>274592.67562904983</v>
      </c>
      <c r="K8" s="503"/>
      <c r="L8" s="503"/>
      <c r="M8" s="503"/>
      <c r="N8" s="503"/>
      <c r="O8" s="503"/>
      <c r="P8" s="519"/>
      <c r="Q8" s="504" t="s">
        <v>933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543</v>
      </c>
      <c r="G10" s="545" t="s">
        <v>530</v>
      </c>
      <c r="H10" s="473"/>
      <c r="I10" s="473"/>
      <c r="J10" s="473"/>
      <c r="K10" s="473"/>
      <c r="L10" s="473"/>
      <c r="M10" s="473"/>
      <c r="N10" s="473"/>
      <c r="O10" s="473"/>
      <c r="P10" s="473"/>
      <c r="Q10" s="474" t="s">
        <v>531</v>
      </c>
      <c r="R10" s="475"/>
      <c r="S10" s="475"/>
      <c r="T10" s="475"/>
      <c r="U10" s="475"/>
      <c r="V10" s="475"/>
      <c r="W10" s="475"/>
      <c r="X10" s="475"/>
      <c r="Y10" s="543"/>
      <c r="Z10" s="476"/>
    </row>
    <row r="11" spans="2:26" ht="36" x14ac:dyDescent="0.25">
      <c r="B11" s="478"/>
      <c r="C11" s="478"/>
      <c r="D11" s="480"/>
      <c r="E11" s="478"/>
      <c r="F11" s="482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4" t="s">
        <v>540</v>
      </c>
      <c r="P11" s="34" t="s">
        <v>541</v>
      </c>
      <c r="Q11" s="35" t="s">
        <v>532</v>
      </c>
      <c r="R11" s="36" t="s">
        <v>593</v>
      </c>
      <c r="S11" s="36" t="s">
        <v>534</v>
      </c>
      <c r="T11" s="37" t="s">
        <v>535</v>
      </c>
      <c r="U11" s="37" t="s">
        <v>536</v>
      </c>
      <c r="V11" s="37" t="s">
        <v>537</v>
      </c>
      <c r="W11" s="37" t="s">
        <v>538</v>
      </c>
      <c r="X11" s="37" t="s">
        <v>539</v>
      </c>
      <c r="Y11" s="38" t="s">
        <v>540</v>
      </c>
      <c r="Z11" s="39" t="s">
        <v>541</v>
      </c>
    </row>
    <row r="12" spans="2:26" ht="14.45" customHeight="1" x14ac:dyDescent="0.25">
      <c r="B12" s="197">
        <v>1</v>
      </c>
      <c r="C12" s="198" t="s">
        <v>10</v>
      </c>
      <c r="D12" s="199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1"/>
      <c r="P12" s="201"/>
      <c r="Q12" s="194"/>
      <c r="R12" s="180"/>
      <c r="S12" s="180"/>
      <c r="T12" s="180"/>
      <c r="U12" s="180"/>
      <c r="V12" s="180"/>
      <c r="W12" s="180"/>
      <c r="X12" s="194"/>
      <c r="Y12" s="194"/>
      <c r="Z12" s="181"/>
    </row>
    <row r="13" spans="2:26" x14ac:dyDescent="0.25">
      <c r="B13" s="197">
        <v>1.1000000000000001</v>
      </c>
      <c r="C13" s="198" t="s">
        <v>12</v>
      </c>
      <c r="D13" s="199"/>
      <c r="E13" s="200"/>
      <c r="F13" s="200"/>
      <c r="G13" s="202"/>
      <c r="H13" s="200"/>
      <c r="I13" s="200"/>
      <c r="J13" s="200"/>
      <c r="K13" s="200"/>
      <c r="L13" s="200"/>
      <c r="M13" s="200"/>
      <c r="N13" s="200"/>
      <c r="O13" s="201"/>
      <c r="P13" s="201"/>
      <c r="Q13" s="194"/>
      <c r="R13" s="180"/>
      <c r="S13" s="180"/>
      <c r="T13" s="180"/>
      <c r="U13" s="180"/>
      <c r="V13" s="180"/>
      <c r="W13" s="180"/>
      <c r="X13" s="194"/>
      <c r="Y13" s="194"/>
      <c r="Z13" s="181"/>
    </row>
    <row r="14" spans="2:26" ht="22.5" x14ac:dyDescent="0.25">
      <c r="B14" s="203" t="s">
        <v>13</v>
      </c>
      <c r="C14" s="204" t="s">
        <v>14</v>
      </c>
      <c r="D14" s="205" t="s">
        <v>15</v>
      </c>
      <c r="E14" s="206" t="s">
        <v>17</v>
      </c>
      <c r="F14" s="206">
        <v>414.1</v>
      </c>
      <c r="G14" s="206">
        <v>6</v>
      </c>
      <c r="H14" s="29">
        <f>'MEMORIAL DE CALCULO 01'!K14</f>
        <v>6</v>
      </c>
      <c r="I14" s="29"/>
      <c r="J14" s="29"/>
      <c r="K14" s="207"/>
      <c r="L14" s="207"/>
      <c r="M14" s="207"/>
      <c r="N14" s="206"/>
      <c r="O14" s="206">
        <f>H14+I14+J14+K14+L14+M14+N14</f>
        <v>6</v>
      </c>
      <c r="P14" s="206">
        <f>G14-O14</f>
        <v>0</v>
      </c>
      <c r="Q14" s="206">
        <f>F14*G14</f>
        <v>2484.6000000000004</v>
      </c>
      <c r="R14" s="208">
        <f>F14*H14</f>
        <v>2484.6000000000004</v>
      </c>
      <c r="S14" s="208">
        <f>F14*I14</f>
        <v>0</v>
      </c>
      <c r="T14" s="208">
        <f>TRUNC(F14*J14,2)</f>
        <v>0</v>
      </c>
      <c r="U14" s="208">
        <f>TRUNC(F14*K14,2)</f>
        <v>0</v>
      </c>
      <c r="V14" s="208">
        <f>TRUNC(F14*L14,2)</f>
        <v>0</v>
      </c>
      <c r="W14" s="208">
        <f t="shared" ref="W14" si="0">K14*M14</f>
        <v>0</v>
      </c>
      <c r="X14" s="208">
        <f>L14*N14</f>
        <v>0</v>
      </c>
      <c r="Y14" s="209">
        <f>R14+S14+T14+U14+V14+W14</f>
        <v>2484.6000000000004</v>
      </c>
      <c r="Z14" s="210">
        <f>Q14-Y14</f>
        <v>0</v>
      </c>
    </row>
    <row r="15" spans="2:26" ht="22.5" x14ac:dyDescent="0.25">
      <c r="B15" s="203" t="s">
        <v>18</v>
      </c>
      <c r="C15" s="204">
        <v>93209</v>
      </c>
      <c r="D15" s="205" t="s">
        <v>20</v>
      </c>
      <c r="E15" s="206" t="s">
        <v>17</v>
      </c>
      <c r="F15" s="206">
        <v>947.21</v>
      </c>
      <c r="G15" s="206">
        <v>5</v>
      </c>
      <c r="H15" s="29">
        <v>2.25</v>
      </c>
      <c r="I15" s="29">
        <f>'MEMORIAL DE CALCULO 02'!K15</f>
        <v>2.75</v>
      </c>
      <c r="J15" s="29"/>
      <c r="K15" s="207"/>
      <c r="L15" s="207"/>
      <c r="M15" s="207"/>
      <c r="N15" s="206"/>
      <c r="O15" s="206">
        <f t="shared" ref="O15:O78" si="1">H15+I15+J15+K15+L15+M15+N15</f>
        <v>5</v>
      </c>
      <c r="P15" s="206">
        <f t="shared" ref="P15:P78" si="2">G15-O15</f>
        <v>0</v>
      </c>
      <c r="Q15" s="206">
        <f t="shared" ref="Q15:Q78" si="3">F15*G15</f>
        <v>4736.05</v>
      </c>
      <c r="R15" s="208">
        <f t="shared" ref="R15:R78" si="4">F15*H15</f>
        <v>2131.2224999999999</v>
      </c>
      <c r="S15" s="208">
        <f t="shared" ref="S15:S78" si="5">F15*I15</f>
        <v>2604.8275000000003</v>
      </c>
      <c r="T15" s="208">
        <f t="shared" ref="T15:T78" si="6">F15*J15</f>
        <v>0</v>
      </c>
      <c r="U15" s="208">
        <f t="shared" ref="U15:U78" si="7">TRUNC(F15*K15,2)</f>
        <v>0</v>
      </c>
      <c r="V15" s="208">
        <f t="shared" ref="V15:V78" si="8">TRUNC(F15*L15,2)</f>
        <v>0</v>
      </c>
      <c r="W15" s="208"/>
      <c r="X15" s="209"/>
      <c r="Y15" s="209">
        <f t="shared" ref="Y15:Y78" si="9">R15+S15+T15+U15+V15+W15</f>
        <v>4736.05</v>
      </c>
      <c r="Z15" s="210">
        <f t="shared" ref="Z15:Z78" si="10">Q15-Y15</f>
        <v>0</v>
      </c>
    </row>
    <row r="16" spans="2:26" ht="33.75" x14ac:dyDescent="0.25">
      <c r="B16" s="203" t="s">
        <v>22</v>
      </c>
      <c r="C16" s="204">
        <v>93206</v>
      </c>
      <c r="D16" s="205" t="s">
        <v>23</v>
      </c>
      <c r="E16" s="206" t="s">
        <v>17</v>
      </c>
      <c r="F16" s="206">
        <v>1086.7</v>
      </c>
      <c r="G16" s="206">
        <v>5</v>
      </c>
      <c r="H16" s="29">
        <v>2.25</v>
      </c>
      <c r="I16" s="29">
        <f>'MEMORIAL DE CALCULO 02'!K16</f>
        <v>2.75</v>
      </c>
      <c r="J16" s="29"/>
      <c r="K16" s="207"/>
      <c r="L16" s="207"/>
      <c r="M16" s="207"/>
      <c r="N16" s="206"/>
      <c r="O16" s="206">
        <f t="shared" si="1"/>
        <v>5</v>
      </c>
      <c r="P16" s="206">
        <f t="shared" si="2"/>
        <v>0</v>
      </c>
      <c r="Q16" s="206">
        <f t="shared" si="3"/>
        <v>5433.5</v>
      </c>
      <c r="R16" s="208">
        <f t="shared" si="4"/>
        <v>2445.0750000000003</v>
      </c>
      <c r="S16" s="208">
        <f t="shared" si="5"/>
        <v>2988.4250000000002</v>
      </c>
      <c r="T16" s="208">
        <f t="shared" si="6"/>
        <v>0</v>
      </c>
      <c r="U16" s="208">
        <f t="shared" si="7"/>
        <v>0</v>
      </c>
      <c r="V16" s="208">
        <f t="shared" si="8"/>
        <v>0</v>
      </c>
      <c r="W16" s="208"/>
      <c r="X16" s="209"/>
      <c r="Y16" s="209">
        <f t="shared" si="9"/>
        <v>5433.5</v>
      </c>
      <c r="Z16" s="210">
        <f t="shared" si="10"/>
        <v>0</v>
      </c>
    </row>
    <row r="17" spans="2:26" ht="22.5" x14ac:dyDescent="0.25">
      <c r="B17" s="203" t="s">
        <v>24</v>
      </c>
      <c r="C17" s="204" t="s">
        <v>25</v>
      </c>
      <c r="D17" s="205" t="s">
        <v>26</v>
      </c>
      <c r="E17" s="206" t="s">
        <v>17</v>
      </c>
      <c r="F17" s="206">
        <v>102.24</v>
      </c>
      <c r="G17" s="206">
        <v>277.39999999999998</v>
      </c>
      <c r="H17" s="29">
        <v>258.39999999999998</v>
      </c>
      <c r="I17" s="29">
        <f>'MEMORIAL DE CALCULO 02'!K17</f>
        <v>19</v>
      </c>
      <c r="J17" s="29"/>
      <c r="K17" s="207"/>
      <c r="L17" s="207"/>
      <c r="M17" s="207"/>
      <c r="N17" s="206"/>
      <c r="O17" s="206">
        <f t="shared" si="1"/>
        <v>277.39999999999998</v>
      </c>
      <c r="P17" s="206">
        <f t="shared" si="2"/>
        <v>0</v>
      </c>
      <c r="Q17" s="206">
        <f t="shared" si="3"/>
        <v>28361.375999999997</v>
      </c>
      <c r="R17" s="208">
        <f t="shared" si="4"/>
        <v>26418.815999999995</v>
      </c>
      <c r="S17" s="208">
        <f t="shared" si="5"/>
        <v>1942.56</v>
      </c>
      <c r="T17" s="208">
        <f t="shared" si="6"/>
        <v>0</v>
      </c>
      <c r="U17" s="208">
        <f t="shared" si="7"/>
        <v>0</v>
      </c>
      <c r="V17" s="208">
        <f t="shared" si="8"/>
        <v>0</v>
      </c>
      <c r="W17" s="208"/>
      <c r="X17" s="209"/>
      <c r="Y17" s="209">
        <f t="shared" si="9"/>
        <v>28361.375999999997</v>
      </c>
      <c r="Z17" s="210">
        <f t="shared" si="10"/>
        <v>0</v>
      </c>
    </row>
    <row r="18" spans="2:26" s="164" customFormat="1" ht="22.5" x14ac:dyDescent="0.25">
      <c r="B18" s="203" t="s">
        <v>27</v>
      </c>
      <c r="C18" s="204">
        <v>98524</v>
      </c>
      <c r="D18" s="205" t="s">
        <v>28</v>
      </c>
      <c r="E18" s="206" t="s">
        <v>17</v>
      </c>
      <c r="F18" s="206">
        <v>2.29</v>
      </c>
      <c r="G18" s="206">
        <v>1430.2</v>
      </c>
      <c r="H18" s="29"/>
      <c r="I18" s="29"/>
      <c r="J18" s="29"/>
      <c r="K18" s="207"/>
      <c r="L18" s="207"/>
      <c r="M18" s="207"/>
      <c r="N18" s="206"/>
      <c r="O18" s="206">
        <f t="shared" si="1"/>
        <v>0</v>
      </c>
      <c r="P18" s="206">
        <f t="shared" si="2"/>
        <v>1430.2</v>
      </c>
      <c r="Q18" s="206">
        <f t="shared" si="3"/>
        <v>3275.1580000000004</v>
      </c>
      <c r="R18" s="208">
        <f t="shared" si="4"/>
        <v>0</v>
      </c>
      <c r="S18" s="208">
        <f t="shared" si="5"/>
        <v>0</v>
      </c>
      <c r="T18" s="208">
        <f t="shared" si="6"/>
        <v>0</v>
      </c>
      <c r="U18" s="208">
        <f t="shared" si="7"/>
        <v>0</v>
      </c>
      <c r="V18" s="208">
        <f t="shared" si="8"/>
        <v>0</v>
      </c>
      <c r="W18" s="208"/>
      <c r="X18" s="209"/>
      <c r="Y18" s="209">
        <f t="shared" si="9"/>
        <v>0</v>
      </c>
      <c r="Z18" s="210">
        <f t="shared" si="10"/>
        <v>3275.1580000000004</v>
      </c>
    </row>
    <row r="19" spans="2:26" s="164" customFormat="1" ht="22.5" x14ac:dyDescent="0.25">
      <c r="B19" s="203" t="s">
        <v>29</v>
      </c>
      <c r="C19" s="211">
        <v>100575</v>
      </c>
      <c r="D19" s="205" t="s">
        <v>31</v>
      </c>
      <c r="E19" s="206" t="s">
        <v>17</v>
      </c>
      <c r="F19" s="206">
        <v>0.12</v>
      </c>
      <c r="G19" s="206">
        <v>1430.2</v>
      </c>
      <c r="H19" s="29"/>
      <c r="I19" s="29"/>
      <c r="J19" s="29"/>
      <c r="K19" s="207"/>
      <c r="L19" s="207"/>
      <c r="M19" s="207"/>
      <c r="N19" s="206"/>
      <c r="O19" s="206">
        <f t="shared" si="1"/>
        <v>0</v>
      </c>
      <c r="P19" s="206">
        <f t="shared" si="2"/>
        <v>1430.2</v>
      </c>
      <c r="Q19" s="206">
        <f t="shared" si="3"/>
        <v>171.624</v>
      </c>
      <c r="R19" s="208">
        <f t="shared" si="4"/>
        <v>0</v>
      </c>
      <c r="S19" s="208">
        <f t="shared" si="5"/>
        <v>0</v>
      </c>
      <c r="T19" s="208">
        <f t="shared" si="6"/>
        <v>0</v>
      </c>
      <c r="U19" s="208">
        <f t="shared" si="7"/>
        <v>0</v>
      </c>
      <c r="V19" s="208">
        <f t="shared" si="8"/>
        <v>0</v>
      </c>
      <c r="W19" s="208"/>
      <c r="X19" s="209"/>
      <c r="Y19" s="209">
        <f t="shared" si="9"/>
        <v>0</v>
      </c>
      <c r="Z19" s="210">
        <f t="shared" si="10"/>
        <v>171.624</v>
      </c>
    </row>
    <row r="20" spans="2:26" ht="14.45" customHeight="1" x14ac:dyDescent="0.25">
      <c r="B20" s="212" t="s">
        <v>32</v>
      </c>
      <c r="C20" s="213" t="s">
        <v>33</v>
      </c>
      <c r="D20" s="205"/>
      <c r="E20" s="206"/>
      <c r="F20" s="206"/>
      <c r="G20" s="206"/>
      <c r="H20" s="29"/>
      <c r="I20" s="29"/>
      <c r="J20" s="29"/>
      <c r="K20" s="207"/>
      <c r="L20" s="207"/>
      <c r="M20" s="207"/>
      <c r="N20" s="206"/>
      <c r="O20" s="206"/>
      <c r="P20" s="206"/>
      <c r="Q20" s="206"/>
      <c r="R20" s="208">
        <f t="shared" si="4"/>
        <v>0</v>
      </c>
      <c r="S20" s="208">
        <f t="shared" si="5"/>
        <v>0</v>
      </c>
      <c r="T20" s="208">
        <f t="shared" si="6"/>
        <v>0</v>
      </c>
      <c r="U20" s="208">
        <f t="shared" si="7"/>
        <v>0</v>
      </c>
      <c r="V20" s="208">
        <f t="shared" si="8"/>
        <v>0</v>
      </c>
      <c r="W20" s="208"/>
      <c r="X20" s="209"/>
      <c r="Y20" s="209">
        <f t="shared" si="9"/>
        <v>0</v>
      </c>
      <c r="Z20" s="210">
        <f t="shared" si="10"/>
        <v>0</v>
      </c>
    </row>
    <row r="21" spans="2:26" ht="32.450000000000003" customHeight="1" x14ac:dyDescent="0.25">
      <c r="B21" s="203" t="s">
        <v>34</v>
      </c>
      <c r="C21" s="211">
        <v>99059</v>
      </c>
      <c r="D21" s="205" t="s">
        <v>36</v>
      </c>
      <c r="E21" s="206" t="s">
        <v>37</v>
      </c>
      <c r="F21" s="206">
        <v>52.4</v>
      </c>
      <c r="G21" s="206">
        <v>137.5</v>
      </c>
      <c r="H21" s="29">
        <f>'MEMORIAL DE CALCULO 01'!K22</f>
        <v>137.5</v>
      </c>
      <c r="I21" s="29"/>
      <c r="J21" s="29"/>
      <c r="K21" s="207"/>
      <c r="L21" s="207"/>
      <c r="M21" s="207"/>
      <c r="N21" s="206"/>
      <c r="O21" s="206">
        <f t="shared" si="1"/>
        <v>137.5</v>
      </c>
      <c r="P21" s="206">
        <f t="shared" si="2"/>
        <v>0</v>
      </c>
      <c r="Q21" s="206">
        <f t="shared" si="3"/>
        <v>7205</v>
      </c>
      <c r="R21" s="208">
        <f t="shared" si="4"/>
        <v>7205</v>
      </c>
      <c r="S21" s="208">
        <f t="shared" si="5"/>
        <v>0</v>
      </c>
      <c r="T21" s="208">
        <f t="shared" si="6"/>
        <v>0</v>
      </c>
      <c r="U21" s="208">
        <f t="shared" si="7"/>
        <v>0</v>
      </c>
      <c r="V21" s="208">
        <f t="shared" si="8"/>
        <v>0</v>
      </c>
      <c r="W21" s="208"/>
      <c r="X21" s="209"/>
      <c r="Y21" s="209">
        <f t="shared" si="9"/>
        <v>7205</v>
      </c>
      <c r="Z21" s="210">
        <f t="shared" si="10"/>
        <v>0</v>
      </c>
    </row>
    <row r="22" spans="2:26" s="168" customFormat="1" ht="22.5" x14ac:dyDescent="0.25">
      <c r="B22" s="214" t="s">
        <v>38</v>
      </c>
      <c r="C22" s="211">
        <v>93358</v>
      </c>
      <c r="D22" s="205" t="s">
        <v>40</v>
      </c>
      <c r="E22" s="206" t="s">
        <v>41</v>
      </c>
      <c r="F22" s="206">
        <v>64.95</v>
      </c>
      <c r="G22" s="206">
        <v>89.01</v>
      </c>
      <c r="H22" s="29">
        <f>'MEMORIAL DE CALCULO 01'!K23</f>
        <v>69.939250000000001</v>
      </c>
      <c r="I22" s="29">
        <f>'MEMORIAL DE CALCULO 02'!K25</f>
        <v>1.2053699999999998</v>
      </c>
      <c r="J22" s="29">
        <f>'MEMORIAL DE CALCULO 03'!K25</f>
        <v>14.04</v>
      </c>
      <c r="K22" s="207"/>
      <c r="L22" s="207"/>
      <c r="M22" s="207"/>
      <c r="N22" s="206"/>
      <c r="O22" s="206">
        <f t="shared" si="1"/>
        <v>85.184619999999995</v>
      </c>
      <c r="P22" s="206">
        <f t="shared" si="2"/>
        <v>3.8253800000000098</v>
      </c>
      <c r="Q22" s="206">
        <f t="shared" si="3"/>
        <v>5781.1995000000006</v>
      </c>
      <c r="R22" s="208">
        <f t="shared" si="4"/>
        <v>4542.5542875000001</v>
      </c>
      <c r="S22" s="208">
        <f t="shared" si="5"/>
        <v>78.288781499999999</v>
      </c>
      <c r="T22" s="208">
        <f t="shared" si="6"/>
        <v>911.89800000000002</v>
      </c>
      <c r="U22" s="208">
        <f t="shared" si="7"/>
        <v>0</v>
      </c>
      <c r="V22" s="208">
        <f t="shared" si="8"/>
        <v>0</v>
      </c>
      <c r="W22" s="208"/>
      <c r="X22" s="209"/>
      <c r="Y22" s="209">
        <f t="shared" si="9"/>
        <v>5532.7410690000006</v>
      </c>
      <c r="Z22" s="210">
        <f t="shared" si="10"/>
        <v>248.45843100000002</v>
      </c>
    </row>
    <row r="23" spans="2:26" s="168" customFormat="1" x14ac:dyDescent="0.25">
      <c r="B23" s="203" t="s">
        <v>42</v>
      </c>
      <c r="C23" s="211">
        <v>96995</v>
      </c>
      <c r="D23" s="205" t="s">
        <v>44</v>
      </c>
      <c r="E23" s="206" t="s">
        <v>41</v>
      </c>
      <c r="F23" s="206">
        <v>39.369999999999997</v>
      </c>
      <c r="G23" s="206">
        <v>44.26</v>
      </c>
      <c r="H23" s="29"/>
      <c r="I23" s="29"/>
      <c r="J23" s="29">
        <f>'MEMORIAL DE CALCULO 03'!K68</f>
        <v>43.05</v>
      </c>
      <c r="K23" s="207"/>
      <c r="L23" s="207"/>
      <c r="M23" s="207"/>
      <c r="N23" s="206"/>
      <c r="O23" s="206">
        <f t="shared" si="1"/>
        <v>43.05</v>
      </c>
      <c r="P23" s="206">
        <f t="shared" si="2"/>
        <v>1.2100000000000009</v>
      </c>
      <c r="Q23" s="206">
        <f t="shared" si="3"/>
        <v>1742.5161999999998</v>
      </c>
      <c r="R23" s="208">
        <f t="shared" si="4"/>
        <v>0</v>
      </c>
      <c r="S23" s="208">
        <f t="shared" si="5"/>
        <v>0</v>
      </c>
      <c r="T23" s="208">
        <f t="shared" si="6"/>
        <v>1694.8784999999998</v>
      </c>
      <c r="U23" s="208">
        <f t="shared" si="7"/>
        <v>0</v>
      </c>
      <c r="V23" s="208">
        <f t="shared" si="8"/>
        <v>0</v>
      </c>
      <c r="W23" s="208"/>
      <c r="X23" s="209"/>
      <c r="Y23" s="209">
        <f t="shared" si="9"/>
        <v>1694.8784999999998</v>
      </c>
      <c r="Z23" s="210">
        <f t="shared" si="10"/>
        <v>47.637699999999995</v>
      </c>
    </row>
    <row r="24" spans="2:26" s="169" customFormat="1" ht="22.5" x14ac:dyDescent="0.25">
      <c r="B24" s="203" t="s">
        <v>45</v>
      </c>
      <c r="C24" s="211">
        <v>94319</v>
      </c>
      <c r="D24" s="205" t="s">
        <v>47</v>
      </c>
      <c r="E24" s="206" t="s">
        <v>41</v>
      </c>
      <c r="F24" s="206">
        <v>74.510000000000005</v>
      </c>
      <c r="G24" s="206">
        <v>93.63</v>
      </c>
      <c r="H24" s="29"/>
      <c r="I24" s="29"/>
      <c r="J24" s="29"/>
      <c r="K24" s="207">
        <v>0</v>
      </c>
      <c r="L24" s="207"/>
      <c r="M24" s="207"/>
      <c r="N24" s="206"/>
      <c r="O24" s="206">
        <f t="shared" si="1"/>
        <v>0</v>
      </c>
      <c r="P24" s="206">
        <f t="shared" si="2"/>
        <v>93.63</v>
      </c>
      <c r="Q24" s="206">
        <f t="shared" si="3"/>
        <v>6976.3712999999998</v>
      </c>
      <c r="R24" s="208">
        <f t="shared" si="4"/>
        <v>0</v>
      </c>
      <c r="S24" s="208">
        <f t="shared" si="5"/>
        <v>0</v>
      </c>
      <c r="T24" s="208">
        <f t="shared" si="6"/>
        <v>0</v>
      </c>
      <c r="U24" s="208">
        <f t="shared" si="7"/>
        <v>0</v>
      </c>
      <c r="V24" s="208">
        <f t="shared" si="8"/>
        <v>0</v>
      </c>
      <c r="W24" s="208"/>
      <c r="X24" s="209"/>
      <c r="Y24" s="209">
        <f t="shared" si="9"/>
        <v>0</v>
      </c>
      <c r="Z24" s="210">
        <f t="shared" si="10"/>
        <v>6976.3712999999998</v>
      </c>
    </row>
    <row r="25" spans="2:26" s="167" customFormat="1" x14ac:dyDescent="0.25">
      <c r="B25" s="212" t="s">
        <v>48</v>
      </c>
      <c r="C25" s="213" t="s">
        <v>49</v>
      </c>
      <c r="D25" s="205"/>
      <c r="E25" s="206"/>
      <c r="F25" s="206"/>
      <c r="G25" s="206"/>
      <c r="H25" s="29"/>
      <c r="I25" s="29"/>
      <c r="J25" s="29"/>
      <c r="K25" s="207"/>
      <c r="L25" s="207"/>
      <c r="M25" s="207"/>
      <c r="N25" s="206"/>
      <c r="O25" s="206"/>
      <c r="P25" s="206"/>
      <c r="Q25" s="206"/>
      <c r="R25" s="208">
        <f t="shared" si="4"/>
        <v>0</v>
      </c>
      <c r="S25" s="208">
        <f t="shared" si="5"/>
        <v>0</v>
      </c>
      <c r="T25" s="208">
        <f t="shared" si="6"/>
        <v>0</v>
      </c>
      <c r="U25" s="208">
        <f t="shared" si="7"/>
        <v>0</v>
      </c>
      <c r="V25" s="208">
        <f t="shared" si="8"/>
        <v>0</v>
      </c>
      <c r="W25" s="208"/>
      <c r="X25" s="209"/>
      <c r="Y25" s="209">
        <f t="shared" si="9"/>
        <v>0</v>
      </c>
      <c r="Z25" s="210">
        <f t="shared" si="10"/>
        <v>0</v>
      </c>
    </row>
    <row r="26" spans="2:26" s="168" customFormat="1" ht="43.15" customHeight="1" x14ac:dyDescent="0.25">
      <c r="B26" s="203" t="s">
        <v>50</v>
      </c>
      <c r="C26" s="204" t="s">
        <v>51</v>
      </c>
      <c r="D26" s="205" t="s">
        <v>52</v>
      </c>
      <c r="E26" s="206" t="s">
        <v>41</v>
      </c>
      <c r="F26" s="206">
        <v>411.48</v>
      </c>
      <c r="G26" s="206">
        <v>13.99</v>
      </c>
      <c r="H26" s="29"/>
      <c r="I26" s="29">
        <f>'MEMORIAL DE CALCULO 02'!K54</f>
        <v>7.3434100000000004</v>
      </c>
      <c r="J26" s="29">
        <v>6.6420000000000003</v>
      </c>
      <c r="K26" s="207"/>
      <c r="L26" s="207"/>
      <c r="M26" s="207"/>
      <c r="N26" s="206"/>
      <c r="O26" s="206">
        <f t="shared" si="1"/>
        <v>13.985410000000002</v>
      </c>
      <c r="P26" s="206">
        <f t="shared" si="2"/>
        <v>4.5899999999985397E-3</v>
      </c>
      <c r="Q26" s="206">
        <f t="shared" si="3"/>
        <v>5756.6052</v>
      </c>
      <c r="R26" s="208">
        <f t="shared" si="4"/>
        <v>0</v>
      </c>
      <c r="S26" s="208">
        <f t="shared" si="5"/>
        <v>3021.6663468000002</v>
      </c>
      <c r="T26" s="208">
        <f>TRUNC(F26*J26,2)</f>
        <v>2733.05</v>
      </c>
      <c r="U26" s="208">
        <f t="shared" si="7"/>
        <v>0</v>
      </c>
      <c r="V26" s="208">
        <f t="shared" si="8"/>
        <v>0</v>
      </c>
      <c r="W26" s="208"/>
      <c r="X26" s="209"/>
      <c r="Y26" s="209">
        <f t="shared" si="9"/>
        <v>5754.7163467999999</v>
      </c>
      <c r="Z26" s="210">
        <f t="shared" si="10"/>
        <v>1.8888532000000851</v>
      </c>
    </row>
    <row r="27" spans="2:26" ht="25.15" customHeight="1" x14ac:dyDescent="0.25">
      <c r="B27" s="203" t="s">
        <v>53</v>
      </c>
      <c r="C27" s="211">
        <v>101616</v>
      </c>
      <c r="D27" s="205" t="s">
        <v>55</v>
      </c>
      <c r="E27" s="206" t="s">
        <v>17</v>
      </c>
      <c r="F27" s="206">
        <v>4.91</v>
      </c>
      <c r="G27" s="206">
        <v>37.81</v>
      </c>
      <c r="H27" s="29"/>
      <c r="I27" s="29">
        <v>37.81</v>
      </c>
      <c r="J27" s="29"/>
      <c r="K27" s="207"/>
      <c r="L27" s="207"/>
      <c r="M27" s="207"/>
      <c r="N27" s="206"/>
      <c r="O27" s="206">
        <f t="shared" si="1"/>
        <v>37.81</v>
      </c>
      <c r="P27" s="206">
        <f t="shared" si="2"/>
        <v>0</v>
      </c>
      <c r="Q27" s="206">
        <f t="shared" si="3"/>
        <v>185.64710000000002</v>
      </c>
      <c r="R27" s="208">
        <f t="shared" si="4"/>
        <v>0</v>
      </c>
      <c r="S27" s="208">
        <f t="shared" si="5"/>
        <v>185.64710000000002</v>
      </c>
      <c r="T27" s="208">
        <f t="shared" si="6"/>
        <v>0</v>
      </c>
      <c r="U27" s="208">
        <f t="shared" si="7"/>
        <v>0</v>
      </c>
      <c r="V27" s="208">
        <f t="shared" si="8"/>
        <v>0</v>
      </c>
      <c r="W27" s="208"/>
      <c r="X27" s="209"/>
      <c r="Y27" s="209">
        <f t="shared" si="9"/>
        <v>185.64710000000002</v>
      </c>
      <c r="Z27" s="210">
        <f t="shared" si="10"/>
        <v>0</v>
      </c>
    </row>
    <row r="28" spans="2:26" s="164" customFormat="1" ht="30" customHeight="1" x14ac:dyDescent="0.25">
      <c r="B28" s="203" t="s">
        <v>56</v>
      </c>
      <c r="C28" s="211">
        <v>96619</v>
      </c>
      <c r="D28" s="215" t="s">
        <v>58</v>
      </c>
      <c r="E28" s="206" t="s">
        <v>17</v>
      </c>
      <c r="F28" s="206">
        <v>30.67</v>
      </c>
      <c r="G28" s="206">
        <v>77.41</v>
      </c>
      <c r="H28" s="29"/>
      <c r="I28" s="29">
        <v>37.81</v>
      </c>
      <c r="J28" s="29"/>
      <c r="K28" s="216"/>
      <c r="L28" s="216"/>
      <c r="M28" s="216"/>
      <c r="N28" s="216"/>
      <c r="O28" s="206">
        <f t="shared" si="1"/>
        <v>37.81</v>
      </c>
      <c r="P28" s="206">
        <f t="shared" si="2"/>
        <v>39.599999999999994</v>
      </c>
      <c r="Q28" s="206">
        <f t="shared" si="3"/>
        <v>2374.1646999999998</v>
      </c>
      <c r="R28" s="208">
        <f t="shared" si="4"/>
        <v>0</v>
      </c>
      <c r="S28" s="208">
        <f t="shared" si="5"/>
        <v>1159.6327000000001</v>
      </c>
      <c r="T28" s="208">
        <f t="shared" si="6"/>
        <v>0</v>
      </c>
      <c r="U28" s="208">
        <f t="shared" si="7"/>
        <v>0</v>
      </c>
      <c r="V28" s="208">
        <f t="shared" si="8"/>
        <v>0</v>
      </c>
      <c r="W28" s="208"/>
      <c r="X28" s="209"/>
      <c r="Y28" s="209">
        <f t="shared" si="9"/>
        <v>1159.6327000000001</v>
      </c>
      <c r="Z28" s="210">
        <f t="shared" si="10"/>
        <v>1214.5319999999997</v>
      </c>
    </row>
    <row r="29" spans="2:26" s="163" customFormat="1" ht="22.5" x14ac:dyDescent="0.25">
      <c r="B29" s="203" t="s">
        <v>59</v>
      </c>
      <c r="C29" s="211">
        <v>96545</v>
      </c>
      <c r="D29" s="205" t="s">
        <v>61</v>
      </c>
      <c r="E29" s="206" t="s">
        <v>62</v>
      </c>
      <c r="F29" s="206">
        <v>15.99</v>
      </c>
      <c r="G29" s="206">
        <v>537.29999999999995</v>
      </c>
      <c r="H29" s="29"/>
      <c r="I29" s="29">
        <f>'MEMORIAL DE CALCULO 02'!K90</f>
        <v>44.520449999999997</v>
      </c>
      <c r="J29" s="29">
        <v>492.77940000000001</v>
      </c>
      <c r="K29" s="207"/>
      <c r="L29" s="207"/>
      <c r="M29" s="207"/>
      <c r="N29" s="206"/>
      <c r="O29" s="206">
        <f t="shared" si="1"/>
        <v>537.29984999999999</v>
      </c>
      <c r="P29" s="206">
        <f t="shared" si="2"/>
        <v>1.4999999996234692E-4</v>
      </c>
      <c r="Q29" s="206">
        <f t="shared" si="3"/>
        <v>8591.4269999999997</v>
      </c>
      <c r="R29" s="208">
        <f t="shared" si="4"/>
        <v>0</v>
      </c>
      <c r="S29" s="208">
        <f t="shared" si="5"/>
        <v>711.8819954999999</v>
      </c>
      <c r="T29" s="208">
        <f t="shared" si="6"/>
        <v>7879.542606</v>
      </c>
      <c r="U29" s="208">
        <f t="shared" si="7"/>
        <v>0</v>
      </c>
      <c r="V29" s="208">
        <f t="shared" si="8"/>
        <v>0</v>
      </c>
      <c r="W29" s="208"/>
      <c r="X29" s="209"/>
      <c r="Y29" s="209">
        <f t="shared" si="9"/>
        <v>8591.424601499999</v>
      </c>
      <c r="Z29" s="210">
        <f t="shared" si="10"/>
        <v>2.3985000007087365E-3</v>
      </c>
    </row>
    <row r="30" spans="2:26" s="163" customFormat="1" ht="33.75" x14ac:dyDescent="0.25">
      <c r="B30" s="203" t="s">
        <v>63</v>
      </c>
      <c r="C30" s="211">
        <v>94966</v>
      </c>
      <c r="D30" s="205" t="s">
        <v>65</v>
      </c>
      <c r="E30" s="206" t="s">
        <v>41</v>
      </c>
      <c r="F30" s="206">
        <v>530.88</v>
      </c>
      <c r="G30" s="206">
        <v>21.16</v>
      </c>
      <c r="H30" s="29"/>
      <c r="I30" s="29">
        <f>'MEMORIAL DE CALCULO 02'!K99</f>
        <v>8.4130549999999982</v>
      </c>
      <c r="J30" s="29">
        <v>12.746919999999999</v>
      </c>
      <c r="K30" s="207"/>
      <c r="L30" s="207"/>
      <c r="M30" s="207"/>
      <c r="N30" s="206"/>
      <c r="O30" s="206">
        <f t="shared" si="1"/>
        <v>21.159974999999996</v>
      </c>
      <c r="P30" s="206">
        <f t="shared" si="2"/>
        <v>2.5000000004382628E-5</v>
      </c>
      <c r="Q30" s="206">
        <f t="shared" si="3"/>
        <v>11233.4208</v>
      </c>
      <c r="R30" s="208">
        <f t="shared" si="4"/>
        <v>0</v>
      </c>
      <c r="S30" s="208">
        <f t="shared" si="5"/>
        <v>4466.3226383999991</v>
      </c>
      <c r="T30" s="208">
        <f t="shared" si="6"/>
        <v>6767.0848895999998</v>
      </c>
      <c r="U30" s="208">
        <f t="shared" si="7"/>
        <v>0</v>
      </c>
      <c r="V30" s="208">
        <f t="shared" si="8"/>
        <v>0</v>
      </c>
      <c r="W30" s="208"/>
      <c r="X30" s="209"/>
      <c r="Y30" s="209">
        <f t="shared" si="9"/>
        <v>11233.407528</v>
      </c>
      <c r="Z30" s="210">
        <f t="shared" si="10"/>
        <v>1.3272000000142725E-2</v>
      </c>
    </row>
    <row r="31" spans="2:26" ht="33.75" x14ac:dyDescent="0.25">
      <c r="B31" s="203" t="s">
        <v>66</v>
      </c>
      <c r="C31" s="211">
        <v>94964</v>
      </c>
      <c r="D31" s="205" t="s">
        <v>68</v>
      </c>
      <c r="E31" s="206" t="s">
        <v>41</v>
      </c>
      <c r="F31" s="206">
        <v>488.69</v>
      </c>
      <c r="G31" s="206">
        <v>9.6</v>
      </c>
      <c r="H31" s="29"/>
      <c r="I31" s="29"/>
      <c r="J31" s="29">
        <v>9.6</v>
      </c>
      <c r="K31" s="207"/>
      <c r="L31" s="207"/>
      <c r="M31" s="207"/>
      <c r="N31" s="206"/>
      <c r="O31" s="206">
        <f t="shared" si="1"/>
        <v>9.6</v>
      </c>
      <c r="P31" s="206">
        <f t="shared" si="2"/>
        <v>0</v>
      </c>
      <c r="Q31" s="206">
        <f t="shared" si="3"/>
        <v>4691.424</v>
      </c>
      <c r="R31" s="208">
        <f t="shared" si="4"/>
        <v>0</v>
      </c>
      <c r="S31" s="208">
        <f t="shared" si="5"/>
        <v>0</v>
      </c>
      <c r="T31" s="208">
        <f t="shared" si="6"/>
        <v>4691.424</v>
      </c>
      <c r="U31" s="208">
        <f t="shared" si="7"/>
        <v>0</v>
      </c>
      <c r="V31" s="208">
        <f t="shared" si="8"/>
        <v>0</v>
      </c>
      <c r="W31" s="208"/>
      <c r="X31" s="209"/>
      <c r="Y31" s="209">
        <f t="shared" si="9"/>
        <v>4691.424</v>
      </c>
      <c r="Z31" s="210">
        <f t="shared" si="10"/>
        <v>0</v>
      </c>
    </row>
    <row r="32" spans="2:26" s="163" customFormat="1" ht="22.5" x14ac:dyDescent="0.25">
      <c r="B32" s="203" t="s">
        <v>69</v>
      </c>
      <c r="C32" s="211">
        <v>103670</v>
      </c>
      <c r="D32" s="205" t="s">
        <v>71</v>
      </c>
      <c r="E32" s="206" t="s">
        <v>41</v>
      </c>
      <c r="F32" s="206">
        <v>230.55</v>
      </c>
      <c r="G32" s="206">
        <v>30.76</v>
      </c>
      <c r="H32" s="29"/>
      <c r="I32" s="29">
        <f>'MEMORIAL DE CALCULO 02'!K151</f>
        <v>18.013054999999998</v>
      </c>
      <c r="J32" s="29">
        <v>12.746969999999999</v>
      </c>
      <c r="K32" s="207"/>
      <c r="L32" s="207"/>
      <c r="M32" s="207"/>
      <c r="N32" s="206"/>
      <c r="O32" s="206">
        <f t="shared" si="1"/>
        <v>30.760024999999999</v>
      </c>
      <c r="P32" s="206">
        <f t="shared" si="2"/>
        <v>-2.49999999972772E-5</v>
      </c>
      <c r="Q32" s="206">
        <f t="shared" si="3"/>
        <v>7091.7180000000008</v>
      </c>
      <c r="R32" s="208">
        <f t="shared" si="4"/>
        <v>0</v>
      </c>
      <c r="S32" s="208">
        <f t="shared" si="5"/>
        <v>4152.9098302499997</v>
      </c>
      <c r="T32" s="208">
        <f t="shared" si="6"/>
        <v>2938.8139335000001</v>
      </c>
      <c r="U32" s="208">
        <f t="shared" si="7"/>
        <v>0</v>
      </c>
      <c r="V32" s="208">
        <f t="shared" si="8"/>
        <v>0</v>
      </c>
      <c r="W32" s="208"/>
      <c r="X32" s="209"/>
      <c r="Y32" s="209">
        <f t="shared" si="9"/>
        <v>7091.7237637500002</v>
      </c>
      <c r="Z32" s="210">
        <f t="shared" si="10"/>
        <v>-5.7637499994598329E-3</v>
      </c>
    </row>
    <row r="33" spans="2:29" s="163" customFormat="1" ht="22.5" x14ac:dyDescent="0.25">
      <c r="B33" s="203" t="s">
        <v>72</v>
      </c>
      <c r="C33" s="211">
        <v>96543</v>
      </c>
      <c r="D33" s="205" t="s">
        <v>74</v>
      </c>
      <c r="E33" s="206" t="s">
        <v>62</v>
      </c>
      <c r="F33" s="206">
        <v>17.5</v>
      </c>
      <c r="G33" s="206">
        <v>404.4</v>
      </c>
      <c r="H33" s="29"/>
      <c r="I33" s="29">
        <f>'MEMORIAL DE CALCULO 02'!K153</f>
        <v>194.26804319999999</v>
      </c>
      <c r="J33" s="29">
        <f>'MEMORIAL DE CALCULO 03'!K262</f>
        <v>210.13</v>
      </c>
      <c r="K33" s="207"/>
      <c r="L33" s="207"/>
      <c r="M33" s="207"/>
      <c r="N33" s="206"/>
      <c r="O33" s="206">
        <f t="shared" si="1"/>
        <v>404.39804319999996</v>
      </c>
      <c r="P33" s="206">
        <f t="shared" si="2"/>
        <v>1.9568000000163011E-3</v>
      </c>
      <c r="Q33" s="206">
        <f t="shared" si="3"/>
        <v>7077</v>
      </c>
      <c r="R33" s="208">
        <f t="shared" si="4"/>
        <v>0</v>
      </c>
      <c r="S33" s="208">
        <f t="shared" si="5"/>
        <v>3399.690756</v>
      </c>
      <c r="T33" s="208">
        <f t="shared" si="6"/>
        <v>3677.2750000000001</v>
      </c>
      <c r="U33" s="208">
        <f t="shared" si="7"/>
        <v>0</v>
      </c>
      <c r="V33" s="208">
        <f t="shared" si="8"/>
        <v>0</v>
      </c>
      <c r="W33" s="208"/>
      <c r="X33" s="209"/>
      <c r="Y33" s="209">
        <f t="shared" si="9"/>
        <v>7076.9657559999996</v>
      </c>
      <c r="Z33" s="210">
        <f t="shared" si="10"/>
        <v>3.4244000000398955E-2</v>
      </c>
    </row>
    <row r="34" spans="2:29" ht="33.75" x14ac:dyDescent="0.25">
      <c r="B34" s="203" t="s">
        <v>75</v>
      </c>
      <c r="C34" s="211">
        <v>96544</v>
      </c>
      <c r="D34" s="205" t="s">
        <v>77</v>
      </c>
      <c r="E34" s="206" t="s">
        <v>62</v>
      </c>
      <c r="F34" s="206">
        <v>16.59</v>
      </c>
      <c r="G34" s="206">
        <v>295</v>
      </c>
      <c r="H34" s="29"/>
      <c r="I34" s="29">
        <f>'MEMORIAL DE CALCULO 02'!K193</f>
        <v>295</v>
      </c>
      <c r="J34" s="29"/>
      <c r="K34" s="207"/>
      <c r="L34" s="207"/>
      <c r="M34" s="207"/>
      <c r="N34" s="206"/>
      <c r="O34" s="206">
        <f>H34+I34+J34+K34+L34+M34+N34</f>
        <v>295</v>
      </c>
      <c r="P34" s="206">
        <f t="shared" si="2"/>
        <v>0</v>
      </c>
      <c r="Q34" s="206">
        <f t="shared" si="3"/>
        <v>4894.05</v>
      </c>
      <c r="R34" s="208">
        <f t="shared" si="4"/>
        <v>0</v>
      </c>
      <c r="S34" s="208">
        <f t="shared" si="5"/>
        <v>4894.05</v>
      </c>
      <c r="T34" s="208">
        <f t="shared" si="6"/>
        <v>0</v>
      </c>
      <c r="U34" s="208">
        <f t="shared" si="7"/>
        <v>0</v>
      </c>
      <c r="V34" s="208">
        <f t="shared" si="8"/>
        <v>0</v>
      </c>
      <c r="W34" s="208"/>
      <c r="X34" s="209"/>
      <c r="Y34" s="209">
        <f t="shared" si="9"/>
        <v>4894.05</v>
      </c>
      <c r="Z34" s="210">
        <f t="shared" si="10"/>
        <v>0</v>
      </c>
      <c r="AC34" s="164"/>
    </row>
    <row r="35" spans="2:29" ht="33.75" x14ac:dyDescent="0.25">
      <c r="B35" s="203" t="s">
        <v>78</v>
      </c>
      <c r="C35" s="211">
        <v>96546</v>
      </c>
      <c r="D35" s="205" t="s">
        <v>80</v>
      </c>
      <c r="E35" s="206" t="s">
        <v>62</v>
      </c>
      <c r="F35" s="206">
        <v>14.35</v>
      </c>
      <c r="G35" s="206">
        <v>534.1</v>
      </c>
      <c r="H35" s="29"/>
      <c r="I35" s="29">
        <v>534.1</v>
      </c>
      <c r="J35" s="29"/>
      <c r="K35" s="207"/>
      <c r="L35" s="207"/>
      <c r="M35" s="207"/>
      <c r="N35" s="206"/>
      <c r="O35" s="206">
        <f>H35+I35+J35+K35+L35+M35+N35</f>
        <v>534.1</v>
      </c>
      <c r="P35" s="206">
        <f t="shared" si="2"/>
        <v>0</v>
      </c>
      <c r="Q35" s="206">
        <f t="shared" si="3"/>
        <v>7664.335</v>
      </c>
      <c r="R35" s="208">
        <f t="shared" si="4"/>
        <v>0</v>
      </c>
      <c r="S35" s="208">
        <f t="shared" si="5"/>
        <v>7664.335</v>
      </c>
      <c r="T35" s="208">
        <f t="shared" si="6"/>
        <v>0</v>
      </c>
      <c r="U35" s="208">
        <f t="shared" si="7"/>
        <v>0</v>
      </c>
      <c r="V35" s="208">
        <f t="shared" si="8"/>
        <v>0</v>
      </c>
      <c r="W35" s="208"/>
      <c r="X35" s="209"/>
      <c r="Y35" s="209">
        <f t="shared" si="9"/>
        <v>7664.335</v>
      </c>
      <c r="Z35" s="210">
        <f t="shared" si="10"/>
        <v>0</v>
      </c>
    </row>
    <row r="36" spans="2:29" s="163" customFormat="1" ht="33.75" x14ac:dyDescent="0.25">
      <c r="B36" s="203" t="s">
        <v>81</v>
      </c>
      <c r="C36" s="211">
        <v>96547</v>
      </c>
      <c r="D36" s="205" t="s">
        <v>83</v>
      </c>
      <c r="E36" s="206" t="s">
        <v>62</v>
      </c>
      <c r="F36" s="206">
        <v>11.9</v>
      </c>
      <c r="G36" s="206">
        <v>152.9</v>
      </c>
      <c r="H36" s="29"/>
      <c r="I36" s="29">
        <f>'MEMORIAL DE CALCULO 02'!K221</f>
        <v>100.55646000000002</v>
      </c>
      <c r="J36" s="29">
        <f>'MEMORIAL DE CALCULO 03'!K330</f>
        <v>52.34</v>
      </c>
      <c r="K36" s="207"/>
      <c r="L36" s="207"/>
      <c r="M36" s="207"/>
      <c r="N36" s="206"/>
      <c r="O36" s="206">
        <f>H36+I36+J36+K36+L36+M36+N36</f>
        <v>152.89646000000002</v>
      </c>
      <c r="P36" s="206">
        <f t="shared" si="2"/>
        <v>3.5399999999867759E-3</v>
      </c>
      <c r="Q36" s="206">
        <f t="shared" si="3"/>
        <v>1819.5100000000002</v>
      </c>
      <c r="R36" s="208">
        <f t="shared" si="4"/>
        <v>0</v>
      </c>
      <c r="S36" s="208">
        <f t="shared" si="5"/>
        <v>1196.6218740000002</v>
      </c>
      <c r="T36" s="208">
        <f t="shared" si="6"/>
        <v>622.846</v>
      </c>
      <c r="U36" s="208">
        <f t="shared" si="7"/>
        <v>0</v>
      </c>
      <c r="V36" s="208">
        <f t="shared" si="8"/>
        <v>0</v>
      </c>
      <c r="W36" s="208"/>
      <c r="X36" s="209"/>
      <c r="Y36" s="209">
        <f t="shared" si="9"/>
        <v>1819.4678740000002</v>
      </c>
      <c r="Z36" s="210">
        <f t="shared" si="10"/>
        <v>4.2126000000052954E-2</v>
      </c>
    </row>
    <row r="37" spans="2:29" s="163" customFormat="1" ht="33.75" x14ac:dyDescent="0.25">
      <c r="B37" s="203" t="s">
        <v>84</v>
      </c>
      <c r="C37" s="211">
        <v>96536</v>
      </c>
      <c r="D37" s="205" t="s">
        <v>86</v>
      </c>
      <c r="E37" s="206" t="s">
        <v>17</v>
      </c>
      <c r="F37" s="206">
        <v>69.64</v>
      </c>
      <c r="G37" s="206">
        <v>429.83</v>
      </c>
      <c r="H37" s="29"/>
      <c r="I37" s="29">
        <f>'MEMORIAL DE CALCULO 02'!K238</f>
        <v>206.33700000000002</v>
      </c>
      <c r="J37" s="29">
        <f>'MEMORIAL DE CALCULO 03'!K340</f>
        <v>223.49</v>
      </c>
      <c r="K37" s="207"/>
      <c r="L37" s="207"/>
      <c r="M37" s="207"/>
      <c r="N37" s="206"/>
      <c r="O37" s="206">
        <f t="shared" si="1"/>
        <v>429.827</v>
      </c>
      <c r="P37" s="206">
        <f t="shared" si="2"/>
        <v>2.9999999999859028E-3</v>
      </c>
      <c r="Q37" s="206">
        <f t="shared" si="3"/>
        <v>29933.361199999999</v>
      </c>
      <c r="R37" s="208">
        <f t="shared" si="4"/>
        <v>0</v>
      </c>
      <c r="S37" s="208">
        <f t="shared" si="5"/>
        <v>14369.308680000002</v>
      </c>
      <c r="T37" s="208">
        <f t="shared" si="6"/>
        <v>15563.8436</v>
      </c>
      <c r="U37" s="208">
        <f t="shared" si="7"/>
        <v>0</v>
      </c>
      <c r="V37" s="208">
        <f t="shared" si="8"/>
        <v>0</v>
      </c>
      <c r="W37" s="208"/>
      <c r="X37" s="209"/>
      <c r="Y37" s="209">
        <f t="shared" si="9"/>
        <v>29933.152280000002</v>
      </c>
      <c r="Z37" s="210">
        <f t="shared" si="10"/>
        <v>0.20891999999730615</v>
      </c>
    </row>
    <row r="38" spans="2:29" s="164" customFormat="1" ht="22.5" x14ac:dyDescent="0.25">
      <c r="B38" s="203" t="s">
        <v>87</v>
      </c>
      <c r="C38" s="211">
        <v>98557</v>
      </c>
      <c r="D38" s="205" t="s">
        <v>89</v>
      </c>
      <c r="E38" s="206" t="s">
        <v>17</v>
      </c>
      <c r="F38" s="206">
        <v>48.22</v>
      </c>
      <c r="G38" s="206">
        <v>253.95</v>
      </c>
      <c r="H38" s="29"/>
      <c r="I38" s="29"/>
      <c r="J38" s="29"/>
      <c r="K38" s="207">
        <f>'MEMORIAL DE CALCULO 04'!K381</f>
        <v>253.95000000000002</v>
      </c>
      <c r="L38" s="207"/>
      <c r="M38" s="207"/>
      <c r="N38" s="206"/>
      <c r="O38" s="206">
        <f t="shared" si="1"/>
        <v>253.95000000000002</v>
      </c>
      <c r="P38" s="206">
        <f t="shared" si="2"/>
        <v>0</v>
      </c>
      <c r="Q38" s="206">
        <f t="shared" si="3"/>
        <v>12245.468999999999</v>
      </c>
      <c r="R38" s="208">
        <f t="shared" si="4"/>
        <v>0</v>
      </c>
      <c r="S38" s="208">
        <f t="shared" si="5"/>
        <v>0</v>
      </c>
      <c r="T38" s="208">
        <f t="shared" si="6"/>
        <v>0</v>
      </c>
      <c r="U38" s="208">
        <f t="shared" si="7"/>
        <v>12245.46</v>
      </c>
      <c r="V38" s="208">
        <f t="shared" si="8"/>
        <v>0</v>
      </c>
      <c r="W38" s="208"/>
      <c r="X38" s="209"/>
      <c r="Y38" s="209">
        <f t="shared" si="9"/>
        <v>12245.46</v>
      </c>
      <c r="Z38" s="210">
        <f t="shared" si="10"/>
        <v>9.0000000000145519E-3</v>
      </c>
      <c r="AA38" s="169"/>
    </row>
    <row r="39" spans="2:29" x14ac:dyDescent="0.25">
      <c r="B39" s="212" t="s">
        <v>90</v>
      </c>
      <c r="C39" s="213" t="s">
        <v>91</v>
      </c>
      <c r="D39" s="205"/>
      <c r="E39" s="206"/>
      <c r="F39" s="206"/>
      <c r="G39" s="206"/>
      <c r="H39" s="29"/>
      <c r="I39" s="29"/>
      <c r="J39" s="29"/>
      <c r="K39" s="207"/>
      <c r="L39" s="207"/>
      <c r="M39" s="207"/>
      <c r="N39" s="206"/>
      <c r="O39" s="206"/>
      <c r="P39" s="206"/>
      <c r="Q39" s="206"/>
      <c r="R39" s="208">
        <f t="shared" si="4"/>
        <v>0</v>
      </c>
      <c r="S39" s="208">
        <f t="shared" si="5"/>
        <v>0</v>
      </c>
      <c r="T39" s="208">
        <f t="shared" si="6"/>
        <v>0</v>
      </c>
      <c r="U39" s="208">
        <f t="shared" si="7"/>
        <v>0</v>
      </c>
      <c r="V39" s="208">
        <f t="shared" si="8"/>
        <v>0</v>
      </c>
      <c r="W39" s="208"/>
      <c r="X39" s="209"/>
      <c r="Y39" s="209">
        <f t="shared" si="9"/>
        <v>0</v>
      </c>
      <c r="Z39" s="210">
        <f t="shared" si="10"/>
        <v>0</v>
      </c>
      <c r="AA39" s="167"/>
    </row>
    <row r="40" spans="2:29" s="164" customFormat="1" ht="45" x14ac:dyDescent="0.25">
      <c r="B40" s="332" t="s">
        <v>92</v>
      </c>
      <c r="C40" s="333">
        <v>92443</v>
      </c>
      <c r="D40" s="334" t="s">
        <v>94</v>
      </c>
      <c r="E40" s="336" t="s">
        <v>17</v>
      </c>
      <c r="F40" s="336">
        <v>40.35</v>
      </c>
      <c r="G40" s="336">
        <v>408.7</v>
      </c>
      <c r="H40" s="338"/>
      <c r="I40" s="338"/>
      <c r="J40" s="338"/>
      <c r="K40" s="337">
        <f>'MEMORIAL DE CALCULO 04'!K384</f>
        <v>190.61699999999999</v>
      </c>
      <c r="L40" s="337">
        <f>'MEMORIAL DE CALCULO 05'!K384</f>
        <v>209.24299999999999</v>
      </c>
      <c r="M40" s="337"/>
      <c r="N40" s="336"/>
      <c r="O40" s="336">
        <f t="shared" si="1"/>
        <v>399.86</v>
      </c>
      <c r="P40" s="336">
        <f t="shared" si="2"/>
        <v>8.839999999999975</v>
      </c>
      <c r="Q40" s="336">
        <f>F40*G40</f>
        <v>16491.045000000002</v>
      </c>
      <c r="R40" s="339">
        <f t="shared" si="4"/>
        <v>0</v>
      </c>
      <c r="S40" s="339">
        <f t="shared" si="5"/>
        <v>0</v>
      </c>
      <c r="T40" s="339">
        <f t="shared" si="6"/>
        <v>0</v>
      </c>
      <c r="U40" s="339">
        <f t="shared" si="7"/>
        <v>7691.39</v>
      </c>
      <c r="V40" s="339">
        <f t="shared" si="8"/>
        <v>8442.9500000000007</v>
      </c>
      <c r="W40" s="339"/>
      <c r="X40" s="340"/>
      <c r="Y40" s="340">
        <f t="shared" si="9"/>
        <v>16134.34</v>
      </c>
      <c r="Z40" s="341">
        <f t="shared" si="10"/>
        <v>356.70500000000175</v>
      </c>
      <c r="AA40" s="169"/>
    </row>
    <row r="41" spans="2:29" s="164" customFormat="1" ht="33.75" x14ac:dyDescent="0.25">
      <c r="B41" s="203" t="s">
        <v>95</v>
      </c>
      <c r="C41" s="211">
        <v>92480</v>
      </c>
      <c r="D41" s="215" t="s">
        <v>97</v>
      </c>
      <c r="E41" s="206" t="s">
        <v>17</v>
      </c>
      <c r="F41" s="206">
        <v>62.17</v>
      </c>
      <c r="G41" s="206">
        <v>435.33</v>
      </c>
      <c r="H41" s="216"/>
      <c r="I41" s="216"/>
      <c r="J41" s="29"/>
      <c r="K41" s="216"/>
      <c r="L41" s="216"/>
      <c r="M41" s="216"/>
      <c r="N41" s="216"/>
      <c r="O41" s="206">
        <f t="shared" si="1"/>
        <v>0</v>
      </c>
      <c r="P41" s="206">
        <f t="shared" si="2"/>
        <v>435.33</v>
      </c>
      <c r="Q41" s="206">
        <f t="shared" si="3"/>
        <v>27064.466100000001</v>
      </c>
      <c r="R41" s="208">
        <f t="shared" si="4"/>
        <v>0</v>
      </c>
      <c r="S41" s="208">
        <f t="shared" si="5"/>
        <v>0</v>
      </c>
      <c r="T41" s="208">
        <f t="shared" si="6"/>
        <v>0</v>
      </c>
      <c r="U41" s="208">
        <f t="shared" si="7"/>
        <v>0</v>
      </c>
      <c r="V41" s="208">
        <f t="shared" si="8"/>
        <v>0</v>
      </c>
      <c r="W41" s="208"/>
      <c r="X41" s="209"/>
      <c r="Y41" s="209">
        <f t="shared" si="9"/>
        <v>0</v>
      </c>
      <c r="Z41" s="210">
        <f t="shared" si="10"/>
        <v>27064.466100000001</v>
      </c>
      <c r="AA41" s="169"/>
    </row>
    <row r="42" spans="2:29" s="164" customFormat="1" ht="22.5" x14ac:dyDescent="0.25">
      <c r="B42" s="203" t="s">
        <v>98</v>
      </c>
      <c r="C42" s="211">
        <v>92267</v>
      </c>
      <c r="D42" s="205" t="s">
        <v>100</v>
      </c>
      <c r="E42" s="206" t="s">
        <v>17</v>
      </c>
      <c r="F42" s="206">
        <v>30.99</v>
      </c>
      <c r="G42" s="206">
        <v>111.15</v>
      </c>
      <c r="H42" s="207"/>
      <c r="I42" s="29"/>
      <c r="J42" s="29"/>
      <c r="K42" s="207"/>
      <c r="L42" s="207"/>
      <c r="M42" s="207"/>
      <c r="N42" s="206"/>
      <c r="O42" s="206">
        <f t="shared" si="1"/>
        <v>0</v>
      </c>
      <c r="P42" s="206">
        <f t="shared" si="2"/>
        <v>111.15</v>
      </c>
      <c r="Q42" s="206">
        <f t="shared" si="3"/>
        <v>3444.5385000000001</v>
      </c>
      <c r="R42" s="208">
        <f t="shared" si="4"/>
        <v>0</v>
      </c>
      <c r="S42" s="208">
        <f t="shared" si="5"/>
        <v>0</v>
      </c>
      <c r="T42" s="208">
        <f t="shared" si="6"/>
        <v>0</v>
      </c>
      <c r="U42" s="208">
        <f t="shared" si="7"/>
        <v>0</v>
      </c>
      <c r="V42" s="208">
        <f t="shared" si="8"/>
        <v>0</v>
      </c>
      <c r="W42" s="208"/>
      <c r="X42" s="209"/>
      <c r="Y42" s="209">
        <f t="shared" si="9"/>
        <v>0</v>
      </c>
      <c r="Z42" s="210">
        <f t="shared" si="10"/>
        <v>3444.5385000000001</v>
      </c>
      <c r="AA42" s="169"/>
    </row>
    <row r="43" spans="2:29" s="164" customFormat="1" ht="33.75" x14ac:dyDescent="0.25">
      <c r="B43" s="332" t="s">
        <v>101</v>
      </c>
      <c r="C43" s="333">
        <v>92759</v>
      </c>
      <c r="D43" s="334" t="s">
        <v>103</v>
      </c>
      <c r="E43" s="336" t="s">
        <v>62</v>
      </c>
      <c r="F43" s="336">
        <v>14.67</v>
      </c>
      <c r="G43" s="336">
        <v>1027.8</v>
      </c>
      <c r="H43" s="337"/>
      <c r="I43" s="338"/>
      <c r="J43" s="338"/>
      <c r="K43" s="337">
        <f>'MEMORIAL DE CALCULO 04'!K389</f>
        <v>222.09999999999997</v>
      </c>
      <c r="L43" s="337">
        <f>'MEMORIAL DE CALCULO 05'!K389</f>
        <v>460.6</v>
      </c>
      <c r="M43" s="337"/>
      <c r="N43" s="336"/>
      <c r="O43" s="336">
        <f t="shared" si="1"/>
        <v>682.7</v>
      </c>
      <c r="P43" s="336">
        <f t="shared" si="2"/>
        <v>345.09999999999991</v>
      </c>
      <c r="Q43" s="336">
        <f t="shared" si="3"/>
        <v>15077.825999999999</v>
      </c>
      <c r="R43" s="339">
        <f t="shared" si="4"/>
        <v>0</v>
      </c>
      <c r="S43" s="339">
        <f t="shared" si="5"/>
        <v>0</v>
      </c>
      <c r="T43" s="339">
        <f t="shared" si="6"/>
        <v>0</v>
      </c>
      <c r="U43" s="339">
        <f t="shared" si="7"/>
        <v>3258.2</v>
      </c>
      <c r="V43" s="339">
        <f t="shared" si="8"/>
        <v>6757</v>
      </c>
      <c r="W43" s="339"/>
      <c r="X43" s="340"/>
      <c r="Y43" s="340">
        <f t="shared" si="9"/>
        <v>10015.200000000001</v>
      </c>
      <c r="Z43" s="341">
        <f t="shared" si="10"/>
        <v>5062.6259999999984</v>
      </c>
      <c r="AA43" s="169"/>
    </row>
    <row r="44" spans="2:29" s="164" customFormat="1" ht="33.75" x14ac:dyDescent="0.25">
      <c r="B44" s="332" t="s">
        <v>104</v>
      </c>
      <c r="C44" s="333">
        <v>92760</v>
      </c>
      <c r="D44" s="334" t="s">
        <v>106</v>
      </c>
      <c r="E44" s="336" t="s">
        <v>62</v>
      </c>
      <c r="F44" s="336">
        <v>14.4</v>
      </c>
      <c r="G44" s="336">
        <v>39.1</v>
      </c>
      <c r="H44" s="337"/>
      <c r="I44" s="338"/>
      <c r="J44" s="338"/>
      <c r="K44" s="337"/>
      <c r="L44" s="337">
        <f>'MEMORIAL DE CALCULO 05'!K393</f>
        <v>23.46</v>
      </c>
      <c r="M44" s="337"/>
      <c r="N44" s="336"/>
      <c r="O44" s="336">
        <f t="shared" si="1"/>
        <v>23.46</v>
      </c>
      <c r="P44" s="336">
        <f t="shared" si="2"/>
        <v>15.64</v>
      </c>
      <c r="Q44" s="336">
        <f t="shared" si="3"/>
        <v>563.04000000000008</v>
      </c>
      <c r="R44" s="339">
        <f t="shared" si="4"/>
        <v>0</v>
      </c>
      <c r="S44" s="339">
        <f t="shared" si="5"/>
        <v>0</v>
      </c>
      <c r="T44" s="339">
        <f t="shared" si="6"/>
        <v>0</v>
      </c>
      <c r="U44" s="339">
        <f t="shared" si="7"/>
        <v>0</v>
      </c>
      <c r="V44" s="339">
        <f t="shared" si="8"/>
        <v>337.82</v>
      </c>
      <c r="W44" s="339"/>
      <c r="X44" s="340"/>
      <c r="Y44" s="340">
        <f t="shared" si="9"/>
        <v>337.82</v>
      </c>
      <c r="Z44" s="341">
        <f t="shared" si="10"/>
        <v>225.22000000000008</v>
      </c>
      <c r="AA44" s="169"/>
    </row>
    <row r="45" spans="2:29" ht="33.75" x14ac:dyDescent="0.25">
      <c r="B45" s="332" t="s">
        <v>107</v>
      </c>
      <c r="C45" s="333">
        <v>92761</v>
      </c>
      <c r="D45" s="334" t="s">
        <v>109</v>
      </c>
      <c r="E45" s="336" t="s">
        <v>62</v>
      </c>
      <c r="F45" s="336">
        <v>14.25</v>
      </c>
      <c r="G45" s="336">
        <v>1000</v>
      </c>
      <c r="H45" s="337"/>
      <c r="I45" s="338"/>
      <c r="J45" s="338"/>
      <c r="K45" s="337"/>
      <c r="L45" s="337">
        <f>'MEMORIAL DE CALCULO 05'!K395</f>
        <v>415.67999999999995</v>
      </c>
      <c r="M45" s="337"/>
      <c r="N45" s="336"/>
      <c r="O45" s="336">
        <f t="shared" si="1"/>
        <v>415.67999999999995</v>
      </c>
      <c r="P45" s="336">
        <f t="shared" si="2"/>
        <v>584.32000000000005</v>
      </c>
      <c r="Q45" s="336">
        <f t="shared" si="3"/>
        <v>14250</v>
      </c>
      <c r="R45" s="339">
        <f t="shared" si="4"/>
        <v>0</v>
      </c>
      <c r="S45" s="339">
        <f t="shared" si="5"/>
        <v>0</v>
      </c>
      <c r="T45" s="339">
        <f t="shared" si="6"/>
        <v>0</v>
      </c>
      <c r="U45" s="339">
        <f t="shared" si="7"/>
        <v>0</v>
      </c>
      <c r="V45" s="339">
        <f t="shared" si="8"/>
        <v>5923.44</v>
      </c>
      <c r="W45" s="339"/>
      <c r="X45" s="340"/>
      <c r="Y45" s="340">
        <f t="shared" si="9"/>
        <v>5923.44</v>
      </c>
      <c r="Z45" s="341">
        <f t="shared" si="10"/>
        <v>8326.5600000000013</v>
      </c>
      <c r="AA45" s="167"/>
    </row>
    <row r="46" spans="2:29" s="164" customFormat="1" ht="33.75" x14ac:dyDescent="0.25">
      <c r="B46" s="332" t="s">
        <v>110</v>
      </c>
      <c r="C46" s="333">
        <v>92762</v>
      </c>
      <c r="D46" s="334" t="s">
        <v>112</v>
      </c>
      <c r="E46" s="336" t="s">
        <v>62</v>
      </c>
      <c r="F46" s="336">
        <v>12.94</v>
      </c>
      <c r="G46" s="336">
        <v>1306.0999999999999</v>
      </c>
      <c r="H46" s="337"/>
      <c r="I46" s="338"/>
      <c r="J46" s="338"/>
      <c r="K46" s="337">
        <f>'MEMORIAL DE CALCULO 04'!K393</f>
        <v>601.83000000000004</v>
      </c>
      <c r="L46" s="337">
        <f>'MEMORIAL DE CALCULO 05'!K397</f>
        <v>635.56999999999994</v>
      </c>
      <c r="M46" s="337"/>
      <c r="N46" s="336"/>
      <c r="O46" s="336">
        <f t="shared" si="1"/>
        <v>1237.4000000000001</v>
      </c>
      <c r="P46" s="336">
        <f t="shared" si="2"/>
        <v>68.699999999999818</v>
      </c>
      <c r="Q46" s="336">
        <f t="shared" si="3"/>
        <v>16900.933999999997</v>
      </c>
      <c r="R46" s="339">
        <f t="shared" si="4"/>
        <v>0</v>
      </c>
      <c r="S46" s="339">
        <f t="shared" si="5"/>
        <v>0</v>
      </c>
      <c r="T46" s="339">
        <f t="shared" si="6"/>
        <v>0</v>
      </c>
      <c r="U46" s="339">
        <f t="shared" si="7"/>
        <v>7787.68</v>
      </c>
      <c r="V46" s="339">
        <f t="shared" si="8"/>
        <v>8224.27</v>
      </c>
      <c r="W46" s="339"/>
      <c r="X46" s="340"/>
      <c r="Y46" s="340">
        <f t="shared" si="9"/>
        <v>16011.95</v>
      </c>
      <c r="Z46" s="341">
        <f t="shared" si="10"/>
        <v>888.98399999999674</v>
      </c>
      <c r="AA46" s="169"/>
    </row>
    <row r="47" spans="2:29" s="164" customFormat="1" ht="33.75" x14ac:dyDescent="0.25">
      <c r="B47" s="332" t="s">
        <v>113</v>
      </c>
      <c r="C47" s="333">
        <v>92763</v>
      </c>
      <c r="D47" s="334" t="s">
        <v>115</v>
      </c>
      <c r="E47" s="336" t="s">
        <v>62</v>
      </c>
      <c r="F47" s="336">
        <v>10.71</v>
      </c>
      <c r="G47" s="336">
        <v>168.2</v>
      </c>
      <c r="H47" s="337"/>
      <c r="I47" s="338"/>
      <c r="J47" s="338"/>
      <c r="K47" s="337">
        <f>'MEMORIAL DE CALCULO 04'!K396</f>
        <v>100.42</v>
      </c>
      <c r="L47" s="337">
        <f>'MEMORIAL DE CALCULO 05'!K401</f>
        <v>61.18</v>
      </c>
      <c r="M47" s="337"/>
      <c r="N47" s="336"/>
      <c r="O47" s="336">
        <f t="shared" si="1"/>
        <v>161.6</v>
      </c>
      <c r="P47" s="336">
        <f t="shared" si="2"/>
        <v>6.5999999999999943</v>
      </c>
      <c r="Q47" s="336">
        <f t="shared" si="3"/>
        <v>1801.422</v>
      </c>
      <c r="R47" s="339">
        <f t="shared" si="4"/>
        <v>0</v>
      </c>
      <c r="S47" s="339">
        <f t="shared" si="5"/>
        <v>0</v>
      </c>
      <c r="T47" s="339">
        <f t="shared" si="6"/>
        <v>0</v>
      </c>
      <c r="U47" s="339">
        <f t="shared" si="7"/>
        <v>1075.49</v>
      </c>
      <c r="V47" s="339">
        <f t="shared" si="8"/>
        <v>655.23</v>
      </c>
      <c r="W47" s="339"/>
      <c r="X47" s="340"/>
      <c r="Y47" s="340">
        <f t="shared" si="9"/>
        <v>1730.72</v>
      </c>
      <c r="Z47" s="341">
        <f t="shared" si="10"/>
        <v>70.701999999999998</v>
      </c>
      <c r="AA47" s="169"/>
    </row>
    <row r="48" spans="2:29" ht="33.75" x14ac:dyDescent="0.25">
      <c r="B48" s="203" t="s">
        <v>116</v>
      </c>
      <c r="C48" s="211">
        <v>92768</v>
      </c>
      <c r="D48" s="205" t="s">
        <v>118</v>
      </c>
      <c r="E48" s="206" t="s">
        <v>62</v>
      </c>
      <c r="F48" s="206">
        <v>14.31</v>
      </c>
      <c r="G48" s="206">
        <v>158.69999999999999</v>
      </c>
      <c r="H48" s="207"/>
      <c r="I48" s="29"/>
      <c r="J48" s="29"/>
      <c r="K48" s="207"/>
      <c r="L48" s="207"/>
      <c r="M48" s="207"/>
      <c r="N48" s="206"/>
      <c r="O48" s="206">
        <f t="shared" si="1"/>
        <v>0</v>
      </c>
      <c r="P48" s="206">
        <f t="shared" si="2"/>
        <v>158.69999999999999</v>
      </c>
      <c r="Q48" s="206">
        <f t="shared" si="3"/>
        <v>2270.9969999999998</v>
      </c>
      <c r="R48" s="208">
        <f t="shared" si="4"/>
        <v>0</v>
      </c>
      <c r="S48" s="208">
        <f t="shared" si="5"/>
        <v>0</v>
      </c>
      <c r="T48" s="208">
        <f t="shared" si="6"/>
        <v>0</v>
      </c>
      <c r="U48" s="208">
        <f t="shared" si="7"/>
        <v>0</v>
      </c>
      <c r="V48" s="208">
        <f t="shared" si="8"/>
        <v>0</v>
      </c>
      <c r="W48" s="208"/>
      <c r="X48" s="209"/>
      <c r="Y48" s="209">
        <f t="shared" si="9"/>
        <v>0</v>
      </c>
      <c r="Z48" s="210">
        <f t="shared" si="10"/>
        <v>2270.9969999999998</v>
      </c>
      <c r="AA48" s="167"/>
    </row>
    <row r="49" spans="2:27" ht="33.75" x14ac:dyDescent="0.25">
      <c r="B49" s="203" t="s">
        <v>119</v>
      </c>
      <c r="C49" s="211">
        <v>92769</v>
      </c>
      <c r="D49" s="205" t="s">
        <v>121</v>
      </c>
      <c r="E49" s="206" t="s">
        <v>62</v>
      </c>
      <c r="F49" s="206">
        <v>14.01</v>
      </c>
      <c r="G49" s="206">
        <v>170.5</v>
      </c>
      <c r="H49" s="207"/>
      <c r="I49" s="29"/>
      <c r="J49" s="29"/>
      <c r="K49" s="207"/>
      <c r="L49" s="207"/>
      <c r="M49" s="207"/>
      <c r="N49" s="206"/>
      <c r="O49" s="206">
        <f t="shared" si="1"/>
        <v>0</v>
      </c>
      <c r="P49" s="206">
        <f t="shared" si="2"/>
        <v>170.5</v>
      </c>
      <c r="Q49" s="206">
        <f t="shared" si="3"/>
        <v>2388.7049999999999</v>
      </c>
      <c r="R49" s="208">
        <f t="shared" si="4"/>
        <v>0</v>
      </c>
      <c r="S49" s="208">
        <f t="shared" si="5"/>
        <v>0</v>
      </c>
      <c r="T49" s="208">
        <f t="shared" si="6"/>
        <v>0</v>
      </c>
      <c r="U49" s="208">
        <f t="shared" si="7"/>
        <v>0</v>
      </c>
      <c r="V49" s="208">
        <f t="shared" si="8"/>
        <v>0</v>
      </c>
      <c r="W49" s="208"/>
      <c r="X49" s="209"/>
      <c r="Y49" s="209">
        <f t="shared" si="9"/>
        <v>0</v>
      </c>
      <c r="Z49" s="210">
        <f t="shared" si="10"/>
        <v>2388.7049999999999</v>
      </c>
      <c r="AA49" s="167"/>
    </row>
    <row r="50" spans="2:27" ht="33.75" x14ac:dyDescent="0.25">
      <c r="B50" s="203" t="s">
        <v>122</v>
      </c>
      <c r="C50" s="211">
        <v>92770</v>
      </c>
      <c r="D50" s="205" t="s">
        <v>124</v>
      </c>
      <c r="E50" s="206" t="s">
        <v>62</v>
      </c>
      <c r="F50" s="206">
        <v>13.86</v>
      </c>
      <c r="G50" s="206">
        <v>279.10000000000002</v>
      </c>
      <c r="H50" s="207"/>
      <c r="I50" s="29"/>
      <c r="J50" s="29"/>
      <c r="K50" s="207"/>
      <c r="L50" s="207"/>
      <c r="M50" s="207"/>
      <c r="N50" s="206"/>
      <c r="O50" s="206">
        <f t="shared" si="1"/>
        <v>0</v>
      </c>
      <c r="P50" s="206">
        <f t="shared" si="2"/>
        <v>279.10000000000002</v>
      </c>
      <c r="Q50" s="206">
        <f t="shared" si="3"/>
        <v>3868.326</v>
      </c>
      <c r="R50" s="208">
        <f t="shared" si="4"/>
        <v>0</v>
      </c>
      <c r="S50" s="208">
        <f t="shared" si="5"/>
        <v>0</v>
      </c>
      <c r="T50" s="208">
        <f t="shared" si="6"/>
        <v>0</v>
      </c>
      <c r="U50" s="208">
        <f t="shared" si="7"/>
        <v>0</v>
      </c>
      <c r="V50" s="208">
        <f t="shared" si="8"/>
        <v>0</v>
      </c>
      <c r="W50" s="208"/>
      <c r="X50" s="209"/>
      <c r="Y50" s="209">
        <f t="shared" si="9"/>
        <v>0</v>
      </c>
      <c r="Z50" s="210">
        <f t="shared" si="10"/>
        <v>3868.326</v>
      </c>
      <c r="AA50" s="167"/>
    </row>
    <row r="51" spans="2:27" s="164" customFormat="1" ht="33.75" x14ac:dyDescent="0.25">
      <c r="B51" s="332" t="s">
        <v>125</v>
      </c>
      <c r="C51" s="333">
        <v>94966</v>
      </c>
      <c r="D51" s="334" t="s">
        <v>65</v>
      </c>
      <c r="E51" s="336" t="s">
        <v>41</v>
      </c>
      <c r="F51" s="336">
        <v>530.88</v>
      </c>
      <c r="G51" s="336">
        <v>61.56</v>
      </c>
      <c r="H51" s="337"/>
      <c r="I51" s="338"/>
      <c r="J51" s="338"/>
      <c r="K51" s="337">
        <f>'MEMORIAL DE CALCULO 04'!K402</f>
        <v>10.245999999999999</v>
      </c>
      <c r="L51" s="337">
        <f>'MEMORIAL DE CALCULO 05'!K406</f>
        <v>9.1839999999999993</v>
      </c>
      <c r="M51" s="337"/>
      <c r="N51" s="336"/>
      <c r="O51" s="336">
        <f t="shared" si="1"/>
        <v>19.43</v>
      </c>
      <c r="P51" s="336">
        <f t="shared" si="2"/>
        <v>42.13</v>
      </c>
      <c r="Q51" s="336">
        <f t="shared" si="3"/>
        <v>32680.9728</v>
      </c>
      <c r="R51" s="339">
        <f t="shared" si="4"/>
        <v>0</v>
      </c>
      <c r="S51" s="339">
        <f t="shared" si="5"/>
        <v>0</v>
      </c>
      <c r="T51" s="339">
        <f t="shared" si="6"/>
        <v>0</v>
      </c>
      <c r="U51" s="339">
        <f t="shared" si="7"/>
        <v>5439.39</v>
      </c>
      <c r="V51" s="339">
        <f t="shared" si="8"/>
        <v>4875.6000000000004</v>
      </c>
      <c r="W51" s="339"/>
      <c r="X51" s="340"/>
      <c r="Y51" s="340">
        <f t="shared" si="9"/>
        <v>10314.990000000002</v>
      </c>
      <c r="Z51" s="341">
        <f t="shared" si="10"/>
        <v>22365.982799999998</v>
      </c>
      <c r="AA51" s="169"/>
    </row>
    <row r="52" spans="2:27" ht="22.5" x14ac:dyDescent="0.25">
      <c r="B52" s="332" t="s">
        <v>126</v>
      </c>
      <c r="C52" s="333">
        <v>103670</v>
      </c>
      <c r="D52" s="342" t="s">
        <v>71</v>
      </c>
      <c r="E52" s="336" t="s">
        <v>41</v>
      </c>
      <c r="F52" s="336">
        <v>230.55</v>
      </c>
      <c r="G52" s="336">
        <v>61.56</v>
      </c>
      <c r="H52" s="343"/>
      <c r="I52" s="343"/>
      <c r="J52" s="338"/>
      <c r="K52" s="338">
        <f>'MEMORIAL DE CALCULO 04'!K405</f>
        <v>10.245999999999999</v>
      </c>
      <c r="L52" s="338">
        <f>'MEMORIAL DE CALCULO 05'!K406</f>
        <v>9.1839999999999993</v>
      </c>
      <c r="M52" s="343"/>
      <c r="N52" s="343"/>
      <c r="O52" s="336">
        <f t="shared" si="1"/>
        <v>19.43</v>
      </c>
      <c r="P52" s="336">
        <f t="shared" si="2"/>
        <v>42.13</v>
      </c>
      <c r="Q52" s="336">
        <f t="shared" si="3"/>
        <v>14192.658000000001</v>
      </c>
      <c r="R52" s="339">
        <f t="shared" si="4"/>
        <v>0</v>
      </c>
      <c r="S52" s="339">
        <f t="shared" si="5"/>
        <v>0</v>
      </c>
      <c r="T52" s="339">
        <f t="shared" si="6"/>
        <v>0</v>
      </c>
      <c r="U52" s="339">
        <f t="shared" si="7"/>
        <v>2362.21</v>
      </c>
      <c r="V52" s="339">
        <f t="shared" si="8"/>
        <v>2117.37</v>
      </c>
      <c r="W52" s="339"/>
      <c r="X52" s="340"/>
      <c r="Y52" s="340">
        <f t="shared" si="9"/>
        <v>4479.58</v>
      </c>
      <c r="Z52" s="341">
        <f t="shared" si="10"/>
        <v>9713.0780000000013</v>
      </c>
      <c r="AA52" s="167"/>
    </row>
    <row r="53" spans="2:27" ht="33.75" x14ac:dyDescent="0.25">
      <c r="B53" s="203" t="s">
        <v>127</v>
      </c>
      <c r="C53" s="211">
        <v>92771</v>
      </c>
      <c r="D53" s="215" t="s">
        <v>129</v>
      </c>
      <c r="E53" s="206" t="s">
        <v>62</v>
      </c>
      <c r="F53" s="206">
        <v>12.55</v>
      </c>
      <c r="G53" s="206">
        <v>312.3</v>
      </c>
      <c r="H53" s="216"/>
      <c r="I53" s="216"/>
      <c r="J53" s="29"/>
      <c r="K53" s="216"/>
      <c r="L53" s="216"/>
      <c r="M53" s="216"/>
      <c r="N53" s="216"/>
      <c r="O53" s="206">
        <f t="shared" si="1"/>
        <v>0</v>
      </c>
      <c r="P53" s="206">
        <f t="shared" si="2"/>
        <v>312.3</v>
      </c>
      <c r="Q53" s="206">
        <f t="shared" si="3"/>
        <v>3919.3650000000002</v>
      </c>
      <c r="R53" s="208">
        <f t="shared" si="4"/>
        <v>0</v>
      </c>
      <c r="S53" s="208">
        <f t="shared" si="5"/>
        <v>0</v>
      </c>
      <c r="T53" s="208">
        <f t="shared" si="6"/>
        <v>0</v>
      </c>
      <c r="U53" s="208">
        <f t="shared" si="7"/>
        <v>0</v>
      </c>
      <c r="V53" s="208">
        <f t="shared" si="8"/>
        <v>0</v>
      </c>
      <c r="W53" s="208"/>
      <c r="X53" s="209"/>
      <c r="Y53" s="209">
        <f t="shared" si="9"/>
        <v>0</v>
      </c>
      <c r="Z53" s="210">
        <f t="shared" si="10"/>
        <v>3919.3650000000002</v>
      </c>
      <c r="AA53" s="167"/>
    </row>
    <row r="54" spans="2:27" ht="33.75" x14ac:dyDescent="0.25">
      <c r="B54" s="203" t="s">
        <v>130</v>
      </c>
      <c r="C54" s="211">
        <v>92772</v>
      </c>
      <c r="D54" s="205" t="s">
        <v>132</v>
      </c>
      <c r="E54" s="206" t="s">
        <v>62</v>
      </c>
      <c r="F54" s="206">
        <v>10.39</v>
      </c>
      <c r="G54" s="206">
        <v>154.80000000000001</v>
      </c>
      <c r="H54" s="207"/>
      <c r="I54" s="29"/>
      <c r="J54" s="29"/>
      <c r="K54" s="207"/>
      <c r="L54" s="207"/>
      <c r="M54" s="207"/>
      <c r="N54" s="206"/>
      <c r="O54" s="206">
        <f t="shared" si="1"/>
        <v>0</v>
      </c>
      <c r="P54" s="206">
        <f t="shared" si="2"/>
        <v>154.80000000000001</v>
      </c>
      <c r="Q54" s="206">
        <f t="shared" si="3"/>
        <v>1608.3720000000003</v>
      </c>
      <c r="R54" s="208">
        <f t="shared" si="4"/>
        <v>0</v>
      </c>
      <c r="S54" s="208">
        <f t="shared" si="5"/>
        <v>0</v>
      </c>
      <c r="T54" s="208">
        <f t="shared" si="6"/>
        <v>0</v>
      </c>
      <c r="U54" s="208">
        <f t="shared" si="7"/>
        <v>0</v>
      </c>
      <c r="V54" s="208">
        <f t="shared" si="8"/>
        <v>0</v>
      </c>
      <c r="W54" s="208"/>
      <c r="X54" s="209"/>
      <c r="Y54" s="209">
        <f t="shared" si="9"/>
        <v>0</v>
      </c>
      <c r="Z54" s="210">
        <f t="shared" si="10"/>
        <v>1608.3720000000003</v>
      </c>
      <c r="AA54" s="167"/>
    </row>
    <row r="55" spans="2:27" x14ac:dyDescent="0.25">
      <c r="B55" s="212">
        <v>1.5</v>
      </c>
      <c r="C55" s="213" t="s">
        <v>134</v>
      </c>
      <c r="D55" s="205"/>
      <c r="E55" s="206"/>
      <c r="F55" s="206"/>
      <c r="G55" s="206"/>
      <c r="H55" s="207"/>
      <c r="I55" s="29"/>
      <c r="J55" s="29"/>
      <c r="K55" s="207"/>
      <c r="L55" s="207"/>
      <c r="M55" s="207"/>
      <c r="N55" s="206"/>
      <c r="O55" s="206"/>
      <c r="P55" s="206"/>
      <c r="Q55" s="206"/>
      <c r="R55" s="208">
        <f t="shared" si="4"/>
        <v>0</v>
      </c>
      <c r="S55" s="208">
        <f t="shared" si="5"/>
        <v>0</v>
      </c>
      <c r="T55" s="208">
        <f t="shared" si="6"/>
        <v>0</v>
      </c>
      <c r="U55" s="208">
        <f t="shared" si="7"/>
        <v>0</v>
      </c>
      <c r="V55" s="208">
        <f t="shared" si="8"/>
        <v>0</v>
      </c>
      <c r="W55" s="208"/>
      <c r="X55" s="209"/>
      <c r="Y55" s="209">
        <f t="shared" si="9"/>
        <v>0</v>
      </c>
      <c r="Z55" s="210">
        <f t="shared" si="10"/>
        <v>0</v>
      </c>
      <c r="AA55" s="167"/>
    </row>
    <row r="56" spans="2:27" ht="45" x14ac:dyDescent="0.25">
      <c r="B56" s="332" t="s">
        <v>135</v>
      </c>
      <c r="C56" s="333">
        <v>103356</v>
      </c>
      <c r="D56" s="334" t="s">
        <v>137</v>
      </c>
      <c r="E56" s="336" t="s">
        <v>17</v>
      </c>
      <c r="F56" s="336">
        <v>46.86</v>
      </c>
      <c r="G56" s="336">
        <v>1131.99</v>
      </c>
      <c r="H56" s="337"/>
      <c r="I56" s="338"/>
      <c r="J56" s="338"/>
      <c r="K56" s="337">
        <f>'MEMORIAL DE CALCULO 04'!K410</f>
        <v>354.68499999999995</v>
      </c>
      <c r="L56" s="337">
        <f>'MEMORIAL DE CALCULO 05'!K413</f>
        <v>492.16000000000014</v>
      </c>
      <c r="M56" s="337"/>
      <c r="N56" s="336"/>
      <c r="O56" s="336">
        <f t="shared" si="1"/>
        <v>846.84500000000003</v>
      </c>
      <c r="P56" s="336">
        <f t="shared" si="2"/>
        <v>285.14499999999998</v>
      </c>
      <c r="Q56" s="336">
        <f t="shared" si="3"/>
        <v>53045.051399999997</v>
      </c>
      <c r="R56" s="339">
        <f t="shared" si="4"/>
        <v>0</v>
      </c>
      <c r="S56" s="339">
        <f t="shared" si="5"/>
        <v>0</v>
      </c>
      <c r="T56" s="339">
        <f t="shared" si="6"/>
        <v>0</v>
      </c>
      <c r="U56" s="339">
        <f t="shared" si="7"/>
        <v>16620.53</v>
      </c>
      <c r="V56" s="339">
        <f t="shared" si="8"/>
        <v>23062.61</v>
      </c>
      <c r="W56" s="339"/>
      <c r="X56" s="340"/>
      <c r="Y56" s="340">
        <f t="shared" si="9"/>
        <v>39683.14</v>
      </c>
      <c r="Z56" s="341">
        <f t="shared" si="10"/>
        <v>13361.911399999997</v>
      </c>
      <c r="AA56" s="167"/>
    </row>
    <row r="57" spans="2:27" ht="22.5" x14ac:dyDescent="0.25">
      <c r="B57" s="332" t="s">
        <v>138</v>
      </c>
      <c r="C57" s="333">
        <v>93189</v>
      </c>
      <c r="D57" s="342" t="s">
        <v>140</v>
      </c>
      <c r="E57" s="336" t="s">
        <v>37</v>
      </c>
      <c r="F57" s="336">
        <v>99.36</v>
      </c>
      <c r="G57" s="336">
        <v>64.099999999999994</v>
      </c>
      <c r="H57" s="343"/>
      <c r="I57" s="338"/>
      <c r="J57" s="338"/>
      <c r="K57" s="338">
        <f>'MEMORIAL DE CALCULO 04'!K484</f>
        <v>10.199999999999999</v>
      </c>
      <c r="L57" s="338">
        <f>'MEMORIAL DE CALCULO 05'!K479</f>
        <v>53.900000000000006</v>
      </c>
      <c r="M57" s="343"/>
      <c r="N57" s="343"/>
      <c r="O57" s="336">
        <f t="shared" si="1"/>
        <v>64.100000000000009</v>
      </c>
      <c r="P57" s="336">
        <f t="shared" si="2"/>
        <v>0</v>
      </c>
      <c r="Q57" s="336">
        <f t="shared" si="3"/>
        <v>6368.9759999999997</v>
      </c>
      <c r="R57" s="339">
        <f t="shared" si="4"/>
        <v>0</v>
      </c>
      <c r="S57" s="339">
        <f t="shared" si="5"/>
        <v>0</v>
      </c>
      <c r="T57" s="339">
        <f t="shared" si="6"/>
        <v>0</v>
      </c>
      <c r="U57" s="339">
        <f t="shared" si="7"/>
        <v>1013.47</v>
      </c>
      <c r="V57" s="339">
        <f t="shared" si="8"/>
        <v>5355.5</v>
      </c>
      <c r="W57" s="339"/>
      <c r="X57" s="340"/>
      <c r="Y57" s="340">
        <f t="shared" si="9"/>
        <v>6368.97</v>
      </c>
      <c r="Z57" s="341">
        <f t="shared" si="10"/>
        <v>5.9999999994033715E-3</v>
      </c>
      <c r="AA57" s="167"/>
    </row>
    <row r="58" spans="2:27" ht="33.75" x14ac:dyDescent="0.25">
      <c r="B58" s="332" t="s">
        <v>141</v>
      </c>
      <c r="C58" s="333">
        <v>93191</v>
      </c>
      <c r="D58" s="334" t="s">
        <v>143</v>
      </c>
      <c r="E58" s="336" t="s">
        <v>37</v>
      </c>
      <c r="F58" s="336">
        <v>50.71</v>
      </c>
      <c r="G58" s="336">
        <v>72.2</v>
      </c>
      <c r="H58" s="337"/>
      <c r="I58" s="338"/>
      <c r="J58" s="338"/>
      <c r="K58" s="337">
        <f>'MEMORIAL DE CALCULO 04'!K488</f>
        <v>11.6</v>
      </c>
      <c r="L58" s="337">
        <f>'MEMORIAL DE CALCULO 05'!K486</f>
        <v>60.600000000000009</v>
      </c>
      <c r="M58" s="337"/>
      <c r="N58" s="336"/>
      <c r="O58" s="336">
        <f t="shared" si="1"/>
        <v>72.2</v>
      </c>
      <c r="P58" s="336">
        <f t="shared" si="2"/>
        <v>0</v>
      </c>
      <c r="Q58" s="336">
        <f t="shared" si="3"/>
        <v>3661.2620000000002</v>
      </c>
      <c r="R58" s="339">
        <f t="shared" si="4"/>
        <v>0</v>
      </c>
      <c r="S58" s="339">
        <f t="shared" si="5"/>
        <v>0</v>
      </c>
      <c r="T58" s="339">
        <f t="shared" si="6"/>
        <v>0</v>
      </c>
      <c r="U58" s="339">
        <f t="shared" si="7"/>
        <v>588.23</v>
      </c>
      <c r="V58" s="339">
        <f t="shared" si="8"/>
        <v>3073.02</v>
      </c>
      <c r="W58" s="339"/>
      <c r="X58" s="340"/>
      <c r="Y58" s="340">
        <f t="shared" si="9"/>
        <v>3661.25</v>
      </c>
      <c r="Z58" s="341">
        <f t="shared" si="10"/>
        <v>1.2000000000170985E-2</v>
      </c>
      <c r="AA58" s="167"/>
    </row>
    <row r="59" spans="2:27" ht="22.5" x14ac:dyDescent="0.25">
      <c r="B59" s="332" t="s">
        <v>144</v>
      </c>
      <c r="C59" s="333">
        <v>93197</v>
      </c>
      <c r="D59" s="334" t="s">
        <v>146</v>
      </c>
      <c r="E59" s="336" t="s">
        <v>37</v>
      </c>
      <c r="F59" s="336">
        <v>90.23</v>
      </c>
      <c r="G59" s="336">
        <v>72.2</v>
      </c>
      <c r="H59" s="337"/>
      <c r="I59" s="338"/>
      <c r="J59" s="338"/>
      <c r="K59" s="337">
        <f>'MEMORIAL DE CALCULO 04'!K492</f>
        <v>11.6</v>
      </c>
      <c r="L59" s="337">
        <f>'MEMORIAL DE CALCULO 05'!K493</f>
        <v>60.600000000000009</v>
      </c>
      <c r="M59" s="337"/>
      <c r="N59" s="336"/>
      <c r="O59" s="336">
        <f t="shared" si="1"/>
        <v>72.2</v>
      </c>
      <c r="P59" s="336">
        <f t="shared" si="2"/>
        <v>0</v>
      </c>
      <c r="Q59" s="336">
        <f t="shared" si="3"/>
        <v>6514.6060000000007</v>
      </c>
      <c r="R59" s="339">
        <f t="shared" si="4"/>
        <v>0</v>
      </c>
      <c r="S59" s="339">
        <f t="shared" si="5"/>
        <v>0</v>
      </c>
      <c r="T59" s="339">
        <f t="shared" si="6"/>
        <v>0</v>
      </c>
      <c r="U59" s="339">
        <f t="shared" si="7"/>
        <v>1046.6600000000001</v>
      </c>
      <c r="V59" s="339">
        <f t="shared" si="8"/>
        <v>5467.93</v>
      </c>
      <c r="W59" s="339"/>
      <c r="X59" s="340"/>
      <c r="Y59" s="340">
        <f t="shared" si="9"/>
        <v>6514.59</v>
      </c>
      <c r="Z59" s="341">
        <f t="shared" si="10"/>
        <v>1.6000000000531145E-2</v>
      </c>
      <c r="AA59" s="167"/>
    </row>
    <row r="60" spans="2:27" ht="14.45" customHeight="1" x14ac:dyDescent="0.25">
      <c r="B60" s="212">
        <v>1.6</v>
      </c>
      <c r="C60" s="213" t="s">
        <v>148</v>
      </c>
      <c r="D60" s="205"/>
      <c r="E60" s="206"/>
      <c r="F60" s="206"/>
      <c r="G60" s="206"/>
      <c r="H60" s="207"/>
      <c r="I60" s="29"/>
      <c r="J60" s="29"/>
      <c r="K60" s="207"/>
      <c r="L60" s="207"/>
      <c r="M60" s="207"/>
      <c r="N60" s="206"/>
      <c r="O60" s="206"/>
      <c r="P60" s="206"/>
      <c r="Q60" s="206"/>
      <c r="R60" s="208">
        <f t="shared" si="4"/>
        <v>0</v>
      </c>
      <c r="S60" s="208">
        <f t="shared" si="5"/>
        <v>0</v>
      </c>
      <c r="T60" s="208">
        <f t="shared" si="6"/>
        <v>0</v>
      </c>
      <c r="U60" s="208">
        <f t="shared" si="7"/>
        <v>0</v>
      </c>
      <c r="V60" s="208">
        <f t="shared" si="8"/>
        <v>0</v>
      </c>
      <c r="W60" s="208"/>
      <c r="X60" s="209"/>
      <c r="Y60" s="209">
        <f t="shared" si="9"/>
        <v>0</v>
      </c>
      <c r="Z60" s="210">
        <f t="shared" si="10"/>
        <v>0</v>
      </c>
      <c r="AA60" s="167"/>
    </row>
    <row r="61" spans="2:27" ht="45" x14ac:dyDescent="0.25">
      <c r="B61" s="332" t="s">
        <v>149</v>
      </c>
      <c r="C61" s="333">
        <v>87893</v>
      </c>
      <c r="D61" s="334" t="s">
        <v>151</v>
      </c>
      <c r="E61" s="336" t="s">
        <v>17</v>
      </c>
      <c r="F61" s="336">
        <v>6.08</v>
      </c>
      <c r="G61" s="336">
        <v>1348.98</v>
      </c>
      <c r="H61" s="337"/>
      <c r="I61" s="338"/>
      <c r="J61" s="338"/>
      <c r="K61" s="337"/>
      <c r="L61" s="337">
        <v>1348.98</v>
      </c>
      <c r="M61" s="337"/>
      <c r="N61" s="336"/>
      <c r="O61" s="336">
        <f t="shared" si="1"/>
        <v>1348.98</v>
      </c>
      <c r="P61" s="336">
        <f t="shared" si="2"/>
        <v>0</v>
      </c>
      <c r="Q61" s="336">
        <f t="shared" si="3"/>
        <v>8201.7983999999997</v>
      </c>
      <c r="R61" s="339">
        <f t="shared" si="4"/>
        <v>0</v>
      </c>
      <c r="S61" s="339">
        <f t="shared" si="5"/>
        <v>0</v>
      </c>
      <c r="T61" s="339">
        <f t="shared" si="6"/>
        <v>0</v>
      </c>
      <c r="U61" s="339">
        <f t="shared" si="7"/>
        <v>0</v>
      </c>
      <c r="V61" s="339">
        <f t="shared" si="8"/>
        <v>8201.7900000000009</v>
      </c>
      <c r="W61" s="339"/>
      <c r="X61" s="340"/>
      <c r="Y61" s="340">
        <f t="shared" si="9"/>
        <v>8201.7900000000009</v>
      </c>
      <c r="Z61" s="341">
        <f t="shared" si="10"/>
        <v>8.3999999988009222E-3</v>
      </c>
      <c r="AA61" s="167"/>
    </row>
    <row r="62" spans="2:27" ht="56.25" x14ac:dyDescent="0.25">
      <c r="B62" s="203" t="s">
        <v>152</v>
      </c>
      <c r="C62" s="211">
        <v>87548</v>
      </c>
      <c r="D62" s="205" t="s">
        <v>154</v>
      </c>
      <c r="E62" s="206" t="s">
        <v>17</v>
      </c>
      <c r="F62" s="206">
        <v>22.4</v>
      </c>
      <c r="G62" s="206">
        <v>997.11</v>
      </c>
      <c r="H62" s="207"/>
      <c r="I62" s="29"/>
      <c r="J62" s="29"/>
      <c r="K62" s="207"/>
      <c r="L62" s="207"/>
      <c r="M62" s="207"/>
      <c r="N62" s="206"/>
      <c r="O62" s="206">
        <f t="shared" si="1"/>
        <v>0</v>
      </c>
      <c r="P62" s="206">
        <f t="shared" si="2"/>
        <v>997.11</v>
      </c>
      <c r="Q62" s="206">
        <f t="shared" si="3"/>
        <v>22335.263999999999</v>
      </c>
      <c r="R62" s="208">
        <f t="shared" si="4"/>
        <v>0</v>
      </c>
      <c r="S62" s="208">
        <f t="shared" si="5"/>
        <v>0</v>
      </c>
      <c r="T62" s="208">
        <f t="shared" si="6"/>
        <v>0</v>
      </c>
      <c r="U62" s="208">
        <f t="shared" si="7"/>
        <v>0</v>
      </c>
      <c r="V62" s="208">
        <f t="shared" si="8"/>
        <v>0</v>
      </c>
      <c r="W62" s="208"/>
      <c r="X62" s="209"/>
      <c r="Y62" s="209">
        <f t="shared" si="9"/>
        <v>0</v>
      </c>
      <c r="Z62" s="210">
        <f t="shared" si="10"/>
        <v>22335.263999999999</v>
      </c>
      <c r="AA62" s="167"/>
    </row>
    <row r="63" spans="2:27" ht="56.25" x14ac:dyDescent="0.25">
      <c r="B63" s="203" t="s">
        <v>155</v>
      </c>
      <c r="C63" s="211">
        <v>87536</v>
      </c>
      <c r="D63" s="205" t="s">
        <v>157</v>
      </c>
      <c r="E63" s="206" t="s">
        <v>17</v>
      </c>
      <c r="F63" s="206">
        <v>31.26</v>
      </c>
      <c r="G63" s="206">
        <v>351.87</v>
      </c>
      <c r="H63" s="207"/>
      <c r="I63" s="29"/>
      <c r="J63" s="29"/>
      <c r="K63" s="207"/>
      <c r="L63" s="207"/>
      <c r="M63" s="207"/>
      <c r="N63" s="206"/>
      <c r="O63" s="206">
        <f t="shared" si="1"/>
        <v>0</v>
      </c>
      <c r="P63" s="206">
        <f t="shared" si="2"/>
        <v>351.87</v>
      </c>
      <c r="Q63" s="206">
        <f t="shared" si="3"/>
        <v>10999.456200000001</v>
      </c>
      <c r="R63" s="208">
        <f t="shared" si="4"/>
        <v>0</v>
      </c>
      <c r="S63" s="208">
        <f t="shared" si="5"/>
        <v>0</v>
      </c>
      <c r="T63" s="208">
        <f t="shared" si="6"/>
        <v>0</v>
      </c>
      <c r="U63" s="208">
        <f t="shared" si="7"/>
        <v>0</v>
      </c>
      <c r="V63" s="208">
        <f t="shared" si="8"/>
        <v>0</v>
      </c>
      <c r="W63" s="208"/>
      <c r="X63" s="209"/>
      <c r="Y63" s="209">
        <f t="shared" si="9"/>
        <v>0</v>
      </c>
      <c r="Z63" s="210">
        <f t="shared" si="10"/>
        <v>10999.456200000001</v>
      </c>
      <c r="AA63" s="167"/>
    </row>
    <row r="64" spans="2:27" ht="33.75" x14ac:dyDescent="0.25">
      <c r="B64" s="203" t="s">
        <v>158</v>
      </c>
      <c r="C64" s="211">
        <v>87275</v>
      </c>
      <c r="D64" s="205" t="s">
        <v>160</v>
      </c>
      <c r="E64" s="206" t="s">
        <v>17</v>
      </c>
      <c r="F64" s="206">
        <v>75.14</v>
      </c>
      <c r="G64" s="206">
        <v>351.87</v>
      </c>
      <c r="H64" s="207"/>
      <c r="I64" s="29"/>
      <c r="J64" s="29"/>
      <c r="K64" s="207"/>
      <c r="L64" s="207"/>
      <c r="M64" s="207"/>
      <c r="N64" s="206"/>
      <c r="O64" s="206">
        <f t="shared" si="1"/>
        <v>0</v>
      </c>
      <c r="P64" s="206">
        <f t="shared" si="2"/>
        <v>351.87</v>
      </c>
      <c r="Q64" s="206">
        <f t="shared" si="3"/>
        <v>26439.5118</v>
      </c>
      <c r="R64" s="208">
        <f t="shared" si="4"/>
        <v>0</v>
      </c>
      <c r="S64" s="208">
        <f t="shared" si="5"/>
        <v>0</v>
      </c>
      <c r="T64" s="208">
        <f t="shared" si="6"/>
        <v>0</v>
      </c>
      <c r="U64" s="208">
        <f t="shared" si="7"/>
        <v>0</v>
      </c>
      <c r="V64" s="208">
        <f t="shared" si="8"/>
        <v>0</v>
      </c>
      <c r="W64" s="208"/>
      <c r="X64" s="209"/>
      <c r="Y64" s="209">
        <f t="shared" si="9"/>
        <v>0</v>
      </c>
      <c r="Z64" s="210">
        <f t="shared" si="10"/>
        <v>26439.5118</v>
      </c>
      <c r="AA64" s="167"/>
    </row>
    <row r="65" spans="2:27" x14ac:dyDescent="0.25">
      <c r="B65" s="212">
        <v>1.7</v>
      </c>
      <c r="C65" s="213" t="s">
        <v>162</v>
      </c>
      <c r="D65" s="205"/>
      <c r="E65" s="206"/>
      <c r="F65" s="206"/>
      <c r="G65" s="206"/>
      <c r="H65" s="207"/>
      <c r="I65" s="29"/>
      <c r="J65" s="29"/>
      <c r="K65" s="207"/>
      <c r="L65" s="207"/>
      <c r="M65" s="207"/>
      <c r="N65" s="206"/>
      <c r="O65" s="206"/>
      <c r="P65" s="206"/>
      <c r="Q65" s="206"/>
      <c r="R65" s="208">
        <f t="shared" si="4"/>
        <v>0</v>
      </c>
      <c r="S65" s="208">
        <f t="shared" si="5"/>
        <v>0</v>
      </c>
      <c r="T65" s="208">
        <f t="shared" si="6"/>
        <v>0</v>
      </c>
      <c r="U65" s="208">
        <f t="shared" si="7"/>
        <v>0</v>
      </c>
      <c r="V65" s="208">
        <f t="shared" si="8"/>
        <v>0</v>
      </c>
      <c r="W65" s="208"/>
      <c r="X65" s="209"/>
      <c r="Y65" s="209">
        <f t="shared" si="9"/>
        <v>0</v>
      </c>
      <c r="Z65" s="210">
        <f t="shared" si="10"/>
        <v>0</v>
      </c>
      <c r="AA65" s="167"/>
    </row>
    <row r="66" spans="2:27" ht="56.25" x14ac:dyDescent="0.25">
      <c r="B66" s="203" t="s">
        <v>163</v>
      </c>
      <c r="C66" s="211">
        <v>91315</v>
      </c>
      <c r="D66" s="215" t="s">
        <v>165</v>
      </c>
      <c r="E66" s="206" t="s">
        <v>166</v>
      </c>
      <c r="F66" s="206">
        <v>919.01</v>
      </c>
      <c r="G66" s="206">
        <v>18</v>
      </c>
      <c r="H66" s="216"/>
      <c r="I66" s="29"/>
      <c r="J66" s="29"/>
      <c r="K66" s="216"/>
      <c r="L66" s="216"/>
      <c r="M66" s="216"/>
      <c r="N66" s="216"/>
      <c r="O66" s="206">
        <f t="shared" si="1"/>
        <v>0</v>
      </c>
      <c r="P66" s="206">
        <f t="shared" si="2"/>
        <v>18</v>
      </c>
      <c r="Q66" s="206">
        <f t="shared" si="3"/>
        <v>16542.18</v>
      </c>
      <c r="R66" s="208">
        <f t="shared" si="4"/>
        <v>0</v>
      </c>
      <c r="S66" s="208">
        <f t="shared" si="5"/>
        <v>0</v>
      </c>
      <c r="T66" s="208">
        <f t="shared" si="6"/>
        <v>0</v>
      </c>
      <c r="U66" s="208">
        <f t="shared" si="7"/>
        <v>0</v>
      </c>
      <c r="V66" s="208">
        <f t="shared" si="8"/>
        <v>0</v>
      </c>
      <c r="W66" s="208"/>
      <c r="X66" s="209"/>
      <c r="Y66" s="209">
        <f t="shared" si="9"/>
        <v>0</v>
      </c>
      <c r="Z66" s="210">
        <f t="shared" si="10"/>
        <v>16542.18</v>
      </c>
      <c r="AA66" s="167"/>
    </row>
    <row r="67" spans="2:27" ht="56.25" x14ac:dyDescent="0.25">
      <c r="B67" s="203" t="s">
        <v>167</v>
      </c>
      <c r="C67" s="211">
        <v>94570</v>
      </c>
      <c r="D67" s="205" t="s">
        <v>169</v>
      </c>
      <c r="E67" s="206" t="s">
        <v>17</v>
      </c>
      <c r="F67" s="206">
        <v>960.32</v>
      </c>
      <c r="G67" s="206">
        <v>49.7</v>
      </c>
      <c r="H67" s="207"/>
      <c r="I67" s="29"/>
      <c r="J67" s="29"/>
      <c r="K67" s="207"/>
      <c r="L67" s="207"/>
      <c r="M67" s="207"/>
      <c r="N67" s="206"/>
      <c r="O67" s="206">
        <f t="shared" si="1"/>
        <v>0</v>
      </c>
      <c r="P67" s="206">
        <f t="shared" si="2"/>
        <v>49.7</v>
      </c>
      <c r="Q67" s="206">
        <f t="shared" si="3"/>
        <v>47727.904000000002</v>
      </c>
      <c r="R67" s="208">
        <f t="shared" si="4"/>
        <v>0</v>
      </c>
      <c r="S67" s="208">
        <f t="shared" si="5"/>
        <v>0</v>
      </c>
      <c r="T67" s="208">
        <f t="shared" si="6"/>
        <v>0</v>
      </c>
      <c r="U67" s="208">
        <f t="shared" si="7"/>
        <v>0</v>
      </c>
      <c r="V67" s="208">
        <f t="shared" si="8"/>
        <v>0</v>
      </c>
      <c r="W67" s="208"/>
      <c r="X67" s="209"/>
      <c r="Y67" s="209">
        <f t="shared" si="9"/>
        <v>0</v>
      </c>
      <c r="Z67" s="210">
        <f t="shared" si="10"/>
        <v>47727.904000000002</v>
      </c>
      <c r="AA67" s="167"/>
    </row>
    <row r="68" spans="2:27" ht="56.25" x14ac:dyDescent="0.25">
      <c r="B68" s="203" t="s">
        <v>170</v>
      </c>
      <c r="C68" s="211">
        <v>100689</v>
      </c>
      <c r="D68" s="205" t="s">
        <v>172</v>
      </c>
      <c r="E68" s="206" t="s">
        <v>166</v>
      </c>
      <c r="F68" s="206">
        <v>1069.74</v>
      </c>
      <c r="G68" s="206">
        <v>5</v>
      </c>
      <c r="H68" s="207"/>
      <c r="I68" s="29"/>
      <c r="J68" s="29"/>
      <c r="K68" s="207"/>
      <c r="L68" s="207"/>
      <c r="M68" s="207"/>
      <c r="N68" s="206"/>
      <c r="O68" s="206">
        <f t="shared" si="1"/>
        <v>0</v>
      </c>
      <c r="P68" s="206">
        <f t="shared" si="2"/>
        <v>5</v>
      </c>
      <c r="Q68" s="206">
        <f t="shared" si="3"/>
        <v>5348.7</v>
      </c>
      <c r="R68" s="208">
        <f t="shared" si="4"/>
        <v>0</v>
      </c>
      <c r="S68" s="208">
        <f t="shared" si="5"/>
        <v>0</v>
      </c>
      <c r="T68" s="208">
        <f t="shared" si="6"/>
        <v>0</v>
      </c>
      <c r="U68" s="208">
        <f t="shared" si="7"/>
        <v>0</v>
      </c>
      <c r="V68" s="208">
        <f t="shared" si="8"/>
        <v>0</v>
      </c>
      <c r="W68" s="208"/>
      <c r="X68" s="209"/>
      <c r="Y68" s="209">
        <f t="shared" si="9"/>
        <v>0</v>
      </c>
      <c r="Z68" s="210">
        <f t="shared" si="10"/>
        <v>5348.7</v>
      </c>
      <c r="AA68" s="167"/>
    </row>
    <row r="69" spans="2:27" ht="33.75" x14ac:dyDescent="0.25">
      <c r="B69" s="203" t="s">
        <v>173</v>
      </c>
      <c r="C69" s="204" t="s">
        <v>174</v>
      </c>
      <c r="D69" s="205" t="s">
        <v>175</v>
      </c>
      <c r="E69" s="206" t="s">
        <v>5</v>
      </c>
      <c r="F69" s="206">
        <v>2030.34</v>
      </c>
      <c r="G69" s="206">
        <v>1</v>
      </c>
      <c r="H69" s="207"/>
      <c r="I69" s="29"/>
      <c r="J69" s="29"/>
      <c r="K69" s="207"/>
      <c r="L69" s="207"/>
      <c r="M69" s="207"/>
      <c r="N69" s="206"/>
      <c r="O69" s="206">
        <f t="shared" si="1"/>
        <v>0</v>
      </c>
      <c r="P69" s="206">
        <f t="shared" si="2"/>
        <v>1</v>
      </c>
      <c r="Q69" s="206">
        <f t="shared" si="3"/>
        <v>2030.34</v>
      </c>
      <c r="R69" s="208">
        <f t="shared" si="4"/>
        <v>0</v>
      </c>
      <c r="S69" s="208">
        <f t="shared" si="5"/>
        <v>0</v>
      </c>
      <c r="T69" s="208">
        <f t="shared" si="6"/>
        <v>0</v>
      </c>
      <c r="U69" s="208">
        <f t="shared" si="7"/>
        <v>0</v>
      </c>
      <c r="V69" s="208">
        <f t="shared" si="8"/>
        <v>0</v>
      </c>
      <c r="W69" s="208"/>
      <c r="X69" s="209"/>
      <c r="Y69" s="209">
        <f t="shared" si="9"/>
        <v>0</v>
      </c>
      <c r="Z69" s="210">
        <f t="shared" si="10"/>
        <v>2030.34</v>
      </c>
      <c r="AA69" s="167"/>
    </row>
    <row r="70" spans="2:27" ht="33.75" x14ac:dyDescent="0.25">
      <c r="B70" s="203" t="s">
        <v>176</v>
      </c>
      <c r="C70" s="204" t="s">
        <v>177</v>
      </c>
      <c r="D70" s="205" t="s">
        <v>178</v>
      </c>
      <c r="E70" s="206" t="s">
        <v>5</v>
      </c>
      <c r="F70" s="206">
        <v>4697.45</v>
      </c>
      <c r="G70" s="206">
        <v>3</v>
      </c>
      <c r="H70" s="207"/>
      <c r="I70" s="29"/>
      <c r="J70" s="29"/>
      <c r="K70" s="207"/>
      <c r="L70" s="207"/>
      <c r="M70" s="207"/>
      <c r="N70" s="206"/>
      <c r="O70" s="206">
        <f t="shared" si="1"/>
        <v>0</v>
      </c>
      <c r="P70" s="206">
        <f t="shared" si="2"/>
        <v>3</v>
      </c>
      <c r="Q70" s="206">
        <f t="shared" si="3"/>
        <v>14092.349999999999</v>
      </c>
      <c r="R70" s="208">
        <f t="shared" si="4"/>
        <v>0</v>
      </c>
      <c r="S70" s="208">
        <f t="shared" si="5"/>
        <v>0</v>
      </c>
      <c r="T70" s="208">
        <f t="shared" si="6"/>
        <v>0</v>
      </c>
      <c r="U70" s="208">
        <f t="shared" si="7"/>
        <v>0</v>
      </c>
      <c r="V70" s="208">
        <f t="shared" si="8"/>
        <v>0</v>
      </c>
      <c r="W70" s="208"/>
      <c r="X70" s="209"/>
      <c r="Y70" s="209">
        <f t="shared" si="9"/>
        <v>0</v>
      </c>
      <c r="Z70" s="210">
        <f t="shared" si="10"/>
        <v>14092.349999999999</v>
      </c>
      <c r="AA70" s="167"/>
    </row>
    <row r="71" spans="2:27" ht="33.75" x14ac:dyDescent="0.25">
      <c r="B71" s="203" t="s">
        <v>179</v>
      </c>
      <c r="C71" s="211">
        <v>91341</v>
      </c>
      <c r="D71" s="205" t="s">
        <v>181</v>
      </c>
      <c r="E71" s="206" t="s">
        <v>17</v>
      </c>
      <c r="F71" s="206">
        <v>976.37</v>
      </c>
      <c r="G71" s="206">
        <v>12.96</v>
      </c>
      <c r="H71" s="207"/>
      <c r="I71" s="29"/>
      <c r="J71" s="29"/>
      <c r="K71" s="207"/>
      <c r="L71" s="207"/>
      <c r="M71" s="207"/>
      <c r="N71" s="206"/>
      <c r="O71" s="206">
        <f t="shared" si="1"/>
        <v>0</v>
      </c>
      <c r="P71" s="206">
        <f t="shared" si="2"/>
        <v>12.96</v>
      </c>
      <c r="Q71" s="206">
        <f t="shared" si="3"/>
        <v>12653.755200000001</v>
      </c>
      <c r="R71" s="208">
        <f t="shared" si="4"/>
        <v>0</v>
      </c>
      <c r="S71" s="208">
        <f t="shared" si="5"/>
        <v>0</v>
      </c>
      <c r="T71" s="208">
        <f t="shared" si="6"/>
        <v>0</v>
      </c>
      <c r="U71" s="208">
        <f t="shared" si="7"/>
        <v>0</v>
      </c>
      <c r="V71" s="208">
        <f t="shared" si="8"/>
        <v>0</v>
      </c>
      <c r="W71" s="208"/>
      <c r="X71" s="209"/>
      <c r="Y71" s="209">
        <f t="shared" si="9"/>
        <v>0</v>
      </c>
      <c r="Z71" s="210">
        <f t="shared" si="10"/>
        <v>12653.755200000001</v>
      </c>
      <c r="AA71" s="167"/>
    </row>
    <row r="72" spans="2:27" ht="33.75" x14ac:dyDescent="0.25">
      <c r="B72" s="203" t="s">
        <v>182</v>
      </c>
      <c r="C72" s="211">
        <v>100702</v>
      </c>
      <c r="D72" s="205" t="s">
        <v>184</v>
      </c>
      <c r="E72" s="206" t="s">
        <v>17</v>
      </c>
      <c r="F72" s="206">
        <v>579.9</v>
      </c>
      <c r="G72" s="206">
        <v>19.96</v>
      </c>
      <c r="H72" s="207"/>
      <c r="I72" s="29"/>
      <c r="J72" s="29"/>
      <c r="K72" s="207"/>
      <c r="L72" s="207"/>
      <c r="M72" s="207"/>
      <c r="N72" s="206"/>
      <c r="O72" s="206">
        <f t="shared" si="1"/>
        <v>0</v>
      </c>
      <c r="P72" s="206">
        <f t="shared" si="2"/>
        <v>19.96</v>
      </c>
      <c r="Q72" s="206">
        <f t="shared" si="3"/>
        <v>11574.804</v>
      </c>
      <c r="R72" s="208">
        <f t="shared" si="4"/>
        <v>0</v>
      </c>
      <c r="S72" s="208">
        <f t="shared" si="5"/>
        <v>0</v>
      </c>
      <c r="T72" s="208">
        <f t="shared" si="6"/>
        <v>0</v>
      </c>
      <c r="U72" s="208">
        <f t="shared" si="7"/>
        <v>0</v>
      </c>
      <c r="V72" s="208">
        <f t="shared" si="8"/>
        <v>0</v>
      </c>
      <c r="W72" s="208"/>
      <c r="X72" s="209"/>
      <c r="Y72" s="209">
        <f t="shared" si="9"/>
        <v>0</v>
      </c>
      <c r="Z72" s="210">
        <f t="shared" si="10"/>
        <v>11574.804</v>
      </c>
      <c r="AA72" s="167"/>
    </row>
    <row r="73" spans="2:27" ht="45" x14ac:dyDescent="0.25">
      <c r="B73" s="203" t="s">
        <v>185</v>
      </c>
      <c r="C73" s="211">
        <v>90831</v>
      </c>
      <c r="D73" s="205" t="s">
        <v>187</v>
      </c>
      <c r="E73" s="206" t="s">
        <v>166</v>
      </c>
      <c r="F73" s="206">
        <v>137.30000000000001</v>
      </c>
      <c r="G73" s="206">
        <v>8</v>
      </c>
      <c r="H73" s="207"/>
      <c r="I73" s="29"/>
      <c r="J73" s="29"/>
      <c r="K73" s="207"/>
      <c r="L73" s="207"/>
      <c r="M73" s="207"/>
      <c r="N73" s="206"/>
      <c r="O73" s="206">
        <f t="shared" si="1"/>
        <v>0</v>
      </c>
      <c r="P73" s="206">
        <f t="shared" si="2"/>
        <v>8</v>
      </c>
      <c r="Q73" s="206">
        <f t="shared" si="3"/>
        <v>1098.4000000000001</v>
      </c>
      <c r="R73" s="208">
        <f t="shared" si="4"/>
        <v>0</v>
      </c>
      <c r="S73" s="208">
        <f t="shared" si="5"/>
        <v>0</v>
      </c>
      <c r="T73" s="208">
        <f t="shared" si="6"/>
        <v>0</v>
      </c>
      <c r="U73" s="208">
        <f t="shared" si="7"/>
        <v>0</v>
      </c>
      <c r="V73" s="208">
        <f t="shared" si="8"/>
        <v>0</v>
      </c>
      <c r="W73" s="208"/>
      <c r="X73" s="209"/>
      <c r="Y73" s="209">
        <f t="shared" si="9"/>
        <v>0</v>
      </c>
      <c r="Z73" s="210">
        <f t="shared" si="10"/>
        <v>1098.4000000000001</v>
      </c>
      <c r="AA73" s="167"/>
    </row>
    <row r="74" spans="2:27" x14ac:dyDescent="0.25">
      <c r="B74" s="212">
        <v>1.8</v>
      </c>
      <c r="C74" s="213" t="s">
        <v>189</v>
      </c>
      <c r="D74" s="205"/>
      <c r="E74" s="217"/>
      <c r="F74" s="206"/>
      <c r="G74" s="206"/>
      <c r="H74" s="207"/>
      <c r="I74" s="29"/>
      <c r="J74" s="29"/>
      <c r="K74" s="207"/>
      <c r="L74" s="207"/>
      <c r="M74" s="207"/>
      <c r="N74" s="206"/>
      <c r="O74" s="206"/>
      <c r="P74" s="206"/>
      <c r="Q74" s="206"/>
      <c r="R74" s="208">
        <f t="shared" si="4"/>
        <v>0</v>
      </c>
      <c r="S74" s="208">
        <f t="shared" si="5"/>
        <v>0</v>
      </c>
      <c r="T74" s="208">
        <f t="shared" si="6"/>
        <v>0</v>
      </c>
      <c r="U74" s="208">
        <f t="shared" si="7"/>
        <v>0</v>
      </c>
      <c r="V74" s="208">
        <f t="shared" si="8"/>
        <v>0</v>
      </c>
      <c r="W74" s="208"/>
      <c r="X74" s="209"/>
      <c r="Y74" s="209">
        <f t="shared" si="9"/>
        <v>0</v>
      </c>
      <c r="Z74" s="210">
        <f t="shared" si="10"/>
        <v>0</v>
      </c>
      <c r="AA74" s="167"/>
    </row>
    <row r="75" spans="2:27" ht="22.5" x14ac:dyDescent="0.25">
      <c r="B75" s="203" t="s">
        <v>190</v>
      </c>
      <c r="C75" s="211">
        <v>88485</v>
      </c>
      <c r="D75" s="205" t="s">
        <v>192</v>
      </c>
      <c r="E75" s="217" t="s">
        <v>17</v>
      </c>
      <c r="F75" s="206">
        <v>2.74</v>
      </c>
      <c r="G75" s="206">
        <v>997.11</v>
      </c>
      <c r="H75" s="207"/>
      <c r="I75" s="29"/>
      <c r="J75" s="29"/>
      <c r="K75" s="207"/>
      <c r="L75" s="207"/>
      <c r="M75" s="207"/>
      <c r="N75" s="206"/>
      <c r="O75" s="206">
        <f t="shared" si="1"/>
        <v>0</v>
      </c>
      <c r="P75" s="206">
        <f t="shared" si="2"/>
        <v>997.11</v>
      </c>
      <c r="Q75" s="206">
        <f t="shared" si="3"/>
        <v>2732.0814</v>
      </c>
      <c r="R75" s="208">
        <f t="shared" si="4"/>
        <v>0</v>
      </c>
      <c r="S75" s="208">
        <f t="shared" si="5"/>
        <v>0</v>
      </c>
      <c r="T75" s="208">
        <f t="shared" si="6"/>
        <v>0</v>
      </c>
      <c r="U75" s="208">
        <f t="shared" si="7"/>
        <v>0</v>
      </c>
      <c r="V75" s="208">
        <f t="shared" si="8"/>
        <v>0</v>
      </c>
      <c r="W75" s="208"/>
      <c r="X75" s="209"/>
      <c r="Y75" s="209">
        <f t="shared" si="9"/>
        <v>0</v>
      </c>
      <c r="Z75" s="210">
        <f t="shared" si="10"/>
        <v>2732.0814</v>
      </c>
      <c r="AA75" s="167"/>
    </row>
    <row r="76" spans="2:27" ht="22.5" x14ac:dyDescent="0.25">
      <c r="B76" s="203" t="s">
        <v>193</v>
      </c>
      <c r="C76" s="211">
        <v>88495</v>
      </c>
      <c r="D76" s="205" t="s">
        <v>195</v>
      </c>
      <c r="E76" s="217" t="s">
        <v>17</v>
      </c>
      <c r="F76" s="206">
        <v>9.86</v>
      </c>
      <c r="G76" s="206">
        <v>997.11</v>
      </c>
      <c r="H76" s="207"/>
      <c r="I76" s="29"/>
      <c r="J76" s="29"/>
      <c r="K76" s="207"/>
      <c r="L76" s="207"/>
      <c r="M76" s="207"/>
      <c r="N76" s="206"/>
      <c r="O76" s="206">
        <f t="shared" si="1"/>
        <v>0</v>
      </c>
      <c r="P76" s="206">
        <f t="shared" si="2"/>
        <v>997.11</v>
      </c>
      <c r="Q76" s="206">
        <f t="shared" si="3"/>
        <v>9831.5046000000002</v>
      </c>
      <c r="R76" s="208">
        <f t="shared" si="4"/>
        <v>0</v>
      </c>
      <c r="S76" s="208">
        <f t="shared" si="5"/>
        <v>0</v>
      </c>
      <c r="T76" s="208">
        <f t="shared" si="6"/>
        <v>0</v>
      </c>
      <c r="U76" s="208">
        <f t="shared" si="7"/>
        <v>0</v>
      </c>
      <c r="V76" s="208">
        <f t="shared" si="8"/>
        <v>0</v>
      </c>
      <c r="W76" s="208"/>
      <c r="X76" s="209"/>
      <c r="Y76" s="209">
        <f t="shared" si="9"/>
        <v>0</v>
      </c>
      <c r="Z76" s="210">
        <f t="shared" si="10"/>
        <v>9831.5046000000002</v>
      </c>
      <c r="AA76" s="167"/>
    </row>
    <row r="77" spans="2:27" ht="22.5" x14ac:dyDescent="0.25">
      <c r="B77" s="203" t="s">
        <v>196</v>
      </c>
      <c r="C77" s="211">
        <v>88489</v>
      </c>
      <c r="D77" s="205" t="s">
        <v>198</v>
      </c>
      <c r="E77" s="217" t="s">
        <v>17</v>
      </c>
      <c r="F77" s="206">
        <v>12.16</v>
      </c>
      <c r="G77" s="206">
        <v>997.11</v>
      </c>
      <c r="H77" s="207"/>
      <c r="I77" s="29"/>
      <c r="J77" s="29"/>
      <c r="K77" s="207"/>
      <c r="L77" s="207"/>
      <c r="M77" s="207"/>
      <c r="N77" s="206"/>
      <c r="O77" s="206">
        <f t="shared" si="1"/>
        <v>0</v>
      </c>
      <c r="P77" s="206">
        <f t="shared" si="2"/>
        <v>997.11</v>
      </c>
      <c r="Q77" s="206">
        <f t="shared" si="3"/>
        <v>12124.857600000001</v>
      </c>
      <c r="R77" s="208">
        <f t="shared" si="4"/>
        <v>0</v>
      </c>
      <c r="S77" s="208">
        <f t="shared" si="5"/>
        <v>0</v>
      </c>
      <c r="T77" s="208">
        <f t="shared" si="6"/>
        <v>0</v>
      </c>
      <c r="U77" s="208">
        <f t="shared" si="7"/>
        <v>0</v>
      </c>
      <c r="V77" s="208">
        <f t="shared" si="8"/>
        <v>0</v>
      </c>
      <c r="W77" s="208"/>
      <c r="X77" s="209"/>
      <c r="Y77" s="209">
        <f t="shared" si="9"/>
        <v>0</v>
      </c>
      <c r="Z77" s="210">
        <f t="shared" si="10"/>
        <v>12124.857600000001</v>
      </c>
      <c r="AA77" s="167"/>
    </row>
    <row r="78" spans="2:27" ht="22.5" x14ac:dyDescent="0.25">
      <c r="B78" s="203" t="s">
        <v>199</v>
      </c>
      <c r="C78" s="211">
        <v>88484</v>
      </c>
      <c r="D78" s="205" t="s">
        <v>201</v>
      </c>
      <c r="E78" s="217" t="s">
        <v>17</v>
      </c>
      <c r="F78" s="206">
        <v>3.1</v>
      </c>
      <c r="G78" s="206">
        <v>634.5</v>
      </c>
      <c r="H78" s="207"/>
      <c r="I78" s="29"/>
      <c r="J78" s="29"/>
      <c r="K78" s="207"/>
      <c r="L78" s="207"/>
      <c r="M78" s="207"/>
      <c r="N78" s="206"/>
      <c r="O78" s="206">
        <f t="shared" si="1"/>
        <v>0</v>
      </c>
      <c r="P78" s="206">
        <f t="shared" si="2"/>
        <v>634.5</v>
      </c>
      <c r="Q78" s="206">
        <f t="shared" si="3"/>
        <v>1966.95</v>
      </c>
      <c r="R78" s="208">
        <f t="shared" si="4"/>
        <v>0</v>
      </c>
      <c r="S78" s="208">
        <f t="shared" si="5"/>
        <v>0</v>
      </c>
      <c r="T78" s="208">
        <f t="shared" si="6"/>
        <v>0</v>
      </c>
      <c r="U78" s="208">
        <f t="shared" si="7"/>
        <v>0</v>
      </c>
      <c r="V78" s="208">
        <f t="shared" si="8"/>
        <v>0</v>
      </c>
      <c r="W78" s="208"/>
      <c r="X78" s="209"/>
      <c r="Y78" s="209">
        <f t="shared" si="9"/>
        <v>0</v>
      </c>
      <c r="Z78" s="210">
        <f t="shared" si="10"/>
        <v>1966.95</v>
      </c>
      <c r="AA78" s="167"/>
    </row>
    <row r="79" spans="2:27" ht="22.5" x14ac:dyDescent="0.25">
      <c r="B79" s="203" t="s">
        <v>202</v>
      </c>
      <c r="C79" s="211">
        <v>88494</v>
      </c>
      <c r="D79" s="205" t="s">
        <v>204</v>
      </c>
      <c r="E79" s="217" t="s">
        <v>17</v>
      </c>
      <c r="F79" s="206">
        <v>17.43</v>
      </c>
      <c r="G79" s="206">
        <v>634.5</v>
      </c>
      <c r="H79" s="207"/>
      <c r="I79" s="29"/>
      <c r="J79" s="29"/>
      <c r="K79" s="207"/>
      <c r="L79" s="207"/>
      <c r="M79" s="207"/>
      <c r="N79" s="206"/>
      <c r="O79" s="206">
        <f t="shared" ref="O79:O142" si="11">H79+I79+J79+K79+L79+M79+N79</f>
        <v>0</v>
      </c>
      <c r="P79" s="206">
        <f t="shared" ref="P79:P142" si="12">G79-O79</f>
        <v>634.5</v>
      </c>
      <c r="Q79" s="206">
        <f t="shared" ref="Q79:Q142" si="13">F79*G79</f>
        <v>11059.334999999999</v>
      </c>
      <c r="R79" s="208">
        <f t="shared" ref="R79:R142" si="14">F79*H79</f>
        <v>0</v>
      </c>
      <c r="S79" s="208">
        <f t="shared" ref="S79:S142" si="15">F79*I79</f>
        <v>0</v>
      </c>
      <c r="T79" s="208">
        <f t="shared" ref="T79:T142" si="16">F79*J79</f>
        <v>0</v>
      </c>
      <c r="U79" s="208">
        <f t="shared" ref="U79:U142" si="17">TRUNC(F79*K79,2)</f>
        <v>0</v>
      </c>
      <c r="V79" s="208">
        <f t="shared" ref="V79:V142" si="18">TRUNC(F79*L79,2)</f>
        <v>0</v>
      </c>
      <c r="W79" s="208"/>
      <c r="X79" s="209"/>
      <c r="Y79" s="209">
        <f t="shared" ref="Y79:Y142" si="19">R79+S79+T79+U79+V79+W79</f>
        <v>0</v>
      </c>
      <c r="Z79" s="210">
        <f t="shared" ref="Z79:Z142" si="20">Q79-Y79</f>
        <v>11059.334999999999</v>
      </c>
      <c r="AA79" s="167"/>
    </row>
    <row r="80" spans="2:27" ht="22.5" x14ac:dyDescent="0.25">
      <c r="B80" s="203" t="s">
        <v>205</v>
      </c>
      <c r="C80" s="211">
        <v>88488</v>
      </c>
      <c r="D80" s="205" t="s">
        <v>207</v>
      </c>
      <c r="E80" s="217" t="s">
        <v>17</v>
      </c>
      <c r="F80" s="206">
        <v>13.74</v>
      </c>
      <c r="G80" s="206">
        <v>634.5</v>
      </c>
      <c r="H80" s="207"/>
      <c r="I80" s="29"/>
      <c r="J80" s="29"/>
      <c r="K80" s="207"/>
      <c r="L80" s="207"/>
      <c r="M80" s="207"/>
      <c r="N80" s="206"/>
      <c r="O80" s="206">
        <f t="shared" si="11"/>
        <v>0</v>
      </c>
      <c r="P80" s="206">
        <f t="shared" si="12"/>
        <v>634.5</v>
      </c>
      <c r="Q80" s="206">
        <f t="shared" si="13"/>
        <v>8718.0300000000007</v>
      </c>
      <c r="R80" s="208">
        <f t="shared" si="14"/>
        <v>0</v>
      </c>
      <c r="S80" s="208">
        <f t="shared" si="15"/>
        <v>0</v>
      </c>
      <c r="T80" s="208">
        <f t="shared" si="16"/>
        <v>0</v>
      </c>
      <c r="U80" s="208">
        <f t="shared" si="17"/>
        <v>0</v>
      </c>
      <c r="V80" s="208">
        <f t="shared" si="18"/>
        <v>0</v>
      </c>
      <c r="W80" s="208"/>
      <c r="X80" s="209"/>
      <c r="Y80" s="209">
        <f t="shared" si="19"/>
        <v>0</v>
      </c>
      <c r="Z80" s="210">
        <f t="shared" si="20"/>
        <v>8718.0300000000007</v>
      </c>
      <c r="AA80" s="167"/>
    </row>
    <row r="81" spans="2:27" ht="14.45" customHeight="1" x14ac:dyDescent="0.25">
      <c r="B81" s="212" t="s">
        <v>208</v>
      </c>
      <c r="C81" s="213" t="s">
        <v>209</v>
      </c>
      <c r="D81" s="205"/>
      <c r="E81" s="217"/>
      <c r="F81" s="206"/>
      <c r="G81" s="206"/>
      <c r="H81" s="207"/>
      <c r="I81" s="29"/>
      <c r="J81" s="29"/>
      <c r="K81" s="207"/>
      <c r="L81" s="207"/>
      <c r="M81" s="207"/>
      <c r="N81" s="206"/>
      <c r="O81" s="206"/>
      <c r="P81" s="206"/>
      <c r="Q81" s="206"/>
      <c r="R81" s="208">
        <f t="shared" si="14"/>
        <v>0</v>
      </c>
      <c r="S81" s="208">
        <f t="shared" si="15"/>
        <v>0</v>
      </c>
      <c r="T81" s="208">
        <f t="shared" si="16"/>
        <v>0</v>
      </c>
      <c r="U81" s="208">
        <f t="shared" si="17"/>
        <v>0</v>
      </c>
      <c r="V81" s="208">
        <f t="shared" si="18"/>
        <v>0</v>
      </c>
      <c r="W81" s="208"/>
      <c r="X81" s="209"/>
      <c r="Y81" s="209">
        <f t="shared" si="19"/>
        <v>0</v>
      </c>
      <c r="Z81" s="210">
        <f t="shared" si="20"/>
        <v>0</v>
      </c>
      <c r="AA81" s="167"/>
    </row>
    <row r="82" spans="2:27" ht="45" x14ac:dyDescent="0.25">
      <c r="B82" s="203" t="s">
        <v>210</v>
      </c>
      <c r="C82" s="211">
        <v>87894</v>
      </c>
      <c r="D82" s="205" t="s">
        <v>212</v>
      </c>
      <c r="E82" s="217" t="s">
        <v>17</v>
      </c>
      <c r="F82" s="206">
        <v>5.72</v>
      </c>
      <c r="G82" s="206">
        <v>466.37</v>
      </c>
      <c r="H82" s="207"/>
      <c r="I82" s="29"/>
      <c r="J82" s="29"/>
      <c r="K82" s="207"/>
      <c r="L82" s="207"/>
      <c r="M82" s="207"/>
      <c r="N82" s="206"/>
      <c r="O82" s="206">
        <f t="shared" si="11"/>
        <v>0</v>
      </c>
      <c r="P82" s="206">
        <f t="shared" si="12"/>
        <v>466.37</v>
      </c>
      <c r="Q82" s="206">
        <f t="shared" si="13"/>
        <v>2667.6363999999999</v>
      </c>
      <c r="R82" s="208">
        <f t="shared" si="14"/>
        <v>0</v>
      </c>
      <c r="S82" s="208">
        <f t="shared" si="15"/>
        <v>0</v>
      </c>
      <c r="T82" s="208">
        <f t="shared" si="16"/>
        <v>0</v>
      </c>
      <c r="U82" s="208">
        <f t="shared" si="17"/>
        <v>0</v>
      </c>
      <c r="V82" s="208">
        <f t="shared" si="18"/>
        <v>0</v>
      </c>
      <c r="W82" s="208"/>
      <c r="X82" s="209"/>
      <c r="Y82" s="209">
        <f t="shared" si="19"/>
        <v>0</v>
      </c>
      <c r="Z82" s="210">
        <f t="shared" si="20"/>
        <v>2667.6363999999999</v>
      </c>
      <c r="AA82" s="167"/>
    </row>
    <row r="83" spans="2:27" ht="56.25" x14ac:dyDescent="0.25">
      <c r="B83" s="203" t="s">
        <v>213</v>
      </c>
      <c r="C83" s="211">
        <v>104233</v>
      </c>
      <c r="D83" s="205" t="s">
        <v>215</v>
      </c>
      <c r="E83" s="217" t="s">
        <v>17</v>
      </c>
      <c r="F83" s="206">
        <v>31.53</v>
      </c>
      <c r="G83" s="206">
        <v>466.37</v>
      </c>
      <c r="H83" s="207"/>
      <c r="I83" s="29"/>
      <c r="J83" s="29"/>
      <c r="K83" s="207"/>
      <c r="L83" s="207"/>
      <c r="M83" s="207"/>
      <c r="N83" s="206"/>
      <c r="O83" s="206">
        <f t="shared" si="11"/>
        <v>0</v>
      </c>
      <c r="P83" s="206">
        <f t="shared" si="12"/>
        <v>466.37</v>
      </c>
      <c r="Q83" s="206">
        <f t="shared" si="13"/>
        <v>14704.6461</v>
      </c>
      <c r="R83" s="208">
        <f t="shared" si="14"/>
        <v>0</v>
      </c>
      <c r="S83" s="208">
        <f t="shared" si="15"/>
        <v>0</v>
      </c>
      <c r="T83" s="208">
        <f t="shared" si="16"/>
        <v>0</v>
      </c>
      <c r="U83" s="208">
        <f t="shared" si="17"/>
        <v>0</v>
      </c>
      <c r="V83" s="208">
        <f t="shared" si="18"/>
        <v>0</v>
      </c>
      <c r="W83" s="208"/>
      <c r="X83" s="209"/>
      <c r="Y83" s="209">
        <f t="shared" si="19"/>
        <v>0</v>
      </c>
      <c r="Z83" s="210">
        <f t="shared" si="20"/>
        <v>14704.6461</v>
      </c>
      <c r="AA83" s="167"/>
    </row>
    <row r="84" spans="2:27" ht="33.75" x14ac:dyDescent="0.25">
      <c r="B84" s="203" t="s">
        <v>216</v>
      </c>
      <c r="C84" s="204" t="s">
        <v>217</v>
      </c>
      <c r="D84" s="215" t="s">
        <v>218</v>
      </c>
      <c r="E84" s="217" t="s">
        <v>17</v>
      </c>
      <c r="F84" s="217">
        <v>154.75</v>
      </c>
      <c r="G84" s="206">
        <v>32.5</v>
      </c>
      <c r="H84" s="216"/>
      <c r="I84" s="216"/>
      <c r="J84" s="29"/>
      <c r="K84" s="216"/>
      <c r="L84" s="216"/>
      <c r="M84" s="216"/>
      <c r="N84" s="216"/>
      <c r="O84" s="206">
        <f t="shared" si="11"/>
        <v>0</v>
      </c>
      <c r="P84" s="206">
        <f t="shared" si="12"/>
        <v>32.5</v>
      </c>
      <c r="Q84" s="206">
        <f t="shared" si="13"/>
        <v>5029.375</v>
      </c>
      <c r="R84" s="208">
        <f t="shared" si="14"/>
        <v>0</v>
      </c>
      <c r="S84" s="208">
        <f t="shared" si="15"/>
        <v>0</v>
      </c>
      <c r="T84" s="208">
        <f t="shared" si="16"/>
        <v>0</v>
      </c>
      <c r="U84" s="208">
        <f t="shared" si="17"/>
        <v>0</v>
      </c>
      <c r="V84" s="208">
        <f t="shared" si="18"/>
        <v>0</v>
      </c>
      <c r="W84" s="208"/>
      <c r="X84" s="209"/>
      <c r="Y84" s="209">
        <f t="shared" si="19"/>
        <v>0</v>
      </c>
      <c r="Z84" s="210">
        <f t="shared" si="20"/>
        <v>5029.375</v>
      </c>
      <c r="AA84" s="167"/>
    </row>
    <row r="85" spans="2:27" ht="33.75" x14ac:dyDescent="0.25">
      <c r="B85" s="203" t="s">
        <v>219</v>
      </c>
      <c r="C85" s="204" t="s">
        <v>220</v>
      </c>
      <c r="D85" s="205" t="s">
        <v>221</v>
      </c>
      <c r="E85" s="217" t="s">
        <v>222</v>
      </c>
      <c r="F85" s="206">
        <v>228.6</v>
      </c>
      <c r="G85" s="206">
        <v>29.5</v>
      </c>
      <c r="H85" s="207"/>
      <c r="I85" s="207"/>
      <c r="J85" s="29"/>
      <c r="K85" s="207"/>
      <c r="L85" s="207"/>
      <c r="M85" s="207"/>
      <c r="N85" s="206"/>
      <c r="O85" s="206">
        <f t="shared" si="11"/>
        <v>0</v>
      </c>
      <c r="P85" s="206">
        <f t="shared" si="12"/>
        <v>29.5</v>
      </c>
      <c r="Q85" s="206">
        <f t="shared" si="13"/>
        <v>6743.7</v>
      </c>
      <c r="R85" s="208">
        <f t="shared" si="14"/>
        <v>0</v>
      </c>
      <c r="S85" s="208">
        <f t="shared" si="15"/>
        <v>0</v>
      </c>
      <c r="T85" s="208">
        <f t="shared" si="16"/>
        <v>0</v>
      </c>
      <c r="U85" s="208">
        <f t="shared" si="17"/>
        <v>0</v>
      </c>
      <c r="V85" s="208">
        <f t="shared" si="18"/>
        <v>0</v>
      </c>
      <c r="W85" s="208"/>
      <c r="X85" s="209"/>
      <c r="Y85" s="209">
        <f t="shared" si="19"/>
        <v>0</v>
      </c>
      <c r="Z85" s="210">
        <f t="shared" si="20"/>
        <v>6743.7</v>
      </c>
      <c r="AA85" s="167"/>
    </row>
    <row r="86" spans="2:27" ht="22.5" x14ac:dyDescent="0.25">
      <c r="B86" s="203" t="s">
        <v>223</v>
      </c>
      <c r="C86" s="211">
        <v>88485</v>
      </c>
      <c r="D86" s="205" t="s">
        <v>192</v>
      </c>
      <c r="E86" s="217" t="s">
        <v>17</v>
      </c>
      <c r="F86" s="206">
        <v>2.74</v>
      </c>
      <c r="G86" s="206">
        <v>404.37</v>
      </c>
      <c r="H86" s="207"/>
      <c r="I86" s="207"/>
      <c r="J86" s="29"/>
      <c r="K86" s="207"/>
      <c r="L86" s="207"/>
      <c r="M86" s="207"/>
      <c r="N86" s="206"/>
      <c r="O86" s="206">
        <f t="shared" si="11"/>
        <v>0</v>
      </c>
      <c r="P86" s="206">
        <f t="shared" si="12"/>
        <v>404.37</v>
      </c>
      <c r="Q86" s="206">
        <f t="shared" si="13"/>
        <v>1107.9738000000002</v>
      </c>
      <c r="R86" s="208">
        <f t="shared" si="14"/>
        <v>0</v>
      </c>
      <c r="S86" s="208">
        <f t="shared" si="15"/>
        <v>0</v>
      </c>
      <c r="T86" s="208">
        <f t="shared" si="16"/>
        <v>0</v>
      </c>
      <c r="U86" s="208">
        <f t="shared" si="17"/>
        <v>0</v>
      </c>
      <c r="V86" s="208">
        <f t="shared" si="18"/>
        <v>0</v>
      </c>
      <c r="W86" s="208"/>
      <c r="X86" s="209"/>
      <c r="Y86" s="209">
        <f t="shared" si="19"/>
        <v>0</v>
      </c>
      <c r="Z86" s="210">
        <f t="shared" si="20"/>
        <v>1107.9738000000002</v>
      </c>
      <c r="AA86" s="167"/>
    </row>
    <row r="87" spans="2:27" ht="22.5" x14ac:dyDescent="0.25">
      <c r="B87" s="203" t="s">
        <v>224</v>
      </c>
      <c r="C87" s="211">
        <v>96130</v>
      </c>
      <c r="D87" s="205" t="s">
        <v>226</v>
      </c>
      <c r="E87" s="217" t="s">
        <v>17</v>
      </c>
      <c r="F87" s="206">
        <v>17.11</v>
      </c>
      <c r="G87" s="206">
        <v>404.37</v>
      </c>
      <c r="H87" s="207"/>
      <c r="I87" s="207"/>
      <c r="J87" s="29"/>
      <c r="K87" s="207"/>
      <c r="L87" s="207"/>
      <c r="M87" s="207"/>
      <c r="N87" s="206"/>
      <c r="O87" s="206">
        <f t="shared" si="11"/>
        <v>0</v>
      </c>
      <c r="P87" s="206">
        <f t="shared" si="12"/>
        <v>404.37</v>
      </c>
      <c r="Q87" s="206">
        <f t="shared" si="13"/>
        <v>6918.7707</v>
      </c>
      <c r="R87" s="208">
        <f t="shared" si="14"/>
        <v>0</v>
      </c>
      <c r="S87" s="208">
        <f t="shared" si="15"/>
        <v>0</v>
      </c>
      <c r="T87" s="208">
        <f t="shared" si="16"/>
        <v>0</v>
      </c>
      <c r="U87" s="208">
        <f t="shared" si="17"/>
        <v>0</v>
      </c>
      <c r="V87" s="208">
        <f t="shared" si="18"/>
        <v>0</v>
      </c>
      <c r="W87" s="208"/>
      <c r="X87" s="209"/>
      <c r="Y87" s="209">
        <f t="shared" si="19"/>
        <v>0</v>
      </c>
      <c r="Z87" s="210">
        <f t="shared" si="20"/>
        <v>6918.7707</v>
      </c>
      <c r="AA87" s="167"/>
    </row>
    <row r="88" spans="2:27" ht="22.5" x14ac:dyDescent="0.25">
      <c r="B88" s="203" t="s">
        <v>227</v>
      </c>
      <c r="C88" s="211">
        <v>88489</v>
      </c>
      <c r="D88" s="205" t="s">
        <v>198</v>
      </c>
      <c r="E88" s="217" t="s">
        <v>17</v>
      </c>
      <c r="F88" s="206">
        <v>12.16</v>
      </c>
      <c r="G88" s="206">
        <v>404.37</v>
      </c>
      <c r="H88" s="207"/>
      <c r="I88" s="207"/>
      <c r="J88" s="29"/>
      <c r="K88" s="207"/>
      <c r="L88" s="207"/>
      <c r="M88" s="207"/>
      <c r="N88" s="206"/>
      <c r="O88" s="206">
        <f t="shared" si="11"/>
        <v>0</v>
      </c>
      <c r="P88" s="206">
        <f t="shared" si="12"/>
        <v>404.37</v>
      </c>
      <c r="Q88" s="206">
        <f t="shared" si="13"/>
        <v>4917.1392000000005</v>
      </c>
      <c r="R88" s="208">
        <f t="shared" si="14"/>
        <v>0</v>
      </c>
      <c r="S88" s="208">
        <f t="shared" si="15"/>
        <v>0</v>
      </c>
      <c r="T88" s="208">
        <f t="shared" si="16"/>
        <v>0</v>
      </c>
      <c r="U88" s="208">
        <f t="shared" si="17"/>
        <v>0</v>
      </c>
      <c r="V88" s="208">
        <f t="shared" si="18"/>
        <v>0</v>
      </c>
      <c r="W88" s="208"/>
      <c r="X88" s="209"/>
      <c r="Y88" s="209">
        <f t="shared" si="19"/>
        <v>0</v>
      </c>
      <c r="Z88" s="210">
        <f t="shared" si="20"/>
        <v>4917.1392000000005</v>
      </c>
      <c r="AA88" s="167"/>
    </row>
    <row r="89" spans="2:27" ht="14.45" customHeight="1" x14ac:dyDescent="0.25">
      <c r="B89" s="213">
        <v>1.1000000000000001</v>
      </c>
      <c r="C89" s="213" t="s">
        <v>229</v>
      </c>
      <c r="D89" s="205"/>
      <c r="E89" s="217"/>
      <c r="F89" s="206"/>
      <c r="G89" s="206"/>
      <c r="H89" s="207"/>
      <c r="I89" s="207"/>
      <c r="J89" s="29"/>
      <c r="K89" s="207"/>
      <c r="L89" s="207"/>
      <c r="M89" s="207"/>
      <c r="N89" s="206"/>
      <c r="O89" s="206"/>
      <c r="P89" s="206"/>
      <c r="Q89" s="206"/>
      <c r="R89" s="208">
        <f t="shared" si="14"/>
        <v>0</v>
      </c>
      <c r="S89" s="208">
        <f t="shared" si="15"/>
        <v>0</v>
      </c>
      <c r="T89" s="208">
        <f t="shared" si="16"/>
        <v>0</v>
      </c>
      <c r="U89" s="208">
        <f t="shared" si="17"/>
        <v>0</v>
      </c>
      <c r="V89" s="208">
        <f t="shared" si="18"/>
        <v>0</v>
      </c>
      <c r="W89" s="208"/>
      <c r="X89" s="209"/>
      <c r="Y89" s="209">
        <f t="shared" si="19"/>
        <v>0</v>
      </c>
      <c r="Z89" s="210">
        <f t="shared" si="20"/>
        <v>0</v>
      </c>
      <c r="AA89" s="167"/>
    </row>
    <row r="90" spans="2:27" ht="33.75" x14ac:dyDescent="0.25">
      <c r="B90" s="203" t="s">
        <v>230</v>
      </c>
      <c r="C90" s="211">
        <v>92868</v>
      </c>
      <c r="D90" s="205" t="s">
        <v>232</v>
      </c>
      <c r="E90" s="92" t="s">
        <v>166</v>
      </c>
      <c r="F90" s="92">
        <v>13.45</v>
      </c>
      <c r="G90" s="206">
        <v>117</v>
      </c>
      <c r="H90" s="207"/>
      <c r="I90" s="207"/>
      <c r="J90" s="29"/>
      <c r="K90" s="207"/>
      <c r="L90" s="207"/>
      <c r="M90" s="207"/>
      <c r="N90" s="206"/>
      <c r="O90" s="206">
        <f t="shared" si="11"/>
        <v>0</v>
      </c>
      <c r="P90" s="206">
        <f t="shared" si="12"/>
        <v>117</v>
      </c>
      <c r="Q90" s="206">
        <f t="shared" si="13"/>
        <v>1573.6499999999999</v>
      </c>
      <c r="R90" s="208">
        <f t="shared" si="14"/>
        <v>0</v>
      </c>
      <c r="S90" s="208">
        <f t="shared" si="15"/>
        <v>0</v>
      </c>
      <c r="T90" s="208">
        <f t="shared" si="16"/>
        <v>0</v>
      </c>
      <c r="U90" s="208">
        <f t="shared" si="17"/>
        <v>0</v>
      </c>
      <c r="V90" s="208">
        <f t="shared" si="18"/>
        <v>0</v>
      </c>
      <c r="W90" s="208"/>
      <c r="X90" s="209"/>
      <c r="Y90" s="209">
        <f t="shared" si="19"/>
        <v>0</v>
      </c>
      <c r="Z90" s="210">
        <f t="shared" si="20"/>
        <v>1573.6499999999999</v>
      </c>
      <c r="AA90" s="167"/>
    </row>
    <row r="91" spans="2:27" ht="22.5" x14ac:dyDescent="0.25">
      <c r="B91" s="203" t="s">
        <v>233</v>
      </c>
      <c r="C91" s="211">
        <v>91937</v>
      </c>
      <c r="D91" s="205" t="s">
        <v>235</v>
      </c>
      <c r="E91" s="92" t="s">
        <v>166</v>
      </c>
      <c r="F91" s="92">
        <v>11.14</v>
      </c>
      <c r="G91" s="206">
        <v>76</v>
      </c>
      <c r="H91" s="207"/>
      <c r="I91" s="207"/>
      <c r="J91" s="29"/>
      <c r="K91" s="207"/>
      <c r="L91" s="207"/>
      <c r="M91" s="207"/>
      <c r="N91" s="206"/>
      <c r="O91" s="206">
        <f t="shared" si="11"/>
        <v>0</v>
      </c>
      <c r="P91" s="206">
        <f t="shared" si="12"/>
        <v>76</v>
      </c>
      <c r="Q91" s="206">
        <f t="shared" si="13"/>
        <v>846.6400000000001</v>
      </c>
      <c r="R91" s="208">
        <f t="shared" si="14"/>
        <v>0</v>
      </c>
      <c r="S91" s="208">
        <f t="shared" si="15"/>
        <v>0</v>
      </c>
      <c r="T91" s="208">
        <f t="shared" si="16"/>
        <v>0</v>
      </c>
      <c r="U91" s="208">
        <f t="shared" si="17"/>
        <v>0</v>
      </c>
      <c r="V91" s="208">
        <f t="shared" si="18"/>
        <v>0</v>
      </c>
      <c r="W91" s="208"/>
      <c r="X91" s="209"/>
      <c r="Y91" s="209">
        <f t="shared" si="19"/>
        <v>0</v>
      </c>
      <c r="Z91" s="210">
        <f t="shared" si="20"/>
        <v>846.6400000000001</v>
      </c>
      <c r="AA91" s="167"/>
    </row>
    <row r="92" spans="2:27" ht="33.75" x14ac:dyDescent="0.25">
      <c r="B92" s="203" t="s">
        <v>236</v>
      </c>
      <c r="C92" s="211">
        <v>91924</v>
      </c>
      <c r="D92" s="205" t="s">
        <v>238</v>
      </c>
      <c r="E92" s="92" t="s">
        <v>37</v>
      </c>
      <c r="F92" s="92">
        <v>2.7</v>
      </c>
      <c r="G92" s="206">
        <v>1253.8</v>
      </c>
      <c r="H92" s="207"/>
      <c r="I92" s="207"/>
      <c r="J92" s="29"/>
      <c r="K92" s="207"/>
      <c r="L92" s="207"/>
      <c r="M92" s="207"/>
      <c r="N92" s="206"/>
      <c r="O92" s="206">
        <f t="shared" si="11"/>
        <v>0</v>
      </c>
      <c r="P92" s="206">
        <f t="shared" si="12"/>
        <v>1253.8</v>
      </c>
      <c r="Q92" s="206">
        <f t="shared" si="13"/>
        <v>3385.26</v>
      </c>
      <c r="R92" s="208">
        <f t="shared" si="14"/>
        <v>0</v>
      </c>
      <c r="S92" s="208">
        <f t="shared" si="15"/>
        <v>0</v>
      </c>
      <c r="T92" s="208">
        <f t="shared" si="16"/>
        <v>0</v>
      </c>
      <c r="U92" s="208">
        <f t="shared" si="17"/>
        <v>0</v>
      </c>
      <c r="V92" s="208">
        <f t="shared" si="18"/>
        <v>0</v>
      </c>
      <c r="W92" s="208"/>
      <c r="X92" s="209"/>
      <c r="Y92" s="209">
        <f t="shared" si="19"/>
        <v>0</v>
      </c>
      <c r="Z92" s="210">
        <f t="shared" si="20"/>
        <v>3385.26</v>
      </c>
      <c r="AA92" s="167"/>
    </row>
    <row r="93" spans="2:27" ht="33.75" x14ac:dyDescent="0.25">
      <c r="B93" s="203" t="s">
        <v>239</v>
      </c>
      <c r="C93" s="211">
        <v>91926</v>
      </c>
      <c r="D93" s="205" t="s">
        <v>241</v>
      </c>
      <c r="E93" s="92" t="s">
        <v>37</v>
      </c>
      <c r="F93" s="92">
        <v>3.98</v>
      </c>
      <c r="G93" s="206">
        <v>1496.3</v>
      </c>
      <c r="H93" s="207"/>
      <c r="I93" s="207"/>
      <c r="J93" s="29"/>
      <c r="K93" s="207"/>
      <c r="L93" s="207"/>
      <c r="M93" s="207"/>
      <c r="N93" s="206"/>
      <c r="O93" s="206">
        <f t="shared" si="11"/>
        <v>0</v>
      </c>
      <c r="P93" s="206">
        <f t="shared" si="12"/>
        <v>1496.3</v>
      </c>
      <c r="Q93" s="206">
        <f t="shared" si="13"/>
        <v>5955.2739999999994</v>
      </c>
      <c r="R93" s="208">
        <f t="shared" si="14"/>
        <v>0</v>
      </c>
      <c r="S93" s="208">
        <f t="shared" si="15"/>
        <v>0</v>
      </c>
      <c r="T93" s="208">
        <f t="shared" si="16"/>
        <v>0</v>
      </c>
      <c r="U93" s="208">
        <f t="shared" si="17"/>
        <v>0</v>
      </c>
      <c r="V93" s="208">
        <f t="shared" si="18"/>
        <v>0</v>
      </c>
      <c r="W93" s="208"/>
      <c r="X93" s="209"/>
      <c r="Y93" s="209">
        <f t="shared" si="19"/>
        <v>0</v>
      </c>
      <c r="Z93" s="210">
        <f t="shared" si="20"/>
        <v>5955.2739999999994</v>
      </c>
      <c r="AA93" s="167"/>
    </row>
    <row r="94" spans="2:27" ht="33.75" x14ac:dyDescent="0.25">
      <c r="B94" s="203" t="s">
        <v>242</v>
      </c>
      <c r="C94" s="211">
        <v>91928</v>
      </c>
      <c r="D94" s="215" t="s">
        <v>244</v>
      </c>
      <c r="E94" s="92" t="s">
        <v>37</v>
      </c>
      <c r="F94" s="92">
        <v>6.23</v>
      </c>
      <c r="G94" s="206">
        <v>284.60000000000002</v>
      </c>
      <c r="H94" s="216"/>
      <c r="I94" s="216"/>
      <c r="J94" s="29"/>
      <c r="K94" s="216"/>
      <c r="L94" s="216"/>
      <c r="M94" s="216"/>
      <c r="N94" s="216"/>
      <c r="O94" s="206">
        <f t="shared" si="11"/>
        <v>0</v>
      </c>
      <c r="P94" s="206">
        <f t="shared" si="12"/>
        <v>284.60000000000002</v>
      </c>
      <c r="Q94" s="206">
        <f t="shared" si="13"/>
        <v>1773.0580000000002</v>
      </c>
      <c r="R94" s="208">
        <f t="shared" si="14"/>
        <v>0</v>
      </c>
      <c r="S94" s="208">
        <f t="shared" si="15"/>
        <v>0</v>
      </c>
      <c r="T94" s="208">
        <f t="shared" si="16"/>
        <v>0</v>
      </c>
      <c r="U94" s="208">
        <f t="shared" si="17"/>
        <v>0</v>
      </c>
      <c r="V94" s="208">
        <f t="shared" si="18"/>
        <v>0</v>
      </c>
      <c r="W94" s="208"/>
      <c r="X94" s="209"/>
      <c r="Y94" s="209">
        <f t="shared" si="19"/>
        <v>0</v>
      </c>
      <c r="Z94" s="210">
        <f t="shared" si="20"/>
        <v>1773.0580000000002</v>
      </c>
      <c r="AA94" s="167"/>
    </row>
    <row r="95" spans="2:27" ht="33.75" x14ac:dyDescent="0.25">
      <c r="B95" s="203" t="s">
        <v>245</v>
      </c>
      <c r="C95" s="211">
        <v>91931</v>
      </c>
      <c r="D95" s="205" t="s">
        <v>247</v>
      </c>
      <c r="E95" s="92" t="s">
        <v>37</v>
      </c>
      <c r="F95" s="92">
        <v>9.51</v>
      </c>
      <c r="G95" s="206">
        <v>224</v>
      </c>
      <c r="H95" s="207"/>
      <c r="I95" s="207"/>
      <c r="J95" s="29"/>
      <c r="K95" s="207"/>
      <c r="L95" s="207"/>
      <c r="M95" s="207"/>
      <c r="N95" s="206"/>
      <c r="O95" s="206">
        <f t="shared" si="11"/>
        <v>0</v>
      </c>
      <c r="P95" s="206">
        <f t="shared" si="12"/>
        <v>224</v>
      </c>
      <c r="Q95" s="206">
        <f t="shared" si="13"/>
        <v>2130.2399999999998</v>
      </c>
      <c r="R95" s="208">
        <f t="shared" si="14"/>
        <v>0</v>
      </c>
      <c r="S95" s="208">
        <f t="shared" si="15"/>
        <v>0</v>
      </c>
      <c r="T95" s="208">
        <f t="shared" si="16"/>
        <v>0</v>
      </c>
      <c r="U95" s="208">
        <f t="shared" si="17"/>
        <v>0</v>
      </c>
      <c r="V95" s="208">
        <f t="shared" si="18"/>
        <v>0</v>
      </c>
      <c r="W95" s="208"/>
      <c r="X95" s="209"/>
      <c r="Y95" s="209">
        <f t="shared" si="19"/>
        <v>0</v>
      </c>
      <c r="Z95" s="210">
        <f t="shared" si="20"/>
        <v>2130.2399999999998</v>
      </c>
      <c r="AA95" s="167"/>
    </row>
    <row r="96" spans="2:27" ht="22.5" x14ac:dyDescent="0.25">
      <c r="B96" s="203" t="s">
        <v>248</v>
      </c>
      <c r="C96" s="211">
        <v>39773</v>
      </c>
      <c r="D96" s="205" t="s">
        <v>250</v>
      </c>
      <c r="E96" s="92" t="s">
        <v>166</v>
      </c>
      <c r="F96" s="92">
        <v>101.17</v>
      </c>
      <c r="G96" s="206">
        <v>2</v>
      </c>
      <c r="H96" s="207"/>
      <c r="I96" s="207"/>
      <c r="J96" s="29"/>
      <c r="K96" s="207"/>
      <c r="L96" s="207"/>
      <c r="M96" s="207"/>
      <c r="N96" s="206"/>
      <c r="O96" s="206">
        <f t="shared" si="11"/>
        <v>0</v>
      </c>
      <c r="P96" s="206">
        <f t="shared" si="12"/>
        <v>2</v>
      </c>
      <c r="Q96" s="206">
        <f t="shared" si="13"/>
        <v>202.34</v>
      </c>
      <c r="R96" s="208">
        <f t="shared" si="14"/>
        <v>0</v>
      </c>
      <c r="S96" s="208">
        <f t="shared" si="15"/>
        <v>0</v>
      </c>
      <c r="T96" s="208">
        <f t="shared" si="16"/>
        <v>0</v>
      </c>
      <c r="U96" s="208">
        <f t="shared" si="17"/>
        <v>0</v>
      </c>
      <c r="V96" s="208">
        <f t="shared" si="18"/>
        <v>0</v>
      </c>
      <c r="W96" s="208"/>
      <c r="X96" s="209"/>
      <c r="Y96" s="209">
        <f t="shared" si="19"/>
        <v>0</v>
      </c>
      <c r="Z96" s="210">
        <f t="shared" si="20"/>
        <v>202.34</v>
      </c>
      <c r="AA96" s="167"/>
    </row>
    <row r="97" spans="2:27" ht="33.75" x14ac:dyDescent="0.25">
      <c r="B97" s="203" t="s">
        <v>251</v>
      </c>
      <c r="C97" s="211">
        <v>101890</v>
      </c>
      <c r="D97" s="205" t="s">
        <v>253</v>
      </c>
      <c r="E97" s="92" t="s">
        <v>166</v>
      </c>
      <c r="F97" s="92">
        <v>15.35</v>
      </c>
      <c r="G97" s="206">
        <v>19</v>
      </c>
      <c r="H97" s="207"/>
      <c r="I97" s="207"/>
      <c r="J97" s="29"/>
      <c r="K97" s="207"/>
      <c r="L97" s="207"/>
      <c r="M97" s="207"/>
      <c r="N97" s="206"/>
      <c r="O97" s="206">
        <f t="shared" si="11"/>
        <v>0</v>
      </c>
      <c r="P97" s="206">
        <f t="shared" si="12"/>
        <v>19</v>
      </c>
      <c r="Q97" s="206">
        <f t="shared" si="13"/>
        <v>291.64999999999998</v>
      </c>
      <c r="R97" s="208">
        <f t="shared" si="14"/>
        <v>0</v>
      </c>
      <c r="S97" s="208">
        <f t="shared" si="15"/>
        <v>0</v>
      </c>
      <c r="T97" s="208">
        <f t="shared" si="16"/>
        <v>0</v>
      </c>
      <c r="U97" s="208">
        <f t="shared" si="17"/>
        <v>0</v>
      </c>
      <c r="V97" s="208">
        <f t="shared" si="18"/>
        <v>0</v>
      </c>
      <c r="W97" s="208"/>
      <c r="X97" s="209"/>
      <c r="Y97" s="209">
        <f t="shared" si="19"/>
        <v>0</v>
      </c>
      <c r="Z97" s="210">
        <f t="shared" si="20"/>
        <v>291.64999999999998</v>
      </c>
      <c r="AA97" s="167"/>
    </row>
    <row r="98" spans="2:27" ht="22.5" x14ac:dyDescent="0.25">
      <c r="B98" s="203" t="s">
        <v>254</v>
      </c>
      <c r="C98" s="211">
        <v>93670</v>
      </c>
      <c r="D98" s="205" t="s">
        <v>256</v>
      </c>
      <c r="E98" s="92" t="s">
        <v>166</v>
      </c>
      <c r="F98" s="92">
        <v>73.97</v>
      </c>
      <c r="G98" s="206">
        <v>1</v>
      </c>
      <c r="H98" s="207"/>
      <c r="I98" s="207"/>
      <c r="J98" s="29"/>
      <c r="K98" s="207"/>
      <c r="L98" s="207"/>
      <c r="M98" s="207"/>
      <c r="N98" s="206"/>
      <c r="O98" s="206">
        <f t="shared" si="11"/>
        <v>0</v>
      </c>
      <c r="P98" s="206">
        <f t="shared" si="12"/>
        <v>1</v>
      </c>
      <c r="Q98" s="206">
        <f t="shared" si="13"/>
        <v>73.97</v>
      </c>
      <c r="R98" s="208">
        <f t="shared" si="14"/>
        <v>0</v>
      </c>
      <c r="S98" s="208">
        <f t="shared" si="15"/>
        <v>0</v>
      </c>
      <c r="T98" s="208">
        <f t="shared" si="16"/>
        <v>0</v>
      </c>
      <c r="U98" s="208">
        <f t="shared" si="17"/>
        <v>0</v>
      </c>
      <c r="V98" s="208">
        <f t="shared" si="18"/>
        <v>0</v>
      </c>
      <c r="W98" s="208"/>
      <c r="X98" s="209"/>
      <c r="Y98" s="209">
        <f t="shared" si="19"/>
        <v>0</v>
      </c>
      <c r="Z98" s="210">
        <f t="shared" si="20"/>
        <v>73.97</v>
      </c>
      <c r="AA98" s="167"/>
    </row>
    <row r="99" spans="2:27" ht="22.5" x14ac:dyDescent="0.25">
      <c r="B99" s="203" t="s">
        <v>257</v>
      </c>
      <c r="C99" s="211">
        <v>93671</v>
      </c>
      <c r="D99" s="205" t="s">
        <v>259</v>
      </c>
      <c r="E99" s="92" t="s">
        <v>166</v>
      </c>
      <c r="F99" s="92">
        <v>77.569999999999993</v>
      </c>
      <c r="G99" s="206">
        <v>1</v>
      </c>
      <c r="H99" s="207"/>
      <c r="I99" s="207"/>
      <c r="J99" s="29"/>
      <c r="K99" s="207"/>
      <c r="L99" s="207"/>
      <c r="M99" s="207"/>
      <c r="N99" s="206"/>
      <c r="O99" s="206">
        <f t="shared" si="11"/>
        <v>0</v>
      </c>
      <c r="P99" s="206">
        <f t="shared" si="12"/>
        <v>1</v>
      </c>
      <c r="Q99" s="206">
        <f t="shared" si="13"/>
        <v>77.569999999999993</v>
      </c>
      <c r="R99" s="208">
        <f t="shared" si="14"/>
        <v>0</v>
      </c>
      <c r="S99" s="208">
        <f t="shared" si="15"/>
        <v>0</v>
      </c>
      <c r="T99" s="208">
        <f t="shared" si="16"/>
        <v>0</v>
      </c>
      <c r="U99" s="208">
        <f t="shared" si="17"/>
        <v>0</v>
      </c>
      <c r="V99" s="208">
        <f t="shared" si="18"/>
        <v>0</v>
      </c>
      <c r="W99" s="208"/>
      <c r="X99" s="209"/>
      <c r="Y99" s="209">
        <f t="shared" si="19"/>
        <v>0</v>
      </c>
      <c r="Z99" s="210">
        <f t="shared" si="20"/>
        <v>77.569999999999993</v>
      </c>
      <c r="AA99" s="167"/>
    </row>
    <row r="100" spans="2:27" ht="22.5" x14ac:dyDescent="0.25">
      <c r="B100" s="203" t="s">
        <v>260</v>
      </c>
      <c r="C100" s="211">
        <v>39466</v>
      </c>
      <c r="D100" s="205" t="s">
        <v>262</v>
      </c>
      <c r="E100" s="92" t="s">
        <v>166</v>
      </c>
      <c r="F100" s="92">
        <v>74.81</v>
      </c>
      <c r="G100" s="206">
        <v>6</v>
      </c>
      <c r="H100" s="207"/>
      <c r="I100" s="207"/>
      <c r="J100" s="29"/>
      <c r="K100" s="207"/>
      <c r="L100" s="207"/>
      <c r="M100" s="207"/>
      <c r="N100" s="206"/>
      <c r="O100" s="206">
        <f t="shared" si="11"/>
        <v>0</v>
      </c>
      <c r="P100" s="206">
        <f t="shared" si="12"/>
        <v>6</v>
      </c>
      <c r="Q100" s="206">
        <f t="shared" si="13"/>
        <v>448.86</v>
      </c>
      <c r="R100" s="208">
        <f t="shared" si="14"/>
        <v>0</v>
      </c>
      <c r="S100" s="208">
        <f t="shared" si="15"/>
        <v>0</v>
      </c>
      <c r="T100" s="208">
        <f t="shared" si="16"/>
        <v>0</v>
      </c>
      <c r="U100" s="208">
        <f t="shared" si="17"/>
        <v>0</v>
      </c>
      <c r="V100" s="208">
        <f t="shared" si="18"/>
        <v>0</v>
      </c>
      <c r="W100" s="208"/>
      <c r="X100" s="209"/>
      <c r="Y100" s="209">
        <f t="shared" si="19"/>
        <v>0</v>
      </c>
      <c r="Z100" s="210">
        <f t="shared" si="20"/>
        <v>448.86</v>
      </c>
      <c r="AA100" s="167"/>
    </row>
    <row r="101" spans="2:27" ht="22.5" x14ac:dyDescent="0.25">
      <c r="B101" s="203" t="s">
        <v>263</v>
      </c>
      <c r="C101" s="211">
        <v>39445</v>
      </c>
      <c r="D101" s="205" t="s">
        <v>265</v>
      </c>
      <c r="E101" s="92" t="s">
        <v>166</v>
      </c>
      <c r="F101" s="92">
        <v>136.80000000000001</v>
      </c>
      <c r="G101" s="206">
        <v>1</v>
      </c>
      <c r="H101" s="207"/>
      <c r="I101" s="207"/>
      <c r="J101" s="29"/>
      <c r="K101" s="207"/>
      <c r="L101" s="207"/>
      <c r="M101" s="207"/>
      <c r="N101" s="206"/>
      <c r="O101" s="206">
        <f t="shared" si="11"/>
        <v>0</v>
      </c>
      <c r="P101" s="206">
        <f t="shared" si="12"/>
        <v>1</v>
      </c>
      <c r="Q101" s="206">
        <f t="shared" si="13"/>
        <v>136.80000000000001</v>
      </c>
      <c r="R101" s="208">
        <f t="shared" si="14"/>
        <v>0</v>
      </c>
      <c r="S101" s="208">
        <f t="shared" si="15"/>
        <v>0</v>
      </c>
      <c r="T101" s="208">
        <f t="shared" si="16"/>
        <v>0</v>
      </c>
      <c r="U101" s="208">
        <f t="shared" si="17"/>
        <v>0</v>
      </c>
      <c r="V101" s="208">
        <f t="shared" si="18"/>
        <v>0</v>
      </c>
      <c r="W101" s="208"/>
      <c r="X101" s="209"/>
      <c r="Y101" s="209">
        <f t="shared" si="19"/>
        <v>0</v>
      </c>
      <c r="Z101" s="210">
        <f t="shared" si="20"/>
        <v>136.80000000000001</v>
      </c>
      <c r="AA101" s="167"/>
    </row>
    <row r="102" spans="2:27" ht="22.5" x14ac:dyDescent="0.25">
      <c r="B102" s="203" t="s">
        <v>266</v>
      </c>
      <c r="C102" s="211">
        <v>39446</v>
      </c>
      <c r="D102" s="205" t="s">
        <v>268</v>
      </c>
      <c r="E102" s="92" t="s">
        <v>166</v>
      </c>
      <c r="F102" s="92">
        <v>139.25</v>
      </c>
      <c r="G102" s="206">
        <v>1</v>
      </c>
      <c r="H102" s="207"/>
      <c r="I102" s="207"/>
      <c r="J102" s="29"/>
      <c r="K102" s="207"/>
      <c r="L102" s="207"/>
      <c r="M102" s="207"/>
      <c r="N102" s="206"/>
      <c r="O102" s="206">
        <f t="shared" si="11"/>
        <v>0</v>
      </c>
      <c r="P102" s="206">
        <f t="shared" si="12"/>
        <v>1</v>
      </c>
      <c r="Q102" s="206">
        <f t="shared" si="13"/>
        <v>139.25</v>
      </c>
      <c r="R102" s="208">
        <f t="shared" si="14"/>
        <v>0</v>
      </c>
      <c r="S102" s="208">
        <f t="shared" si="15"/>
        <v>0</v>
      </c>
      <c r="T102" s="208">
        <f t="shared" si="16"/>
        <v>0</v>
      </c>
      <c r="U102" s="208">
        <f t="shared" si="17"/>
        <v>0</v>
      </c>
      <c r="V102" s="208">
        <f t="shared" si="18"/>
        <v>0</v>
      </c>
      <c r="W102" s="208"/>
      <c r="X102" s="209"/>
      <c r="Y102" s="209">
        <f t="shared" si="19"/>
        <v>0</v>
      </c>
      <c r="Z102" s="210">
        <f t="shared" si="20"/>
        <v>139.25</v>
      </c>
      <c r="AA102" s="167"/>
    </row>
    <row r="103" spans="2:27" ht="33.75" x14ac:dyDescent="0.25">
      <c r="B103" s="203" t="s">
        <v>269</v>
      </c>
      <c r="C103" s="211">
        <v>91953</v>
      </c>
      <c r="D103" s="205" t="s">
        <v>271</v>
      </c>
      <c r="E103" s="92" t="s">
        <v>166</v>
      </c>
      <c r="F103" s="92">
        <v>25.8</v>
      </c>
      <c r="G103" s="206">
        <v>23</v>
      </c>
      <c r="H103" s="207"/>
      <c r="I103" s="207"/>
      <c r="J103" s="29"/>
      <c r="K103" s="207"/>
      <c r="L103" s="207"/>
      <c r="M103" s="207"/>
      <c r="N103" s="206"/>
      <c r="O103" s="206">
        <f t="shared" si="11"/>
        <v>0</v>
      </c>
      <c r="P103" s="206">
        <f t="shared" si="12"/>
        <v>23</v>
      </c>
      <c r="Q103" s="206">
        <f t="shared" si="13"/>
        <v>593.4</v>
      </c>
      <c r="R103" s="208">
        <f t="shared" si="14"/>
        <v>0</v>
      </c>
      <c r="S103" s="208">
        <f t="shared" si="15"/>
        <v>0</v>
      </c>
      <c r="T103" s="208">
        <f t="shared" si="16"/>
        <v>0</v>
      </c>
      <c r="U103" s="208">
        <f t="shared" si="17"/>
        <v>0</v>
      </c>
      <c r="V103" s="208">
        <f t="shared" si="18"/>
        <v>0</v>
      </c>
      <c r="W103" s="208"/>
      <c r="X103" s="209"/>
      <c r="Y103" s="209">
        <f t="shared" si="19"/>
        <v>0</v>
      </c>
      <c r="Z103" s="210">
        <f t="shared" si="20"/>
        <v>593.4</v>
      </c>
      <c r="AA103" s="167"/>
    </row>
    <row r="104" spans="2:27" ht="33.75" x14ac:dyDescent="0.25">
      <c r="B104" s="203" t="s">
        <v>272</v>
      </c>
      <c r="C104" s="211">
        <v>91967</v>
      </c>
      <c r="D104" s="205" t="s">
        <v>274</v>
      </c>
      <c r="E104" s="92" t="s">
        <v>166</v>
      </c>
      <c r="F104" s="92">
        <v>53.44</v>
      </c>
      <c r="G104" s="206">
        <v>1</v>
      </c>
      <c r="H104" s="207"/>
      <c r="I104" s="207"/>
      <c r="J104" s="29"/>
      <c r="K104" s="207"/>
      <c r="L104" s="207"/>
      <c r="M104" s="207"/>
      <c r="N104" s="206"/>
      <c r="O104" s="206">
        <f t="shared" si="11"/>
        <v>0</v>
      </c>
      <c r="P104" s="206">
        <f t="shared" si="12"/>
        <v>1</v>
      </c>
      <c r="Q104" s="206">
        <f t="shared" si="13"/>
        <v>53.44</v>
      </c>
      <c r="R104" s="208">
        <f t="shared" si="14"/>
        <v>0</v>
      </c>
      <c r="S104" s="208">
        <f t="shared" si="15"/>
        <v>0</v>
      </c>
      <c r="T104" s="208">
        <f t="shared" si="16"/>
        <v>0</v>
      </c>
      <c r="U104" s="208">
        <f t="shared" si="17"/>
        <v>0</v>
      </c>
      <c r="V104" s="208">
        <f t="shared" si="18"/>
        <v>0</v>
      </c>
      <c r="W104" s="208"/>
      <c r="X104" s="209"/>
      <c r="Y104" s="209">
        <f t="shared" si="19"/>
        <v>0</v>
      </c>
      <c r="Z104" s="210">
        <f t="shared" si="20"/>
        <v>53.44</v>
      </c>
      <c r="AA104" s="167"/>
    </row>
    <row r="105" spans="2:27" ht="33.75" x14ac:dyDescent="0.25">
      <c r="B105" s="203" t="s">
        <v>275</v>
      </c>
      <c r="C105" s="211">
        <v>92000</v>
      </c>
      <c r="D105" s="205" t="s">
        <v>277</v>
      </c>
      <c r="E105" s="92" t="s">
        <v>166</v>
      </c>
      <c r="F105" s="92">
        <v>27.19</v>
      </c>
      <c r="G105" s="206">
        <v>54</v>
      </c>
      <c r="H105" s="207"/>
      <c r="I105" s="207"/>
      <c r="J105" s="29"/>
      <c r="K105" s="207"/>
      <c r="L105" s="207"/>
      <c r="M105" s="207"/>
      <c r="N105" s="206"/>
      <c r="O105" s="206">
        <f t="shared" si="11"/>
        <v>0</v>
      </c>
      <c r="P105" s="206">
        <f t="shared" si="12"/>
        <v>54</v>
      </c>
      <c r="Q105" s="206">
        <f t="shared" si="13"/>
        <v>1468.26</v>
      </c>
      <c r="R105" s="208">
        <f t="shared" si="14"/>
        <v>0</v>
      </c>
      <c r="S105" s="208">
        <f t="shared" si="15"/>
        <v>0</v>
      </c>
      <c r="T105" s="208">
        <f t="shared" si="16"/>
        <v>0</v>
      </c>
      <c r="U105" s="208">
        <f t="shared" si="17"/>
        <v>0</v>
      </c>
      <c r="V105" s="208">
        <f t="shared" si="18"/>
        <v>0</v>
      </c>
      <c r="W105" s="208"/>
      <c r="X105" s="209"/>
      <c r="Y105" s="209">
        <f t="shared" si="19"/>
        <v>0</v>
      </c>
      <c r="Z105" s="210">
        <f t="shared" si="20"/>
        <v>1468.26</v>
      </c>
      <c r="AA105" s="167"/>
    </row>
    <row r="106" spans="2:27" ht="33.75" x14ac:dyDescent="0.25">
      <c r="B106" s="203" t="s">
        <v>278</v>
      </c>
      <c r="C106" s="211">
        <v>92008</v>
      </c>
      <c r="D106" s="205" t="s">
        <v>280</v>
      </c>
      <c r="E106" s="92" t="s">
        <v>166</v>
      </c>
      <c r="F106" s="92">
        <v>42.35</v>
      </c>
      <c r="G106" s="206">
        <v>8</v>
      </c>
      <c r="H106" s="207"/>
      <c r="I106" s="207"/>
      <c r="J106" s="29"/>
      <c r="K106" s="207"/>
      <c r="L106" s="207"/>
      <c r="M106" s="207"/>
      <c r="N106" s="206"/>
      <c r="O106" s="206">
        <f t="shared" si="11"/>
        <v>0</v>
      </c>
      <c r="P106" s="206">
        <f t="shared" si="12"/>
        <v>8</v>
      </c>
      <c r="Q106" s="206">
        <f t="shared" si="13"/>
        <v>338.8</v>
      </c>
      <c r="R106" s="208">
        <f t="shared" si="14"/>
        <v>0</v>
      </c>
      <c r="S106" s="208">
        <f t="shared" si="15"/>
        <v>0</v>
      </c>
      <c r="T106" s="208">
        <f t="shared" si="16"/>
        <v>0</v>
      </c>
      <c r="U106" s="208">
        <f t="shared" si="17"/>
        <v>0</v>
      </c>
      <c r="V106" s="208">
        <f t="shared" si="18"/>
        <v>0</v>
      </c>
      <c r="W106" s="208"/>
      <c r="X106" s="209"/>
      <c r="Y106" s="209">
        <f t="shared" si="19"/>
        <v>0</v>
      </c>
      <c r="Z106" s="210">
        <f t="shared" si="20"/>
        <v>338.8</v>
      </c>
      <c r="AA106" s="167"/>
    </row>
    <row r="107" spans="2:27" ht="33.75" x14ac:dyDescent="0.25">
      <c r="B107" s="203" t="s">
        <v>281</v>
      </c>
      <c r="C107" s="211">
        <v>91959</v>
      </c>
      <c r="D107" s="215" t="s">
        <v>283</v>
      </c>
      <c r="E107" s="92" t="s">
        <v>166</v>
      </c>
      <c r="F107" s="92">
        <v>39.619999999999997</v>
      </c>
      <c r="G107" s="206">
        <v>2</v>
      </c>
      <c r="H107" s="216"/>
      <c r="I107" s="216"/>
      <c r="J107" s="29"/>
      <c r="K107" s="216"/>
      <c r="L107" s="216"/>
      <c r="M107" s="216"/>
      <c r="N107" s="216"/>
      <c r="O107" s="206">
        <f t="shared" si="11"/>
        <v>0</v>
      </c>
      <c r="P107" s="206">
        <f t="shared" si="12"/>
        <v>2</v>
      </c>
      <c r="Q107" s="206">
        <f t="shared" si="13"/>
        <v>79.239999999999995</v>
      </c>
      <c r="R107" s="208">
        <f t="shared" si="14"/>
        <v>0</v>
      </c>
      <c r="S107" s="208">
        <f t="shared" si="15"/>
        <v>0</v>
      </c>
      <c r="T107" s="208">
        <f t="shared" si="16"/>
        <v>0</v>
      </c>
      <c r="U107" s="208">
        <f t="shared" si="17"/>
        <v>0</v>
      </c>
      <c r="V107" s="208">
        <f t="shared" si="18"/>
        <v>0</v>
      </c>
      <c r="W107" s="208"/>
      <c r="X107" s="209"/>
      <c r="Y107" s="209">
        <f t="shared" si="19"/>
        <v>0</v>
      </c>
      <c r="Z107" s="210">
        <f t="shared" si="20"/>
        <v>79.239999999999995</v>
      </c>
      <c r="AA107" s="167"/>
    </row>
    <row r="108" spans="2:27" ht="33.75" x14ac:dyDescent="0.25">
      <c r="B108" s="203" t="s">
        <v>284</v>
      </c>
      <c r="C108" s="211">
        <v>91834</v>
      </c>
      <c r="D108" s="215" t="s">
        <v>286</v>
      </c>
      <c r="E108" s="92" t="s">
        <v>37</v>
      </c>
      <c r="F108" s="92">
        <v>9.77</v>
      </c>
      <c r="G108" s="206">
        <v>830.48</v>
      </c>
      <c r="H108" s="216"/>
      <c r="I108" s="216"/>
      <c r="J108" s="29"/>
      <c r="K108" s="216"/>
      <c r="L108" s="216"/>
      <c r="M108" s="216"/>
      <c r="N108" s="216"/>
      <c r="O108" s="206">
        <f t="shared" si="11"/>
        <v>0</v>
      </c>
      <c r="P108" s="206">
        <f t="shared" si="12"/>
        <v>830.48</v>
      </c>
      <c r="Q108" s="206">
        <f t="shared" si="13"/>
        <v>8113.7896000000001</v>
      </c>
      <c r="R108" s="208">
        <f t="shared" si="14"/>
        <v>0</v>
      </c>
      <c r="S108" s="208">
        <f t="shared" si="15"/>
        <v>0</v>
      </c>
      <c r="T108" s="208">
        <f t="shared" si="16"/>
        <v>0</v>
      </c>
      <c r="U108" s="208">
        <f t="shared" si="17"/>
        <v>0</v>
      </c>
      <c r="V108" s="208">
        <f t="shared" si="18"/>
        <v>0</v>
      </c>
      <c r="W108" s="208"/>
      <c r="X108" s="209"/>
      <c r="Y108" s="209">
        <f t="shared" si="19"/>
        <v>0</v>
      </c>
      <c r="Z108" s="210">
        <f t="shared" si="20"/>
        <v>8113.7896000000001</v>
      </c>
      <c r="AA108" s="167"/>
    </row>
    <row r="109" spans="2:27" ht="33.75" x14ac:dyDescent="0.25">
      <c r="B109" s="203" t="s">
        <v>287</v>
      </c>
      <c r="C109" s="211">
        <v>91868</v>
      </c>
      <c r="D109" s="205" t="s">
        <v>289</v>
      </c>
      <c r="E109" s="92" t="s">
        <v>37</v>
      </c>
      <c r="F109" s="92">
        <v>13.05</v>
      </c>
      <c r="G109" s="206">
        <v>55.97</v>
      </c>
      <c r="H109" s="207"/>
      <c r="I109" s="207"/>
      <c r="J109" s="29"/>
      <c r="K109" s="207"/>
      <c r="L109" s="207"/>
      <c r="M109" s="207"/>
      <c r="N109" s="206"/>
      <c r="O109" s="206">
        <f t="shared" si="11"/>
        <v>0</v>
      </c>
      <c r="P109" s="206">
        <f t="shared" si="12"/>
        <v>55.97</v>
      </c>
      <c r="Q109" s="206">
        <f t="shared" si="13"/>
        <v>730.4085</v>
      </c>
      <c r="R109" s="208">
        <f t="shared" si="14"/>
        <v>0</v>
      </c>
      <c r="S109" s="208">
        <f t="shared" si="15"/>
        <v>0</v>
      </c>
      <c r="T109" s="208">
        <f t="shared" si="16"/>
        <v>0</v>
      </c>
      <c r="U109" s="208">
        <f t="shared" si="17"/>
        <v>0</v>
      </c>
      <c r="V109" s="208">
        <f t="shared" si="18"/>
        <v>0</v>
      </c>
      <c r="W109" s="208"/>
      <c r="X109" s="209"/>
      <c r="Y109" s="209">
        <f t="shared" si="19"/>
        <v>0</v>
      </c>
      <c r="Z109" s="210">
        <f t="shared" si="20"/>
        <v>730.4085</v>
      </c>
      <c r="AA109" s="167"/>
    </row>
    <row r="110" spans="2:27" ht="33.75" x14ac:dyDescent="0.25">
      <c r="B110" s="203" t="s">
        <v>290</v>
      </c>
      <c r="C110" s="211">
        <v>91867</v>
      </c>
      <c r="D110" s="205" t="s">
        <v>292</v>
      </c>
      <c r="E110" s="92" t="s">
        <v>37</v>
      </c>
      <c r="F110" s="92">
        <v>9.18</v>
      </c>
      <c r="G110" s="206">
        <v>36.19</v>
      </c>
      <c r="H110" s="207"/>
      <c r="I110" s="207"/>
      <c r="J110" s="29"/>
      <c r="K110" s="207"/>
      <c r="L110" s="207"/>
      <c r="M110" s="207"/>
      <c r="N110" s="206"/>
      <c r="O110" s="206">
        <f t="shared" si="11"/>
        <v>0</v>
      </c>
      <c r="P110" s="206">
        <f t="shared" si="12"/>
        <v>36.19</v>
      </c>
      <c r="Q110" s="206">
        <f t="shared" si="13"/>
        <v>332.2242</v>
      </c>
      <c r="R110" s="208">
        <f t="shared" si="14"/>
        <v>0</v>
      </c>
      <c r="S110" s="208">
        <f t="shared" si="15"/>
        <v>0</v>
      </c>
      <c r="T110" s="208">
        <f t="shared" si="16"/>
        <v>0</v>
      </c>
      <c r="U110" s="208">
        <f t="shared" si="17"/>
        <v>0</v>
      </c>
      <c r="V110" s="208">
        <f t="shared" si="18"/>
        <v>0</v>
      </c>
      <c r="W110" s="208"/>
      <c r="X110" s="209"/>
      <c r="Y110" s="209">
        <f t="shared" si="19"/>
        <v>0</v>
      </c>
      <c r="Z110" s="210">
        <f t="shared" si="20"/>
        <v>332.2242</v>
      </c>
      <c r="AA110" s="167"/>
    </row>
    <row r="111" spans="2:27" ht="22.5" x14ac:dyDescent="0.25">
      <c r="B111" s="203" t="s">
        <v>293</v>
      </c>
      <c r="C111" s="211">
        <v>101654</v>
      </c>
      <c r="D111" s="205" t="s">
        <v>295</v>
      </c>
      <c r="E111" s="92" t="s">
        <v>166</v>
      </c>
      <c r="F111" s="92">
        <v>289.93</v>
      </c>
      <c r="G111" s="206">
        <v>15</v>
      </c>
      <c r="H111" s="207"/>
      <c r="I111" s="207"/>
      <c r="J111" s="29"/>
      <c r="K111" s="207"/>
      <c r="L111" s="207"/>
      <c r="M111" s="207"/>
      <c r="N111" s="206"/>
      <c r="O111" s="206">
        <f t="shared" si="11"/>
        <v>0</v>
      </c>
      <c r="P111" s="206">
        <f t="shared" si="12"/>
        <v>15</v>
      </c>
      <c r="Q111" s="206">
        <f t="shared" si="13"/>
        <v>4348.95</v>
      </c>
      <c r="R111" s="208">
        <f t="shared" si="14"/>
        <v>0</v>
      </c>
      <c r="S111" s="208">
        <f t="shared" si="15"/>
        <v>0</v>
      </c>
      <c r="T111" s="208">
        <f t="shared" si="16"/>
        <v>0</v>
      </c>
      <c r="U111" s="208">
        <f t="shared" si="17"/>
        <v>0</v>
      </c>
      <c r="V111" s="208">
        <f t="shared" si="18"/>
        <v>0</v>
      </c>
      <c r="W111" s="208"/>
      <c r="X111" s="209"/>
      <c r="Y111" s="209">
        <f t="shared" si="19"/>
        <v>0</v>
      </c>
      <c r="Z111" s="210">
        <f t="shared" si="20"/>
        <v>4348.95</v>
      </c>
      <c r="AA111" s="167"/>
    </row>
    <row r="112" spans="2:27" ht="33.75" x14ac:dyDescent="0.25">
      <c r="B112" s="203" t="s">
        <v>296</v>
      </c>
      <c r="C112" s="211">
        <v>103782</v>
      </c>
      <c r="D112" s="205" t="s">
        <v>298</v>
      </c>
      <c r="E112" s="92" t="s">
        <v>166</v>
      </c>
      <c r="F112" s="92">
        <v>33.380000000000003</v>
      </c>
      <c r="G112" s="206">
        <v>76</v>
      </c>
      <c r="H112" s="207"/>
      <c r="I112" s="207"/>
      <c r="J112" s="29"/>
      <c r="K112" s="207"/>
      <c r="L112" s="207"/>
      <c r="M112" s="207"/>
      <c r="N112" s="206"/>
      <c r="O112" s="206">
        <f t="shared" si="11"/>
        <v>0</v>
      </c>
      <c r="P112" s="206">
        <f t="shared" si="12"/>
        <v>76</v>
      </c>
      <c r="Q112" s="206">
        <f t="shared" si="13"/>
        <v>2536.88</v>
      </c>
      <c r="R112" s="208">
        <f t="shared" si="14"/>
        <v>0</v>
      </c>
      <c r="S112" s="208">
        <f t="shared" si="15"/>
        <v>0</v>
      </c>
      <c r="T112" s="208">
        <f t="shared" si="16"/>
        <v>0</v>
      </c>
      <c r="U112" s="208">
        <f t="shared" si="17"/>
        <v>0</v>
      </c>
      <c r="V112" s="208">
        <f t="shared" si="18"/>
        <v>0</v>
      </c>
      <c r="W112" s="208"/>
      <c r="X112" s="209"/>
      <c r="Y112" s="209">
        <f t="shared" si="19"/>
        <v>0</v>
      </c>
      <c r="Z112" s="210">
        <f t="shared" si="20"/>
        <v>2536.88</v>
      </c>
      <c r="AA112" s="167"/>
    </row>
    <row r="113" spans="2:27" ht="33.75" x14ac:dyDescent="0.25">
      <c r="B113" s="203" t="s">
        <v>299</v>
      </c>
      <c r="C113" s="211">
        <v>101509</v>
      </c>
      <c r="D113" s="205" t="s">
        <v>301</v>
      </c>
      <c r="E113" s="92" t="s">
        <v>166</v>
      </c>
      <c r="F113" s="92">
        <v>1759.39</v>
      </c>
      <c r="G113" s="206">
        <v>1</v>
      </c>
      <c r="H113" s="207"/>
      <c r="I113" s="207"/>
      <c r="J113" s="29"/>
      <c r="K113" s="207"/>
      <c r="L113" s="207"/>
      <c r="M113" s="207"/>
      <c r="N113" s="206"/>
      <c r="O113" s="206">
        <f t="shared" si="11"/>
        <v>0</v>
      </c>
      <c r="P113" s="206">
        <f t="shared" si="12"/>
        <v>1</v>
      </c>
      <c r="Q113" s="206">
        <f t="shared" si="13"/>
        <v>1759.39</v>
      </c>
      <c r="R113" s="208">
        <f t="shared" si="14"/>
        <v>0</v>
      </c>
      <c r="S113" s="208">
        <f t="shared" si="15"/>
        <v>0</v>
      </c>
      <c r="T113" s="208">
        <f t="shared" si="16"/>
        <v>0</v>
      </c>
      <c r="U113" s="208">
        <f t="shared" si="17"/>
        <v>0</v>
      </c>
      <c r="V113" s="208">
        <f t="shared" si="18"/>
        <v>0</v>
      </c>
      <c r="W113" s="208"/>
      <c r="X113" s="209"/>
      <c r="Y113" s="209">
        <f t="shared" si="19"/>
        <v>0</v>
      </c>
      <c r="Z113" s="210">
        <f t="shared" si="20"/>
        <v>1759.39</v>
      </c>
      <c r="AA113" s="167"/>
    </row>
    <row r="114" spans="2:27" ht="33.75" x14ac:dyDescent="0.25">
      <c r="B114" s="203" t="s">
        <v>302</v>
      </c>
      <c r="C114" s="211">
        <v>5044</v>
      </c>
      <c r="D114" s="205" t="s">
        <v>304</v>
      </c>
      <c r="E114" s="92" t="s">
        <v>166</v>
      </c>
      <c r="F114" s="92">
        <v>924.88</v>
      </c>
      <c r="G114" s="206">
        <v>1</v>
      </c>
      <c r="H114" s="207"/>
      <c r="I114" s="207"/>
      <c r="J114" s="29"/>
      <c r="K114" s="207"/>
      <c r="L114" s="207"/>
      <c r="M114" s="207"/>
      <c r="N114" s="206"/>
      <c r="O114" s="206">
        <f t="shared" si="11"/>
        <v>0</v>
      </c>
      <c r="P114" s="206">
        <f t="shared" si="12"/>
        <v>1</v>
      </c>
      <c r="Q114" s="206">
        <f t="shared" si="13"/>
        <v>924.88</v>
      </c>
      <c r="R114" s="208">
        <f t="shared" si="14"/>
        <v>0</v>
      </c>
      <c r="S114" s="208">
        <f t="shared" si="15"/>
        <v>0</v>
      </c>
      <c r="T114" s="208">
        <f t="shared" si="16"/>
        <v>0</v>
      </c>
      <c r="U114" s="208">
        <f t="shared" si="17"/>
        <v>0</v>
      </c>
      <c r="V114" s="208">
        <f t="shared" si="18"/>
        <v>0</v>
      </c>
      <c r="W114" s="208"/>
      <c r="X114" s="209"/>
      <c r="Y114" s="209">
        <f t="shared" si="19"/>
        <v>0</v>
      </c>
      <c r="Z114" s="210">
        <f t="shared" si="20"/>
        <v>924.88</v>
      </c>
      <c r="AA114" s="167"/>
    </row>
    <row r="115" spans="2:27" ht="45" x14ac:dyDescent="0.25">
      <c r="B115" s="203" t="s">
        <v>305</v>
      </c>
      <c r="C115" s="211">
        <v>101879</v>
      </c>
      <c r="D115" s="205" t="s">
        <v>307</v>
      </c>
      <c r="E115" s="92" t="s">
        <v>166</v>
      </c>
      <c r="F115" s="92">
        <v>555.51</v>
      </c>
      <c r="G115" s="206">
        <v>1</v>
      </c>
      <c r="H115" s="207"/>
      <c r="I115" s="207"/>
      <c r="J115" s="29"/>
      <c r="K115" s="207"/>
      <c r="L115" s="207"/>
      <c r="M115" s="207"/>
      <c r="N115" s="206"/>
      <c r="O115" s="206">
        <f t="shared" si="11"/>
        <v>0</v>
      </c>
      <c r="P115" s="206">
        <f t="shared" si="12"/>
        <v>1</v>
      </c>
      <c r="Q115" s="206">
        <f t="shared" si="13"/>
        <v>555.51</v>
      </c>
      <c r="R115" s="208">
        <f t="shared" si="14"/>
        <v>0</v>
      </c>
      <c r="S115" s="208">
        <f t="shared" si="15"/>
        <v>0</v>
      </c>
      <c r="T115" s="208">
        <f t="shared" si="16"/>
        <v>0</v>
      </c>
      <c r="U115" s="208">
        <f t="shared" si="17"/>
        <v>0</v>
      </c>
      <c r="V115" s="208">
        <f t="shared" si="18"/>
        <v>0</v>
      </c>
      <c r="W115" s="208"/>
      <c r="X115" s="209"/>
      <c r="Y115" s="209">
        <f t="shared" si="19"/>
        <v>0</v>
      </c>
      <c r="Z115" s="210">
        <f t="shared" si="20"/>
        <v>555.51</v>
      </c>
      <c r="AA115" s="167"/>
    </row>
    <row r="116" spans="2:27" ht="33.75" x14ac:dyDescent="0.25">
      <c r="B116" s="203" t="s">
        <v>308</v>
      </c>
      <c r="C116" s="211">
        <v>5044</v>
      </c>
      <c r="D116" s="205" t="s">
        <v>304</v>
      </c>
      <c r="E116" s="92" t="s">
        <v>166</v>
      </c>
      <c r="F116" s="92">
        <v>924.88</v>
      </c>
      <c r="G116" s="206">
        <v>1</v>
      </c>
      <c r="H116" s="207"/>
      <c r="I116" s="207"/>
      <c r="J116" s="29"/>
      <c r="K116" s="207"/>
      <c r="L116" s="207"/>
      <c r="M116" s="207"/>
      <c r="N116" s="206"/>
      <c r="O116" s="206">
        <f t="shared" si="11"/>
        <v>0</v>
      </c>
      <c r="P116" s="206">
        <f t="shared" si="12"/>
        <v>1</v>
      </c>
      <c r="Q116" s="206">
        <f t="shared" si="13"/>
        <v>924.88</v>
      </c>
      <c r="R116" s="208">
        <f t="shared" si="14"/>
        <v>0</v>
      </c>
      <c r="S116" s="208">
        <f t="shared" si="15"/>
        <v>0</v>
      </c>
      <c r="T116" s="208">
        <f t="shared" si="16"/>
        <v>0</v>
      </c>
      <c r="U116" s="208">
        <f t="shared" si="17"/>
        <v>0</v>
      </c>
      <c r="V116" s="208">
        <f t="shared" si="18"/>
        <v>0</v>
      </c>
      <c r="W116" s="208"/>
      <c r="X116" s="209"/>
      <c r="Y116" s="209">
        <f t="shared" si="19"/>
        <v>0</v>
      </c>
      <c r="Z116" s="210">
        <f t="shared" si="20"/>
        <v>924.88</v>
      </c>
      <c r="AA116" s="167"/>
    </row>
    <row r="117" spans="2:27" ht="33.75" x14ac:dyDescent="0.25">
      <c r="B117" s="203" t="s">
        <v>309</v>
      </c>
      <c r="C117" s="211">
        <v>92023</v>
      </c>
      <c r="D117" s="205" t="s">
        <v>311</v>
      </c>
      <c r="E117" s="92" t="s">
        <v>166</v>
      </c>
      <c r="F117" s="92">
        <v>43.88</v>
      </c>
      <c r="G117" s="206">
        <v>5</v>
      </c>
      <c r="H117" s="207"/>
      <c r="I117" s="207"/>
      <c r="J117" s="29"/>
      <c r="K117" s="207"/>
      <c r="L117" s="207"/>
      <c r="M117" s="207"/>
      <c r="N117" s="206"/>
      <c r="O117" s="206">
        <f t="shared" si="11"/>
        <v>0</v>
      </c>
      <c r="P117" s="206">
        <f t="shared" si="12"/>
        <v>5</v>
      </c>
      <c r="Q117" s="206">
        <f t="shared" si="13"/>
        <v>219.4</v>
      </c>
      <c r="R117" s="208">
        <f t="shared" si="14"/>
        <v>0</v>
      </c>
      <c r="S117" s="208">
        <f t="shared" si="15"/>
        <v>0</v>
      </c>
      <c r="T117" s="208">
        <f t="shared" si="16"/>
        <v>0</v>
      </c>
      <c r="U117" s="208">
        <f t="shared" si="17"/>
        <v>0</v>
      </c>
      <c r="V117" s="208">
        <f t="shared" si="18"/>
        <v>0</v>
      </c>
      <c r="W117" s="208"/>
      <c r="X117" s="209"/>
      <c r="Y117" s="209">
        <f t="shared" si="19"/>
        <v>0</v>
      </c>
      <c r="Z117" s="210">
        <f t="shared" si="20"/>
        <v>219.4</v>
      </c>
      <c r="AA117" s="167"/>
    </row>
    <row r="118" spans="2:27" x14ac:dyDescent="0.25">
      <c r="B118" s="212" t="s">
        <v>312</v>
      </c>
      <c r="C118" s="218" t="s">
        <v>313</v>
      </c>
      <c r="D118" s="205"/>
      <c r="E118" s="92"/>
      <c r="F118" s="92"/>
      <c r="G118" s="206"/>
      <c r="H118" s="207"/>
      <c r="I118" s="207"/>
      <c r="J118" s="29"/>
      <c r="K118" s="207"/>
      <c r="L118" s="207"/>
      <c r="M118" s="207"/>
      <c r="N118" s="206"/>
      <c r="O118" s="206"/>
      <c r="P118" s="206"/>
      <c r="Q118" s="206"/>
      <c r="R118" s="208">
        <f t="shared" si="14"/>
        <v>0</v>
      </c>
      <c r="S118" s="208">
        <f t="shared" si="15"/>
        <v>0</v>
      </c>
      <c r="T118" s="208">
        <f t="shared" si="16"/>
        <v>0</v>
      </c>
      <c r="U118" s="208">
        <f t="shared" si="17"/>
        <v>0</v>
      </c>
      <c r="V118" s="208">
        <f t="shared" si="18"/>
        <v>0</v>
      </c>
      <c r="W118" s="208"/>
      <c r="X118" s="209"/>
      <c r="Y118" s="209">
        <f t="shared" si="19"/>
        <v>0</v>
      </c>
      <c r="Z118" s="210">
        <f t="shared" si="20"/>
        <v>0</v>
      </c>
      <c r="AA118" s="167"/>
    </row>
    <row r="119" spans="2:27" ht="22.5" x14ac:dyDescent="0.25">
      <c r="B119" s="203" t="s">
        <v>314</v>
      </c>
      <c r="C119" s="211">
        <v>96620</v>
      </c>
      <c r="D119" s="205" t="s">
        <v>316</v>
      </c>
      <c r="E119" s="217" t="s">
        <v>41</v>
      </c>
      <c r="F119" s="92">
        <v>593.44000000000005</v>
      </c>
      <c r="G119" s="206">
        <v>31.73</v>
      </c>
      <c r="H119" s="207"/>
      <c r="I119" s="207"/>
      <c r="J119" s="29"/>
      <c r="K119" s="207"/>
      <c r="L119" s="207"/>
      <c r="M119" s="207"/>
      <c r="N119" s="206"/>
      <c r="O119" s="206">
        <f t="shared" si="11"/>
        <v>0</v>
      </c>
      <c r="P119" s="206">
        <f t="shared" si="12"/>
        <v>31.73</v>
      </c>
      <c r="Q119" s="206">
        <f t="shared" si="13"/>
        <v>18829.851200000001</v>
      </c>
      <c r="R119" s="208">
        <f t="shared" si="14"/>
        <v>0</v>
      </c>
      <c r="S119" s="208">
        <f t="shared" si="15"/>
        <v>0</v>
      </c>
      <c r="T119" s="208">
        <f t="shared" si="16"/>
        <v>0</v>
      </c>
      <c r="U119" s="208">
        <f t="shared" si="17"/>
        <v>0</v>
      </c>
      <c r="V119" s="208">
        <f t="shared" si="18"/>
        <v>0</v>
      </c>
      <c r="W119" s="208"/>
      <c r="X119" s="209"/>
      <c r="Y119" s="209">
        <f t="shared" si="19"/>
        <v>0</v>
      </c>
      <c r="Z119" s="210">
        <f t="shared" si="20"/>
        <v>18829.851200000001</v>
      </c>
      <c r="AA119" s="167"/>
    </row>
    <row r="120" spans="2:27" ht="67.5" x14ac:dyDescent="0.25">
      <c r="B120" s="203" t="s">
        <v>317</v>
      </c>
      <c r="C120" s="211">
        <v>94439</v>
      </c>
      <c r="D120" s="205" t="s">
        <v>319</v>
      </c>
      <c r="E120" s="217" t="s">
        <v>17</v>
      </c>
      <c r="F120" s="92">
        <v>46.08</v>
      </c>
      <c r="G120" s="206">
        <v>634.5</v>
      </c>
      <c r="H120" s="207"/>
      <c r="I120" s="207"/>
      <c r="J120" s="29"/>
      <c r="K120" s="207"/>
      <c r="L120" s="207"/>
      <c r="M120" s="207"/>
      <c r="N120" s="206"/>
      <c r="O120" s="206">
        <f t="shared" si="11"/>
        <v>0</v>
      </c>
      <c r="P120" s="206">
        <f t="shared" si="12"/>
        <v>634.5</v>
      </c>
      <c r="Q120" s="206">
        <f t="shared" si="13"/>
        <v>29237.759999999998</v>
      </c>
      <c r="R120" s="208">
        <f t="shared" si="14"/>
        <v>0</v>
      </c>
      <c r="S120" s="208">
        <f t="shared" si="15"/>
        <v>0</v>
      </c>
      <c r="T120" s="208">
        <f t="shared" si="16"/>
        <v>0</v>
      </c>
      <c r="U120" s="208">
        <f t="shared" si="17"/>
        <v>0</v>
      </c>
      <c r="V120" s="208">
        <f t="shared" si="18"/>
        <v>0</v>
      </c>
      <c r="W120" s="208"/>
      <c r="X120" s="209"/>
      <c r="Y120" s="209">
        <f t="shared" si="19"/>
        <v>0</v>
      </c>
      <c r="Z120" s="210">
        <f t="shared" si="20"/>
        <v>29237.759999999998</v>
      </c>
      <c r="AA120" s="167"/>
    </row>
    <row r="121" spans="2:27" ht="33.75" x14ac:dyDescent="0.25">
      <c r="B121" s="203" t="s">
        <v>320</v>
      </c>
      <c r="C121" s="211">
        <v>87257</v>
      </c>
      <c r="D121" s="205" t="s">
        <v>322</v>
      </c>
      <c r="E121" s="217" t="s">
        <v>17</v>
      </c>
      <c r="F121" s="92">
        <v>95.14</v>
      </c>
      <c r="G121" s="206">
        <v>634.5</v>
      </c>
      <c r="H121" s="207"/>
      <c r="I121" s="207"/>
      <c r="J121" s="29"/>
      <c r="K121" s="207"/>
      <c r="L121" s="207"/>
      <c r="M121" s="207"/>
      <c r="N121" s="206"/>
      <c r="O121" s="206">
        <f t="shared" si="11"/>
        <v>0</v>
      </c>
      <c r="P121" s="206">
        <f t="shared" si="12"/>
        <v>634.5</v>
      </c>
      <c r="Q121" s="206">
        <f t="shared" si="13"/>
        <v>60366.33</v>
      </c>
      <c r="R121" s="208">
        <f t="shared" si="14"/>
        <v>0</v>
      </c>
      <c r="S121" s="208">
        <f t="shared" si="15"/>
        <v>0</v>
      </c>
      <c r="T121" s="208">
        <f t="shared" si="16"/>
        <v>0</v>
      </c>
      <c r="U121" s="208">
        <f t="shared" si="17"/>
        <v>0</v>
      </c>
      <c r="V121" s="208">
        <f t="shared" si="18"/>
        <v>0</v>
      </c>
      <c r="W121" s="208"/>
      <c r="X121" s="209"/>
      <c r="Y121" s="209">
        <f t="shared" si="19"/>
        <v>0</v>
      </c>
      <c r="Z121" s="210">
        <f t="shared" si="20"/>
        <v>60366.33</v>
      </c>
      <c r="AA121" s="167"/>
    </row>
    <row r="122" spans="2:27" ht="33.75" x14ac:dyDescent="0.25">
      <c r="B122" s="203" t="s">
        <v>323</v>
      </c>
      <c r="C122" s="211">
        <v>92403</v>
      </c>
      <c r="D122" s="205" t="s">
        <v>325</v>
      </c>
      <c r="E122" s="217" t="s">
        <v>17</v>
      </c>
      <c r="F122" s="92">
        <v>51.12</v>
      </c>
      <c r="G122" s="206">
        <v>629.38</v>
      </c>
      <c r="H122" s="207"/>
      <c r="I122" s="207"/>
      <c r="J122" s="29"/>
      <c r="K122" s="207"/>
      <c r="L122" s="207"/>
      <c r="M122" s="207"/>
      <c r="N122" s="206"/>
      <c r="O122" s="206">
        <f t="shared" si="11"/>
        <v>0</v>
      </c>
      <c r="P122" s="206">
        <f t="shared" si="12"/>
        <v>629.38</v>
      </c>
      <c r="Q122" s="206">
        <f t="shared" si="13"/>
        <v>32173.905599999998</v>
      </c>
      <c r="R122" s="208">
        <f t="shared" si="14"/>
        <v>0</v>
      </c>
      <c r="S122" s="208">
        <f t="shared" si="15"/>
        <v>0</v>
      </c>
      <c r="T122" s="208">
        <f t="shared" si="16"/>
        <v>0</v>
      </c>
      <c r="U122" s="208">
        <f t="shared" si="17"/>
        <v>0</v>
      </c>
      <c r="V122" s="208">
        <f t="shared" si="18"/>
        <v>0</v>
      </c>
      <c r="W122" s="208"/>
      <c r="X122" s="209"/>
      <c r="Y122" s="209">
        <f t="shared" si="19"/>
        <v>0</v>
      </c>
      <c r="Z122" s="210">
        <f t="shared" si="20"/>
        <v>32173.905599999998</v>
      </c>
      <c r="AA122" s="167"/>
    </row>
    <row r="123" spans="2:27" ht="56.25" x14ac:dyDescent="0.25">
      <c r="B123" s="203" t="s">
        <v>326</v>
      </c>
      <c r="C123" s="211">
        <v>94273</v>
      </c>
      <c r="D123" s="205" t="s">
        <v>328</v>
      </c>
      <c r="E123" s="217" t="s">
        <v>37</v>
      </c>
      <c r="F123" s="92">
        <v>47.25</v>
      </c>
      <c r="G123" s="206">
        <v>126.37</v>
      </c>
      <c r="H123" s="207"/>
      <c r="I123" s="207"/>
      <c r="J123" s="29"/>
      <c r="K123" s="207"/>
      <c r="L123" s="207"/>
      <c r="M123" s="207"/>
      <c r="N123" s="206"/>
      <c r="O123" s="206">
        <f t="shared" si="11"/>
        <v>0</v>
      </c>
      <c r="P123" s="206">
        <f t="shared" si="12"/>
        <v>126.37</v>
      </c>
      <c r="Q123" s="206">
        <f t="shared" si="13"/>
        <v>5970.9825000000001</v>
      </c>
      <c r="R123" s="208">
        <f t="shared" si="14"/>
        <v>0</v>
      </c>
      <c r="S123" s="208">
        <f t="shared" si="15"/>
        <v>0</v>
      </c>
      <c r="T123" s="208">
        <f t="shared" si="16"/>
        <v>0</v>
      </c>
      <c r="U123" s="208">
        <f t="shared" si="17"/>
        <v>0</v>
      </c>
      <c r="V123" s="208">
        <f t="shared" si="18"/>
        <v>0</v>
      </c>
      <c r="W123" s="208"/>
      <c r="X123" s="209"/>
      <c r="Y123" s="209">
        <f t="shared" si="19"/>
        <v>0</v>
      </c>
      <c r="Z123" s="210">
        <f t="shared" si="20"/>
        <v>5970.9825000000001</v>
      </c>
      <c r="AA123" s="167"/>
    </row>
    <row r="124" spans="2:27" ht="22.5" x14ac:dyDescent="0.25">
      <c r="B124" s="203" t="s">
        <v>329</v>
      </c>
      <c r="C124" s="211">
        <v>368</v>
      </c>
      <c r="D124" s="205" t="s">
        <v>331</v>
      </c>
      <c r="E124" s="217" t="s">
        <v>41</v>
      </c>
      <c r="F124" s="92">
        <v>70.77</v>
      </c>
      <c r="G124" s="206">
        <v>7.46</v>
      </c>
      <c r="H124" s="207"/>
      <c r="I124" s="207"/>
      <c r="J124" s="29"/>
      <c r="K124" s="207"/>
      <c r="L124" s="207"/>
      <c r="M124" s="207"/>
      <c r="N124" s="206"/>
      <c r="O124" s="206">
        <f t="shared" si="11"/>
        <v>0</v>
      </c>
      <c r="P124" s="206">
        <f t="shared" si="12"/>
        <v>7.46</v>
      </c>
      <c r="Q124" s="206">
        <f t="shared" si="13"/>
        <v>527.94420000000002</v>
      </c>
      <c r="R124" s="208">
        <f t="shared" si="14"/>
        <v>0</v>
      </c>
      <c r="S124" s="208">
        <f t="shared" si="15"/>
        <v>0</v>
      </c>
      <c r="T124" s="208">
        <f t="shared" si="16"/>
        <v>0</v>
      </c>
      <c r="U124" s="208">
        <f t="shared" si="17"/>
        <v>0</v>
      </c>
      <c r="V124" s="208">
        <f t="shared" si="18"/>
        <v>0</v>
      </c>
      <c r="W124" s="208"/>
      <c r="X124" s="209"/>
      <c r="Y124" s="209">
        <f t="shared" si="19"/>
        <v>0</v>
      </c>
      <c r="Z124" s="210">
        <f t="shared" si="20"/>
        <v>527.94420000000002</v>
      </c>
      <c r="AA124" s="167"/>
    </row>
    <row r="125" spans="2:27" x14ac:dyDescent="0.25">
      <c r="B125" s="203" t="s">
        <v>332</v>
      </c>
      <c r="C125" s="211">
        <v>98504</v>
      </c>
      <c r="D125" s="205" t="s">
        <v>334</v>
      </c>
      <c r="E125" s="217" t="s">
        <v>17</v>
      </c>
      <c r="F125" s="92">
        <v>15.87</v>
      </c>
      <c r="G125" s="206">
        <v>25.6</v>
      </c>
      <c r="H125" s="207"/>
      <c r="I125" s="207"/>
      <c r="J125" s="29"/>
      <c r="K125" s="207"/>
      <c r="L125" s="207"/>
      <c r="M125" s="207"/>
      <c r="N125" s="206"/>
      <c r="O125" s="206">
        <f t="shared" si="11"/>
        <v>0</v>
      </c>
      <c r="P125" s="206">
        <f t="shared" si="12"/>
        <v>25.6</v>
      </c>
      <c r="Q125" s="206">
        <f t="shared" si="13"/>
        <v>406.27199999999999</v>
      </c>
      <c r="R125" s="208">
        <f t="shared" si="14"/>
        <v>0</v>
      </c>
      <c r="S125" s="208">
        <f t="shared" si="15"/>
        <v>0</v>
      </c>
      <c r="T125" s="208">
        <f t="shared" si="16"/>
        <v>0</v>
      </c>
      <c r="U125" s="208">
        <f t="shared" si="17"/>
        <v>0</v>
      </c>
      <c r="V125" s="208">
        <f t="shared" si="18"/>
        <v>0</v>
      </c>
      <c r="W125" s="208"/>
      <c r="X125" s="209"/>
      <c r="Y125" s="209">
        <f t="shared" si="19"/>
        <v>0</v>
      </c>
      <c r="Z125" s="210">
        <f t="shared" si="20"/>
        <v>406.27199999999999</v>
      </c>
      <c r="AA125" s="167"/>
    </row>
    <row r="126" spans="2:27" ht="22.5" x14ac:dyDescent="0.25">
      <c r="B126" s="203" t="s">
        <v>335</v>
      </c>
      <c r="C126" s="211">
        <v>103913</v>
      </c>
      <c r="D126" s="205" t="s">
        <v>337</v>
      </c>
      <c r="E126" s="217" t="s">
        <v>17</v>
      </c>
      <c r="F126" s="92">
        <v>117.96</v>
      </c>
      <c r="G126" s="206">
        <v>39.6</v>
      </c>
      <c r="H126" s="207"/>
      <c r="I126" s="207"/>
      <c r="J126" s="29"/>
      <c r="K126" s="207"/>
      <c r="L126" s="207"/>
      <c r="M126" s="207"/>
      <c r="N126" s="206"/>
      <c r="O126" s="206">
        <f t="shared" si="11"/>
        <v>0</v>
      </c>
      <c r="P126" s="206">
        <f t="shared" si="12"/>
        <v>39.6</v>
      </c>
      <c r="Q126" s="206">
        <f t="shared" si="13"/>
        <v>4671.2160000000003</v>
      </c>
      <c r="R126" s="208">
        <f t="shared" si="14"/>
        <v>0</v>
      </c>
      <c r="S126" s="208">
        <f t="shared" si="15"/>
        <v>0</v>
      </c>
      <c r="T126" s="208">
        <f t="shared" si="16"/>
        <v>0</v>
      </c>
      <c r="U126" s="208">
        <f t="shared" si="17"/>
        <v>0</v>
      </c>
      <c r="V126" s="208">
        <f t="shared" si="18"/>
        <v>0</v>
      </c>
      <c r="W126" s="208"/>
      <c r="X126" s="209"/>
      <c r="Y126" s="209">
        <f t="shared" si="19"/>
        <v>0</v>
      </c>
      <c r="Z126" s="210">
        <f t="shared" si="20"/>
        <v>4671.2160000000003</v>
      </c>
      <c r="AA126" s="167"/>
    </row>
    <row r="127" spans="2:27" x14ac:dyDescent="0.25">
      <c r="B127" s="212" t="s">
        <v>338</v>
      </c>
      <c r="C127" s="218" t="s">
        <v>339</v>
      </c>
      <c r="D127" s="205"/>
      <c r="E127" s="217"/>
      <c r="F127" s="92"/>
      <c r="G127" s="206"/>
      <c r="H127" s="207"/>
      <c r="I127" s="207"/>
      <c r="J127" s="29"/>
      <c r="K127" s="207"/>
      <c r="L127" s="207"/>
      <c r="M127" s="207"/>
      <c r="N127" s="206"/>
      <c r="O127" s="206"/>
      <c r="P127" s="206"/>
      <c r="Q127" s="206"/>
      <c r="R127" s="208">
        <f t="shared" si="14"/>
        <v>0</v>
      </c>
      <c r="S127" s="208">
        <f t="shared" si="15"/>
        <v>0</v>
      </c>
      <c r="T127" s="208">
        <f t="shared" si="16"/>
        <v>0</v>
      </c>
      <c r="U127" s="208">
        <f t="shared" si="17"/>
        <v>0</v>
      </c>
      <c r="V127" s="208">
        <f t="shared" si="18"/>
        <v>0</v>
      </c>
      <c r="W127" s="208"/>
      <c r="X127" s="209"/>
      <c r="Y127" s="209">
        <f t="shared" si="19"/>
        <v>0</v>
      </c>
      <c r="Z127" s="210">
        <f t="shared" si="20"/>
        <v>0</v>
      </c>
      <c r="AA127" s="167"/>
    </row>
    <row r="128" spans="2:27" ht="45" x14ac:dyDescent="0.25">
      <c r="B128" s="203" t="s">
        <v>340</v>
      </c>
      <c r="C128" s="211">
        <v>94207</v>
      </c>
      <c r="D128" s="205" t="s">
        <v>342</v>
      </c>
      <c r="E128" s="217" t="s">
        <v>17</v>
      </c>
      <c r="F128" s="92">
        <v>69.180000000000007</v>
      </c>
      <c r="G128" s="206">
        <v>610.20000000000005</v>
      </c>
      <c r="H128" s="207"/>
      <c r="I128" s="207"/>
      <c r="J128" s="29"/>
      <c r="K128" s="207"/>
      <c r="L128" s="207"/>
      <c r="M128" s="207"/>
      <c r="N128" s="206"/>
      <c r="O128" s="206">
        <f t="shared" si="11"/>
        <v>0</v>
      </c>
      <c r="P128" s="206">
        <f t="shared" si="12"/>
        <v>610.20000000000005</v>
      </c>
      <c r="Q128" s="206">
        <f t="shared" si="13"/>
        <v>42213.636000000006</v>
      </c>
      <c r="R128" s="208">
        <f t="shared" si="14"/>
        <v>0</v>
      </c>
      <c r="S128" s="208">
        <f t="shared" si="15"/>
        <v>0</v>
      </c>
      <c r="T128" s="208">
        <f t="shared" si="16"/>
        <v>0</v>
      </c>
      <c r="U128" s="208">
        <f t="shared" si="17"/>
        <v>0</v>
      </c>
      <c r="V128" s="208">
        <f t="shared" si="18"/>
        <v>0</v>
      </c>
      <c r="W128" s="208"/>
      <c r="X128" s="209"/>
      <c r="Y128" s="209">
        <f t="shared" si="19"/>
        <v>0</v>
      </c>
      <c r="Z128" s="210">
        <f t="shared" si="20"/>
        <v>42213.636000000006</v>
      </c>
      <c r="AA128" s="167"/>
    </row>
    <row r="129" spans="2:27" ht="33.75" x14ac:dyDescent="0.25">
      <c r="B129" s="203" t="s">
        <v>343</v>
      </c>
      <c r="C129" s="211">
        <v>98546</v>
      </c>
      <c r="D129" s="205" t="s">
        <v>345</v>
      </c>
      <c r="E129" s="217" t="s">
        <v>17</v>
      </c>
      <c r="F129" s="92">
        <v>109.11</v>
      </c>
      <c r="G129" s="206">
        <v>181.61</v>
      </c>
      <c r="H129" s="207"/>
      <c r="I129" s="207"/>
      <c r="J129" s="29"/>
      <c r="K129" s="207"/>
      <c r="L129" s="207"/>
      <c r="M129" s="207"/>
      <c r="N129" s="206"/>
      <c r="O129" s="206">
        <f t="shared" si="11"/>
        <v>0</v>
      </c>
      <c r="P129" s="206">
        <f t="shared" si="12"/>
        <v>181.61</v>
      </c>
      <c r="Q129" s="206">
        <f t="shared" si="13"/>
        <v>19815.467100000002</v>
      </c>
      <c r="R129" s="208">
        <f t="shared" si="14"/>
        <v>0</v>
      </c>
      <c r="S129" s="208">
        <f t="shared" si="15"/>
        <v>0</v>
      </c>
      <c r="T129" s="208">
        <f t="shared" si="16"/>
        <v>0</v>
      </c>
      <c r="U129" s="208">
        <f t="shared" si="17"/>
        <v>0</v>
      </c>
      <c r="V129" s="208">
        <f t="shared" si="18"/>
        <v>0</v>
      </c>
      <c r="W129" s="208"/>
      <c r="X129" s="209"/>
      <c r="Y129" s="209">
        <f t="shared" si="19"/>
        <v>0</v>
      </c>
      <c r="Z129" s="210">
        <f t="shared" si="20"/>
        <v>19815.467100000002</v>
      </c>
      <c r="AA129" s="167"/>
    </row>
    <row r="130" spans="2:27" ht="33.75" x14ac:dyDescent="0.25">
      <c r="B130" s="203" t="s">
        <v>346</v>
      </c>
      <c r="C130" s="211">
        <v>98565</v>
      </c>
      <c r="D130" s="205" t="s">
        <v>348</v>
      </c>
      <c r="E130" s="217" t="s">
        <v>17</v>
      </c>
      <c r="F130" s="92">
        <v>46.12</v>
      </c>
      <c r="G130" s="206">
        <v>181.61</v>
      </c>
      <c r="H130" s="207"/>
      <c r="I130" s="207"/>
      <c r="J130" s="29"/>
      <c r="K130" s="207"/>
      <c r="L130" s="207"/>
      <c r="M130" s="207"/>
      <c r="N130" s="206"/>
      <c r="O130" s="206">
        <f t="shared" si="11"/>
        <v>0</v>
      </c>
      <c r="P130" s="206">
        <f t="shared" si="12"/>
        <v>181.61</v>
      </c>
      <c r="Q130" s="206">
        <f t="shared" si="13"/>
        <v>8375.8531999999996</v>
      </c>
      <c r="R130" s="208">
        <f t="shared" si="14"/>
        <v>0</v>
      </c>
      <c r="S130" s="208">
        <f t="shared" si="15"/>
        <v>0</v>
      </c>
      <c r="T130" s="208">
        <f t="shared" si="16"/>
        <v>0</v>
      </c>
      <c r="U130" s="208">
        <f t="shared" si="17"/>
        <v>0</v>
      </c>
      <c r="V130" s="208">
        <f t="shared" si="18"/>
        <v>0</v>
      </c>
      <c r="W130" s="208"/>
      <c r="X130" s="209"/>
      <c r="Y130" s="209">
        <f t="shared" si="19"/>
        <v>0</v>
      </c>
      <c r="Z130" s="210">
        <f t="shared" si="20"/>
        <v>8375.8531999999996</v>
      </c>
      <c r="AA130" s="167"/>
    </row>
    <row r="131" spans="2:27" ht="45" x14ac:dyDescent="0.25">
      <c r="B131" s="203" t="s">
        <v>349</v>
      </c>
      <c r="C131" s="211">
        <v>100374</v>
      </c>
      <c r="D131" s="205" t="s">
        <v>351</v>
      </c>
      <c r="E131" s="217" t="s">
        <v>166</v>
      </c>
      <c r="F131" s="92">
        <v>2472.0700000000002</v>
      </c>
      <c r="G131" s="206">
        <v>10</v>
      </c>
      <c r="H131" s="207"/>
      <c r="I131" s="207"/>
      <c r="J131" s="29"/>
      <c r="K131" s="207"/>
      <c r="L131" s="207"/>
      <c r="M131" s="207"/>
      <c r="N131" s="206"/>
      <c r="O131" s="206">
        <f t="shared" si="11"/>
        <v>0</v>
      </c>
      <c r="P131" s="206">
        <f t="shared" si="12"/>
        <v>10</v>
      </c>
      <c r="Q131" s="206">
        <f t="shared" si="13"/>
        <v>24720.7</v>
      </c>
      <c r="R131" s="208">
        <f t="shared" si="14"/>
        <v>0</v>
      </c>
      <c r="S131" s="208">
        <f t="shared" si="15"/>
        <v>0</v>
      </c>
      <c r="T131" s="208">
        <f t="shared" si="16"/>
        <v>0</v>
      </c>
      <c r="U131" s="208">
        <f t="shared" si="17"/>
        <v>0</v>
      </c>
      <c r="V131" s="208">
        <f t="shared" si="18"/>
        <v>0</v>
      </c>
      <c r="W131" s="208"/>
      <c r="X131" s="209"/>
      <c r="Y131" s="209">
        <f t="shared" si="19"/>
        <v>0</v>
      </c>
      <c r="Z131" s="210">
        <f t="shared" si="20"/>
        <v>24720.7</v>
      </c>
      <c r="AA131" s="167"/>
    </row>
    <row r="132" spans="2:27" ht="45" x14ac:dyDescent="0.25">
      <c r="B132" s="203" t="s">
        <v>352</v>
      </c>
      <c r="C132" s="211">
        <v>100375</v>
      </c>
      <c r="D132" s="205" t="s">
        <v>354</v>
      </c>
      <c r="E132" s="217" t="s">
        <v>166</v>
      </c>
      <c r="F132" s="92">
        <v>2766.14</v>
      </c>
      <c r="G132" s="206">
        <v>10</v>
      </c>
      <c r="H132" s="207"/>
      <c r="I132" s="207"/>
      <c r="J132" s="29"/>
      <c r="K132" s="207"/>
      <c r="L132" s="207"/>
      <c r="M132" s="207"/>
      <c r="N132" s="206"/>
      <c r="O132" s="206">
        <f t="shared" si="11"/>
        <v>0</v>
      </c>
      <c r="P132" s="206">
        <f t="shared" si="12"/>
        <v>10</v>
      </c>
      <c r="Q132" s="206">
        <f t="shared" si="13"/>
        <v>27661.399999999998</v>
      </c>
      <c r="R132" s="208">
        <f t="shared" si="14"/>
        <v>0</v>
      </c>
      <c r="S132" s="208">
        <f t="shared" si="15"/>
        <v>0</v>
      </c>
      <c r="T132" s="208">
        <f t="shared" si="16"/>
        <v>0</v>
      </c>
      <c r="U132" s="208">
        <f t="shared" si="17"/>
        <v>0</v>
      </c>
      <c r="V132" s="208">
        <f t="shared" si="18"/>
        <v>0</v>
      </c>
      <c r="W132" s="208"/>
      <c r="X132" s="209"/>
      <c r="Y132" s="209">
        <f t="shared" si="19"/>
        <v>0</v>
      </c>
      <c r="Z132" s="210">
        <f t="shared" si="20"/>
        <v>27661.399999999998</v>
      </c>
      <c r="AA132" s="167"/>
    </row>
    <row r="133" spans="2:27" ht="45" x14ac:dyDescent="0.25">
      <c r="B133" s="203" t="s">
        <v>355</v>
      </c>
      <c r="C133" s="211">
        <v>92544</v>
      </c>
      <c r="D133" s="205" t="s">
        <v>357</v>
      </c>
      <c r="E133" s="217" t="s">
        <v>17</v>
      </c>
      <c r="F133" s="92">
        <v>15.3</v>
      </c>
      <c r="G133" s="206">
        <v>610.20000000000005</v>
      </c>
      <c r="H133" s="207"/>
      <c r="I133" s="207"/>
      <c r="J133" s="29"/>
      <c r="K133" s="207"/>
      <c r="L133" s="207"/>
      <c r="M133" s="207"/>
      <c r="N133" s="206"/>
      <c r="O133" s="206">
        <f t="shared" si="11"/>
        <v>0</v>
      </c>
      <c r="P133" s="206">
        <f t="shared" si="12"/>
        <v>610.20000000000005</v>
      </c>
      <c r="Q133" s="206">
        <f t="shared" si="13"/>
        <v>9336.0600000000013</v>
      </c>
      <c r="R133" s="208">
        <f t="shared" si="14"/>
        <v>0</v>
      </c>
      <c r="S133" s="208">
        <f t="shared" si="15"/>
        <v>0</v>
      </c>
      <c r="T133" s="208">
        <f t="shared" si="16"/>
        <v>0</v>
      </c>
      <c r="U133" s="208">
        <f t="shared" si="17"/>
        <v>0</v>
      </c>
      <c r="V133" s="208">
        <f t="shared" si="18"/>
        <v>0</v>
      </c>
      <c r="W133" s="208"/>
      <c r="X133" s="209"/>
      <c r="Y133" s="209">
        <f t="shared" si="19"/>
        <v>0</v>
      </c>
      <c r="Z133" s="210">
        <f t="shared" si="20"/>
        <v>9336.0600000000013</v>
      </c>
      <c r="AA133" s="167"/>
    </row>
    <row r="134" spans="2:27" ht="33.75" x14ac:dyDescent="0.25">
      <c r="B134" s="203" t="s">
        <v>358</v>
      </c>
      <c r="C134" s="211">
        <v>100435</v>
      </c>
      <c r="D134" s="205" t="s">
        <v>360</v>
      </c>
      <c r="E134" s="217" t="s">
        <v>37</v>
      </c>
      <c r="F134" s="92">
        <v>84.59</v>
      </c>
      <c r="G134" s="206">
        <v>113.1</v>
      </c>
      <c r="H134" s="207"/>
      <c r="I134" s="207"/>
      <c r="J134" s="29"/>
      <c r="K134" s="207"/>
      <c r="L134" s="207"/>
      <c r="M134" s="207"/>
      <c r="N134" s="206"/>
      <c r="O134" s="206">
        <f t="shared" si="11"/>
        <v>0</v>
      </c>
      <c r="P134" s="206">
        <f t="shared" si="12"/>
        <v>113.1</v>
      </c>
      <c r="Q134" s="206">
        <f t="shared" si="13"/>
        <v>9567.128999999999</v>
      </c>
      <c r="R134" s="208">
        <f t="shared" si="14"/>
        <v>0</v>
      </c>
      <c r="S134" s="208">
        <f t="shared" si="15"/>
        <v>0</v>
      </c>
      <c r="T134" s="208">
        <f t="shared" si="16"/>
        <v>0</v>
      </c>
      <c r="U134" s="208">
        <f t="shared" si="17"/>
        <v>0</v>
      </c>
      <c r="V134" s="208">
        <f t="shared" si="18"/>
        <v>0</v>
      </c>
      <c r="W134" s="208"/>
      <c r="X134" s="209"/>
      <c r="Y134" s="209">
        <f t="shared" si="19"/>
        <v>0</v>
      </c>
      <c r="Z134" s="210">
        <f t="shared" si="20"/>
        <v>9567.128999999999</v>
      </c>
      <c r="AA134" s="167"/>
    </row>
    <row r="135" spans="2:27" ht="33.75" x14ac:dyDescent="0.25">
      <c r="B135" s="203" t="s">
        <v>361</v>
      </c>
      <c r="C135" s="211">
        <v>94229</v>
      </c>
      <c r="D135" s="205" t="s">
        <v>363</v>
      </c>
      <c r="E135" s="217" t="s">
        <v>37</v>
      </c>
      <c r="F135" s="92">
        <v>165.04</v>
      </c>
      <c r="G135" s="206">
        <v>52.64</v>
      </c>
      <c r="H135" s="207"/>
      <c r="I135" s="207"/>
      <c r="J135" s="29"/>
      <c r="K135" s="207"/>
      <c r="L135" s="207"/>
      <c r="M135" s="207"/>
      <c r="N135" s="206"/>
      <c r="O135" s="206">
        <f t="shared" si="11"/>
        <v>0</v>
      </c>
      <c r="P135" s="206">
        <f t="shared" si="12"/>
        <v>52.64</v>
      </c>
      <c r="Q135" s="206">
        <f t="shared" si="13"/>
        <v>8687.7055999999993</v>
      </c>
      <c r="R135" s="208">
        <f t="shared" si="14"/>
        <v>0</v>
      </c>
      <c r="S135" s="208">
        <f t="shared" si="15"/>
        <v>0</v>
      </c>
      <c r="T135" s="208">
        <f t="shared" si="16"/>
        <v>0</v>
      </c>
      <c r="U135" s="208">
        <f t="shared" si="17"/>
        <v>0</v>
      </c>
      <c r="V135" s="208">
        <f t="shared" si="18"/>
        <v>0</v>
      </c>
      <c r="W135" s="208"/>
      <c r="X135" s="209"/>
      <c r="Y135" s="209">
        <f t="shared" si="19"/>
        <v>0</v>
      </c>
      <c r="Z135" s="210">
        <f t="shared" si="20"/>
        <v>8687.7055999999993</v>
      </c>
      <c r="AA135" s="167"/>
    </row>
    <row r="136" spans="2:27" ht="22.5" x14ac:dyDescent="0.25">
      <c r="B136" s="203" t="s">
        <v>364</v>
      </c>
      <c r="C136" s="211">
        <v>96113</v>
      </c>
      <c r="D136" s="205" t="s">
        <v>366</v>
      </c>
      <c r="E136" s="217" t="s">
        <v>17</v>
      </c>
      <c r="F136" s="92">
        <v>34.25</v>
      </c>
      <c r="G136" s="206">
        <v>634.5</v>
      </c>
      <c r="H136" s="207"/>
      <c r="I136" s="207"/>
      <c r="J136" s="29"/>
      <c r="K136" s="207"/>
      <c r="L136" s="207"/>
      <c r="M136" s="207"/>
      <c r="N136" s="206"/>
      <c r="O136" s="206">
        <f t="shared" si="11"/>
        <v>0</v>
      </c>
      <c r="P136" s="206">
        <f t="shared" si="12"/>
        <v>634.5</v>
      </c>
      <c r="Q136" s="206">
        <f t="shared" si="13"/>
        <v>21731.625</v>
      </c>
      <c r="R136" s="208">
        <f t="shared" si="14"/>
        <v>0</v>
      </c>
      <c r="S136" s="208">
        <f t="shared" si="15"/>
        <v>0</v>
      </c>
      <c r="T136" s="208">
        <f t="shared" si="16"/>
        <v>0</v>
      </c>
      <c r="U136" s="208">
        <f t="shared" si="17"/>
        <v>0</v>
      </c>
      <c r="V136" s="208">
        <f t="shared" si="18"/>
        <v>0</v>
      </c>
      <c r="W136" s="208"/>
      <c r="X136" s="209"/>
      <c r="Y136" s="209">
        <f t="shared" si="19"/>
        <v>0</v>
      </c>
      <c r="Z136" s="210">
        <f t="shared" si="20"/>
        <v>21731.625</v>
      </c>
      <c r="AA136" s="167"/>
    </row>
    <row r="137" spans="2:27" ht="14.45" customHeight="1" x14ac:dyDescent="0.25">
      <c r="B137" s="212">
        <v>1.1299999999999999</v>
      </c>
      <c r="C137" s="213" t="s">
        <v>368</v>
      </c>
      <c r="D137" s="205"/>
      <c r="E137" s="217"/>
      <c r="F137" s="92"/>
      <c r="G137" s="206"/>
      <c r="H137" s="207"/>
      <c r="I137" s="207"/>
      <c r="J137" s="29"/>
      <c r="K137" s="207"/>
      <c r="L137" s="207"/>
      <c r="M137" s="207"/>
      <c r="N137" s="206"/>
      <c r="O137" s="206"/>
      <c r="P137" s="206"/>
      <c r="Q137" s="206"/>
      <c r="R137" s="208">
        <f t="shared" si="14"/>
        <v>0</v>
      </c>
      <c r="S137" s="208">
        <f t="shared" si="15"/>
        <v>0</v>
      </c>
      <c r="T137" s="208">
        <f t="shared" si="16"/>
        <v>0</v>
      </c>
      <c r="U137" s="208">
        <f t="shared" si="17"/>
        <v>0</v>
      </c>
      <c r="V137" s="208">
        <f t="shared" si="18"/>
        <v>0</v>
      </c>
      <c r="W137" s="208"/>
      <c r="X137" s="209"/>
      <c r="Y137" s="209">
        <f t="shared" si="19"/>
        <v>0</v>
      </c>
      <c r="Z137" s="210">
        <f t="shared" si="20"/>
        <v>0</v>
      </c>
      <c r="AA137" s="167"/>
    </row>
    <row r="138" spans="2:27" ht="56.25" x14ac:dyDescent="0.25">
      <c r="B138" s="203" t="s">
        <v>369</v>
      </c>
      <c r="C138" s="211">
        <v>91785</v>
      </c>
      <c r="D138" s="205" t="s">
        <v>371</v>
      </c>
      <c r="E138" s="217" t="s">
        <v>37</v>
      </c>
      <c r="F138" s="92">
        <v>39.15</v>
      </c>
      <c r="G138" s="206">
        <v>98.77</v>
      </c>
      <c r="H138" s="29"/>
      <c r="I138" s="207"/>
      <c r="J138" s="29"/>
      <c r="K138" s="207"/>
      <c r="L138" s="207"/>
      <c r="M138" s="207"/>
      <c r="N138" s="206"/>
      <c r="O138" s="206">
        <f t="shared" si="11"/>
        <v>0</v>
      </c>
      <c r="P138" s="206">
        <f t="shared" si="12"/>
        <v>98.77</v>
      </c>
      <c r="Q138" s="206">
        <f t="shared" si="13"/>
        <v>3866.8454999999999</v>
      </c>
      <c r="R138" s="208">
        <f t="shared" si="14"/>
        <v>0</v>
      </c>
      <c r="S138" s="208">
        <f t="shared" si="15"/>
        <v>0</v>
      </c>
      <c r="T138" s="208">
        <f t="shared" si="16"/>
        <v>0</v>
      </c>
      <c r="U138" s="208">
        <f t="shared" si="17"/>
        <v>0</v>
      </c>
      <c r="V138" s="208">
        <f t="shared" si="18"/>
        <v>0</v>
      </c>
      <c r="W138" s="208"/>
      <c r="X138" s="209"/>
      <c r="Y138" s="209">
        <f t="shared" si="19"/>
        <v>0</v>
      </c>
      <c r="Z138" s="210">
        <f t="shared" si="20"/>
        <v>3866.8454999999999</v>
      </c>
      <c r="AA138" s="167"/>
    </row>
    <row r="139" spans="2:27" ht="56.25" x14ac:dyDescent="0.25">
      <c r="B139" s="203" t="s">
        <v>372</v>
      </c>
      <c r="C139" s="211">
        <v>91784</v>
      </c>
      <c r="D139" s="205" t="s">
        <v>374</v>
      </c>
      <c r="E139" s="217" t="s">
        <v>37</v>
      </c>
      <c r="F139" s="92">
        <v>40.17</v>
      </c>
      <c r="G139" s="206">
        <v>62.17</v>
      </c>
      <c r="H139" s="29"/>
      <c r="I139" s="207"/>
      <c r="J139" s="29"/>
      <c r="K139" s="207"/>
      <c r="L139" s="207"/>
      <c r="M139" s="207"/>
      <c r="N139" s="206"/>
      <c r="O139" s="206">
        <f t="shared" si="11"/>
        <v>0</v>
      </c>
      <c r="P139" s="206">
        <f t="shared" si="12"/>
        <v>62.17</v>
      </c>
      <c r="Q139" s="206">
        <f t="shared" si="13"/>
        <v>2497.3689000000004</v>
      </c>
      <c r="R139" s="208">
        <f t="shared" si="14"/>
        <v>0</v>
      </c>
      <c r="S139" s="208">
        <f t="shared" si="15"/>
        <v>0</v>
      </c>
      <c r="T139" s="208">
        <f t="shared" si="16"/>
        <v>0</v>
      </c>
      <c r="U139" s="208">
        <f t="shared" si="17"/>
        <v>0</v>
      </c>
      <c r="V139" s="208">
        <f t="shared" si="18"/>
        <v>0</v>
      </c>
      <c r="W139" s="208"/>
      <c r="X139" s="209"/>
      <c r="Y139" s="209">
        <f t="shared" si="19"/>
        <v>0</v>
      </c>
      <c r="Z139" s="210">
        <f t="shared" si="20"/>
        <v>2497.3689000000004</v>
      </c>
      <c r="AA139" s="167"/>
    </row>
    <row r="140" spans="2:27" ht="56.25" x14ac:dyDescent="0.25">
      <c r="B140" s="203" t="s">
        <v>375</v>
      </c>
      <c r="C140" s="211">
        <v>91786</v>
      </c>
      <c r="D140" s="205" t="s">
        <v>377</v>
      </c>
      <c r="E140" s="217" t="s">
        <v>37</v>
      </c>
      <c r="F140" s="92">
        <v>30.41</v>
      </c>
      <c r="G140" s="206">
        <v>24.75</v>
      </c>
      <c r="H140" s="29"/>
      <c r="I140" s="207"/>
      <c r="J140" s="29"/>
      <c r="K140" s="207"/>
      <c r="L140" s="207"/>
      <c r="M140" s="207"/>
      <c r="N140" s="206"/>
      <c r="O140" s="206">
        <f t="shared" si="11"/>
        <v>0</v>
      </c>
      <c r="P140" s="206">
        <f t="shared" si="12"/>
        <v>24.75</v>
      </c>
      <c r="Q140" s="206">
        <f t="shared" si="13"/>
        <v>752.64750000000004</v>
      </c>
      <c r="R140" s="208">
        <f t="shared" si="14"/>
        <v>0</v>
      </c>
      <c r="S140" s="208">
        <f t="shared" si="15"/>
        <v>0</v>
      </c>
      <c r="T140" s="208">
        <f t="shared" si="16"/>
        <v>0</v>
      </c>
      <c r="U140" s="208">
        <f t="shared" si="17"/>
        <v>0</v>
      </c>
      <c r="V140" s="208">
        <f t="shared" si="18"/>
        <v>0</v>
      </c>
      <c r="W140" s="208"/>
      <c r="X140" s="209"/>
      <c r="Y140" s="209">
        <f t="shared" si="19"/>
        <v>0</v>
      </c>
      <c r="Z140" s="210">
        <f t="shared" si="20"/>
        <v>752.64750000000004</v>
      </c>
      <c r="AA140" s="167"/>
    </row>
    <row r="141" spans="2:27" ht="56.25" x14ac:dyDescent="0.25">
      <c r="B141" s="203" t="s">
        <v>378</v>
      </c>
      <c r="C141" s="211">
        <v>91787</v>
      </c>
      <c r="D141" s="205" t="s">
        <v>380</v>
      </c>
      <c r="E141" s="217" t="s">
        <v>37</v>
      </c>
      <c r="F141" s="92">
        <v>36.86</v>
      </c>
      <c r="G141" s="206">
        <v>25.92</v>
      </c>
      <c r="H141" s="29"/>
      <c r="I141" s="207"/>
      <c r="J141" s="29"/>
      <c r="K141" s="207"/>
      <c r="L141" s="207"/>
      <c r="M141" s="207"/>
      <c r="N141" s="206"/>
      <c r="O141" s="206">
        <f t="shared" si="11"/>
        <v>0</v>
      </c>
      <c r="P141" s="206">
        <f t="shared" si="12"/>
        <v>25.92</v>
      </c>
      <c r="Q141" s="206">
        <f t="shared" si="13"/>
        <v>955.41120000000001</v>
      </c>
      <c r="R141" s="208">
        <f t="shared" si="14"/>
        <v>0</v>
      </c>
      <c r="S141" s="208">
        <f t="shared" si="15"/>
        <v>0</v>
      </c>
      <c r="T141" s="208">
        <f t="shared" si="16"/>
        <v>0</v>
      </c>
      <c r="U141" s="208">
        <f t="shared" si="17"/>
        <v>0</v>
      </c>
      <c r="V141" s="208">
        <f t="shared" si="18"/>
        <v>0</v>
      </c>
      <c r="W141" s="208"/>
      <c r="X141" s="209"/>
      <c r="Y141" s="209">
        <f t="shared" si="19"/>
        <v>0</v>
      </c>
      <c r="Z141" s="210">
        <f t="shared" si="20"/>
        <v>955.41120000000001</v>
      </c>
      <c r="AA141" s="167"/>
    </row>
    <row r="142" spans="2:27" ht="33.75" x14ac:dyDescent="0.25">
      <c r="B142" s="203" t="s">
        <v>381</v>
      </c>
      <c r="C142" s="211">
        <v>89987</v>
      </c>
      <c r="D142" s="205" t="s">
        <v>383</v>
      </c>
      <c r="E142" s="217" t="s">
        <v>166</v>
      </c>
      <c r="F142" s="92">
        <v>102.73</v>
      </c>
      <c r="G142" s="206">
        <v>10</v>
      </c>
      <c r="H142" s="29"/>
      <c r="I142" s="207"/>
      <c r="J142" s="29"/>
      <c r="K142" s="207"/>
      <c r="L142" s="207"/>
      <c r="M142" s="207"/>
      <c r="N142" s="206"/>
      <c r="O142" s="206">
        <f t="shared" si="11"/>
        <v>0</v>
      </c>
      <c r="P142" s="206">
        <f t="shared" si="12"/>
        <v>10</v>
      </c>
      <c r="Q142" s="206">
        <f t="shared" si="13"/>
        <v>1027.3</v>
      </c>
      <c r="R142" s="208">
        <f t="shared" si="14"/>
        <v>0</v>
      </c>
      <c r="S142" s="208">
        <f t="shared" si="15"/>
        <v>0</v>
      </c>
      <c r="T142" s="208">
        <f t="shared" si="16"/>
        <v>0</v>
      </c>
      <c r="U142" s="208">
        <f t="shared" si="17"/>
        <v>0</v>
      </c>
      <c r="V142" s="208">
        <f t="shared" si="18"/>
        <v>0</v>
      </c>
      <c r="W142" s="208"/>
      <c r="X142" s="209"/>
      <c r="Y142" s="209">
        <f t="shared" si="19"/>
        <v>0</v>
      </c>
      <c r="Z142" s="210">
        <f t="shared" si="20"/>
        <v>1027.3</v>
      </c>
      <c r="AA142" s="167"/>
    </row>
    <row r="143" spans="2:27" ht="22.5" x14ac:dyDescent="0.25">
      <c r="B143" s="203" t="s">
        <v>384</v>
      </c>
      <c r="C143" s="211">
        <v>94490</v>
      </c>
      <c r="D143" s="205" t="s">
        <v>386</v>
      </c>
      <c r="E143" s="217" t="s">
        <v>166</v>
      </c>
      <c r="F143" s="92">
        <v>29.96</v>
      </c>
      <c r="G143" s="206">
        <v>2</v>
      </c>
      <c r="H143" s="29"/>
      <c r="I143" s="207"/>
      <c r="J143" s="29"/>
      <c r="K143" s="207"/>
      <c r="L143" s="207"/>
      <c r="M143" s="207"/>
      <c r="N143" s="206"/>
      <c r="O143" s="206">
        <f t="shared" ref="O143:O195" si="21">H143+I143+J143+K143+L143+M143+N143</f>
        <v>0</v>
      </c>
      <c r="P143" s="206">
        <f t="shared" ref="P143:P195" si="22">G143-O143</f>
        <v>2</v>
      </c>
      <c r="Q143" s="206">
        <f t="shared" ref="Q143:Q195" si="23">F143*G143</f>
        <v>59.92</v>
      </c>
      <c r="R143" s="208">
        <f t="shared" ref="R143:R195" si="24">F143*H143</f>
        <v>0</v>
      </c>
      <c r="S143" s="208">
        <f t="shared" ref="S143:S195" si="25">F143*I143</f>
        <v>0</v>
      </c>
      <c r="T143" s="208">
        <f t="shared" ref="T143:T195" si="26">F143*J143</f>
        <v>0</v>
      </c>
      <c r="U143" s="208">
        <f t="shared" ref="U143:U195" si="27">TRUNC(F143*K143,2)</f>
        <v>0</v>
      </c>
      <c r="V143" s="208">
        <f t="shared" ref="V143:V195" si="28">TRUNC(F143*L143,2)</f>
        <v>0</v>
      </c>
      <c r="W143" s="208"/>
      <c r="X143" s="209"/>
      <c r="Y143" s="209">
        <f t="shared" ref="Y143:Y195" si="29">R143+S143+T143+U143+V143+W143</f>
        <v>0</v>
      </c>
      <c r="Z143" s="210">
        <f t="shared" ref="Z143:Z196" si="30">Q143-Y143</f>
        <v>59.92</v>
      </c>
      <c r="AA143" s="167"/>
    </row>
    <row r="144" spans="2:27" ht="33.75" x14ac:dyDescent="0.25">
      <c r="B144" s="203" t="s">
        <v>387</v>
      </c>
      <c r="C144" s="211">
        <v>89985</v>
      </c>
      <c r="D144" s="205" t="s">
        <v>389</v>
      </c>
      <c r="E144" s="217" t="s">
        <v>166</v>
      </c>
      <c r="F144" s="92">
        <v>97.38</v>
      </c>
      <c r="G144" s="206">
        <v>6</v>
      </c>
      <c r="H144" s="29"/>
      <c r="I144" s="207"/>
      <c r="J144" s="29"/>
      <c r="K144" s="207"/>
      <c r="L144" s="207"/>
      <c r="M144" s="207"/>
      <c r="N144" s="206"/>
      <c r="O144" s="206">
        <f t="shared" si="21"/>
        <v>0</v>
      </c>
      <c r="P144" s="206">
        <f t="shared" si="22"/>
        <v>6</v>
      </c>
      <c r="Q144" s="206">
        <f t="shared" si="23"/>
        <v>584.28</v>
      </c>
      <c r="R144" s="208">
        <f t="shared" si="24"/>
        <v>0</v>
      </c>
      <c r="S144" s="208">
        <f t="shared" si="25"/>
        <v>0</v>
      </c>
      <c r="T144" s="208">
        <f t="shared" si="26"/>
        <v>0</v>
      </c>
      <c r="U144" s="208">
        <f t="shared" si="27"/>
        <v>0</v>
      </c>
      <c r="V144" s="208">
        <f t="shared" si="28"/>
        <v>0</v>
      </c>
      <c r="W144" s="208"/>
      <c r="X144" s="209"/>
      <c r="Y144" s="209">
        <f t="shared" si="29"/>
        <v>0</v>
      </c>
      <c r="Z144" s="210">
        <f t="shared" si="30"/>
        <v>584.28</v>
      </c>
      <c r="AA144" s="167"/>
    </row>
    <row r="145" spans="2:27" ht="33.75" x14ac:dyDescent="0.25">
      <c r="B145" s="203" t="s">
        <v>390</v>
      </c>
      <c r="C145" s="211">
        <v>102613</v>
      </c>
      <c r="D145" s="205" t="s">
        <v>392</v>
      </c>
      <c r="E145" s="217" t="s">
        <v>166</v>
      </c>
      <c r="F145" s="92">
        <v>742.5</v>
      </c>
      <c r="G145" s="206">
        <v>2</v>
      </c>
      <c r="H145" s="29"/>
      <c r="I145" s="207"/>
      <c r="J145" s="29"/>
      <c r="K145" s="207"/>
      <c r="L145" s="207"/>
      <c r="M145" s="207"/>
      <c r="N145" s="206"/>
      <c r="O145" s="206">
        <f t="shared" si="21"/>
        <v>0</v>
      </c>
      <c r="P145" s="206">
        <f t="shared" si="22"/>
        <v>2</v>
      </c>
      <c r="Q145" s="206">
        <f t="shared" si="23"/>
        <v>1485</v>
      </c>
      <c r="R145" s="208">
        <f t="shared" si="24"/>
        <v>0</v>
      </c>
      <c r="S145" s="208">
        <f t="shared" si="25"/>
        <v>0</v>
      </c>
      <c r="T145" s="208">
        <f t="shared" si="26"/>
        <v>0</v>
      </c>
      <c r="U145" s="208">
        <f t="shared" si="27"/>
        <v>0</v>
      </c>
      <c r="V145" s="208">
        <f t="shared" si="28"/>
        <v>0</v>
      </c>
      <c r="W145" s="208"/>
      <c r="X145" s="209"/>
      <c r="Y145" s="209">
        <f t="shared" si="29"/>
        <v>0</v>
      </c>
      <c r="Z145" s="210">
        <f t="shared" si="30"/>
        <v>1485</v>
      </c>
      <c r="AA145" s="167"/>
    </row>
    <row r="146" spans="2:27" ht="22.5" x14ac:dyDescent="0.25">
      <c r="B146" s="203" t="s">
        <v>393</v>
      </c>
      <c r="C146" s="211">
        <v>102609</v>
      </c>
      <c r="D146" s="205" t="s">
        <v>395</v>
      </c>
      <c r="E146" s="217" t="s">
        <v>166</v>
      </c>
      <c r="F146" s="92">
        <v>1379.9</v>
      </c>
      <c r="G146" s="206">
        <v>2</v>
      </c>
      <c r="H146" s="29"/>
      <c r="I146" s="207"/>
      <c r="J146" s="29"/>
      <c r="K146" s="207"/>
      <c r="L146" s="207"/>
      <c r="M146" s="207"/>
      <c r="N146" s="206"/>
      <c r="O146" s="206">
        <f t="shared" si="21"/>
        <v>0</v>
      </c>
      <c r="P146" s="206">
        <f t="shared" si="22"/>
        <v>2</v>
      </c>
      <c r="Q146" s="206">
        <f t="shared" si="23"/>
        <v>2759.8</v>
      </c>
      <c r="R146" s="208">
        <f t="shared" si="24"/>
        <v>0</v>
      </c>
      <c r="S146" s="208">
        <f t="shared" si="25"/>
        <v>0</v>
      </c>
      <c r="T146" s="208">
        <f t="shared" si="26"/>
        <v>0</v>
      </c>
      <c r="U146" s="208">
        <f t="shared" si="27"/>
        <v>0</v>
      </c>
      <c r="V146" s="208">
        <f t="shared" si="28"/>
        <v>0</v>
      </c>
      <c r="W146" s="208"/>
      <c r="X146" s="209"/>
      <c r="Y146" s="209">
        <f t="shared" si="29"/>
        <v>0</v>
      </c>
      <c r="Z146" s="210">
        <f t="shared" si="30"/>
        <v>2759.8</v>
      </c>
      <c r="AA146" s="167"/>
    </row>
    <row r="147" spans="2:27" ht="22.5" x14ac:dyDescent="0.25">
      <c r="B147" s="203" t="s">
        <v>396</v>
      </c>
      <c r="C147" s="211">
        <v>94796</v>
      </c>
      <c r="D147" s="205" t="s">
        <v>398</v>
      </c>
      <c r="E147" s="217" t="s">
        <v>166</v>
      </c>
      <c r="F147" s="92">
        <v>47</v>
      </c>
      <c r="G147" s="206">
        <v>4</v>
      </c>
      <c r="H147" s="29"/>
      <c r="I147" s="207"/>
      <c r="J147" s="29"/>
      <c r="K147" s="207"/>
      <c r="L147" s="207"/>
      <c r="M147" s="207"/>
      <c r="N147" s="206"/>
      <c r="O147" s="206">
        <f t="shared" si="21"/>
        <v>0</v>
      </c>
      <c r="P147" s="206">
        <f t="shared" si="22"/>
        <v>4</v>
      </c>
      <c r="Q147" s="206">
        <f t="shared" si="23"/>
        <v>188</v>
      </c>
      <c r="R147" s="208">
        <f t="shared" si="24"/>
        <v>0</v>
      </c>
      <c r="S147" s="208">
        <f t="shared" si="25"/>
        <v>0</v>
      </c>
      <c r="T147" s="208">
        <f t="shared" si="26"/>
        <v>0</v>
      </c>
      <c r="U147" s="208">
        <f t="shared" si="27"/>
        <v>0</v>
      </c>
      <c r="V147" s="208">
        <f t="shared" si="28"/>
        <v>0</v>
      </c>
      <c r="W147" s="208"/>
      <c r="X147" s="209"/>
      <c r="Y147" s="209">
        <f t="shared" si="29"/>
        <v>0</v>
      </c>
      <c r="Z147" s="210">
        <f t="shared" si="30"/>
        <v>188</v>
      </c>
      <c r="AA147" s="167"/>
    </row>
    <row r="148" spans="2:27" ht="22.5" x14ac:dyDescent="0.25">
      <c r="B148" s="203" t="s">
        <v>399</v>
      </c>
      <c r="C148" s="211">
        <v>94491</v>
      </c>
      <c r="D148" s="205" t="s">
        <v>401</v>
      </c>
      <c r="E148" s="217" t="s">
        <v>166</v>
      </c>
      <c r="F148" s="92">
        <v>40.99</v>
      </c>
      <c r="G148" s="206">
        <v>4</v>
      </c>
      <c r="H148" s="29"/>
      <c r="I148" s="207"/>
      <c r="J148" s="29"/>
      <c r="K148" s="207"/>
      <c r="L148" s="207"/>
      <c r="M148" s="207"/>
      <c r="N148" s="206"/>
      <c r="O148" s="206">
        <f t="shared" si="21"/>
        <v>0</v>
      </c>
      <c r="P148" s="206">
        <f t="shared" si="22"/>
        <v>4</v>
      </c>
      <c r="Q148" s="206">
        <f t="shared" si="23"/>
        <v>163.96</v>
      </c>
      <c r="R148" s="208">
        <f t="shared" si="24"/>
        <v>0</v>
      </c>
      <c r="S148" s="208">
        <f t="shared" si="25"/>
        <v>0</v>
      </c>
      <c r="T148" s="208">
        <f t="shared" si="26"/>
        <v>0</v>
      </c>
      <c r="U148" s="208">
        <f t="shared" si="27"/>
        <v>0</v>
      </c>
      <c r="V148" s="208">
        <f t="shared" si="28"/>
        <v>0</v>
      </c>
      <c r="W148" s="208"/>
      <c r="X148" s="209"/>
      <c r="Y148" s="209">
        <f t="shared" si="29"/>
        <v>0</v>
      </c>
      <c r="Z148" s="210">
        <f t="shared" si="30"/>
        <v>163.96</v>
      </c>
      <c r="AA148" s="167"/>
    </row>
    <row r="149" spans="2:27" ht="22.5" x14ac:dyDescent="0.25">
      <c r="B149" s="203" t="s">
        <v>402</v>
      </c>
      <c r="C149" s="211">
        <v>94492</v>
      </c>
      <c r="D149" s="205" t="s">
        <v>404</v>
      </c>
      <c r="E149" s="217" t="s">
        <v>166</v>
      </c>
      <c r="F149" s="92">
        <v>42.12</v>
      </c>
      <c r="G149" s="206">
        <v>2</v>
      </c>
      <c r="H149" s="29"/>
      <c r="I149" s="207"/>
      <c r="J149" s="29"/>
      <c r="K149" s="207"/>
      <c r="L149" s="207"/>
      <c r="M149" s="207"/>
      <c r="N149" s="206"/>
      <c r="O149" s="206">
        <f t="shared" si="21"/>
        <v>0</v>
      </c>
      <c r="P149" s="206">
        <f t="shared" si="22"/>
        <v>2</v>
      </c>
      <c r="Q149" s="206">
        <f t="shared" si="23"/>
        <v>84.24</v>
      </c>
      <c r="R149" s="208">
        <f t="shared" si="24"/>
        <v>0</v>
      </c>
      <c r="S149" s="208">
        <f t="shared" si="25"/>
        <v>0</v>
      </c>
      <c r="T149" s="208">
        <f t="shared" si="26"/>
        <v>0</v>
      </c>
      <c r="U149" s="208">
        <f t="shared" si="27"/>
        <v>0</v>
      </c>
      <c r="V149" s="208">
        <f t="shared" si="28"/>
        <v>0</v>
      </c>
      <c r="W149" s="208"/>
      <c r="X149" s="209"/>
      <c r="Y149" s="209">
        <f t="shared" si="29"/>
        <v>0</v>
      </c>
      <c r="Z149" s="210">
        <f t="shared" si="30"/>
        <v>84.24</v>
      </c>
      <c r="AA149" s="167"/>
    </row>
    <row r="150" spans="2:27" ht="22.5" x14ac:dyDescent="0.25">
      <c r="B150" s="203" t="s">
        <v>405</v>
      </c>
      <c r="C150" s="211">
        <v>95675</v>
      </c>
      <c r="D150" s="205" t="s">
        <v>407</v>
      </c>
      <c r="E150" s="217" t="s">
        <v>166</v>
      </c>
      <c r="F150" s="92">
        <v>147.76</v>
      </c>
      <c r="G150" s="206">
        <v>1</v>
      </c>
      <c r="H150" s="29"/>
      <c r="I150" s="207"/>
      <c r="J150" s="29"/>
      <c r="K150" s="207"/>
      <c r="L150" s="207"/>
      <c r="M150" s="207"/>
      <c r="N150" s="206"/>
      <c r="O150" s="206">
        <f t="shared" si="21"/>
        <v>0</v>
      </c>
      <c r="P150" s="206">
        <f t="shared" si="22"/>
        <v>1</v>
      </c>
      <c r="Q150" s="206">
        <f t="shared" si="23"/>
        <v>147.76</v>
      </c>
      <c r="R150" s="208">
        <f t="shared" si="24"/>
        <v>0</v>
      </c>
      <c r="S150" s="208">
        <f t="shared" si="25"/>
        <v>0</v>
      </c>
      <c r="T150" s="208">
        <f t="shared" si="26"/>
        <v>0</v>
      </c>
      <c r="U150" s="208">
        <f t="shared" si="27"/>
        <v>0</v>
      </c>
      <c r="V150" s="208">
        <f t="shared" si="28"/>
        <v>0</v>
      </c>
      <c r="W150" s="208"/>
      <c r="X150" s="209"/>
      <c r="Y150" s="209">
        <f t="shared" si="29"/>
        <v>0</v>
      </c>
      <c r="Z150" s="210">
        <f t="shared" si="30"/>
        <v>147.76</v>
      </c>
      <c r="AA150" s="167"/>
    </row>
    <row r="151" spans="2:27" ht="45" x14ac:dyDescent="0.25">
      <c r="B151" s="203" t="s">
        <v>408</v>
      </c>
      <c r="C151" s="211">
        <v>97902</v>
      </c>
      <c r="D151" s="205" t="s">
        <v>410</v>
      </c>
      <c r="E151" s="217" t="s">
        <v>166</v>
      </c>
      <c r="F151" s="92">
        <v>503.94</v>
      </c>
      <c r="G151" s="206">
        <v>7</v>
      </c>
      <c r="H151" s="29"/>
      <c r="I151" s="207"/>
      <c r="J151" s="29"/>
      <c r="K151" s="207"/>
      <c r="L151" s="207"/>
      <c r="M151" s="207"/>
      <c r="N151" s="206"/>
      <c r="O151" s="206">
        <f t="shared" si="21"/>
        <v>0</v>
      </c>
      <c r="P151" s="206">
        <f t="shared" si="22"/>
        <v>7</v>
      </c>
      <c r="Q151" s="206">
        <f t="shared" si="23"/>
        <v>3527.58</v>
      </c>
      <c r="R151" s="208">
        <f t="shared" si="24"/>
        <v>0</v>
      </c>
      <c r="S151" s="208">
        <f t="shared" si="25"/>
        <v>0</v>
      </c>
      <c r="T151" s="208">
        <f t="shared" si="26"/>
        <v>0</v>
      </c>
      <c r="U151" s="208">
        <f t="shared" si="27"/>
        <v>0</v>
      </c>
      <c r="V151" s="208">
        <f t="shared" si="28"/>
        <v>0</v>
      </c>
      <c r="W151" s="208"/>
      <c r="X151" s="209"/>
      <c r="Y151" s="209">
        <f t="shared" si="29"/>
        <v>0</v>
      </c>
      <c r="Z151" s="210">
        <f t="shared" si="30"/>
        <v>3527.58</v>
      </c>
      <c r="AA151" s="167"/>
    </row>
    <row r="152" spans="2:27" ht="45" x14ac:dyDescent="0.25">
      <c r="B152" s="203" t="s">
        <v>411</v>
      </c>
      <c r="C152" s="211">
        <v>99258</v>
      </c>
      <c r="D152" s="205" t="s">
        <v>413</v>
      </c>
      <c r="E152" s="217" t="s">
        <v>166</v>
      </c>
      <c r="F152" s="92">
        <v>206.7</v>
      </c>
      <c r="G152" s="206">
        <v>1</v>
      </c>
      <c r="H152" s="29"/>
      <c r="I152" s="207"/>
      <c r="J152" s="29"/>
      <c r="K152" s="207"/>
      <c r="L152" s="207"/>
      <c r="M152" s="207"/>
      <c r="N152" s="206"/>
      <c r="O152" s="206">
        <f t="shared" si="21"/>
        <v>0</v>
      </c>
      <c r="P152" s="206">
        <f t="shared" si="22"/>
        <v>1</v>
      </c>
      <c r="Q152" s="206">
        <f t="shared" si="23"/>
        <v>206.7</v>
      </c>
      <c r="R152" s="208">
        <f t="shared" si="24"/>
        <v>0</v>
      </c>
      <c r="S152" s="208">
        <f t="shared" si="25"/>
        <v>0</v>
      </c>
      <c r="T152" s="208">
        <f t="shared" si="26"/>
        <v>0</v>
      </c>
      <c r="U152" s="208">
        <f t="shared" si="27"/>
        <v>0</v>
      </c>
      <c r="V152" s="208">
        <f t="shared" si="28"/>
        <v>0</v>
      </c>
      <c r="W152" s="208"/>
      <c r="X152" s="209"/>
      <c r="Y152" s="209">
        <f t="shared" si="29"/>
        <v>0</v>
      </c>
      <c r="Z152" s="210">
        <f t="shared" si="30"/>
        <v>206.7</v>
      </c>
      <c r="AA152" s="167"/>
    </row>
    <row r="153" spans="2:27" ht="33.75" x14ac:dyDescent="0.25">
      <c r="B153" s="203" t="s">
        <v>414</v>
      </c>
      <c r="C153" s="211">
        <v>89482</v>
      </c>
      <c r="D153" s="205" t="s">
        <v>416</v>
      </c>
      <c r="E153" s="217" t="s">
        <v>166</v>
      </c>
      <c r="F153" s="92">
        <v>32.83</v>
      </c>
      <c r="G153" s="206">
        <v>10</v>
      </c>
      <c r="H153" s="29"/>
      <c r="I153" s="207"/>
      <c r="J153" s="29"/>
      <c r="K153" s="207"/>
      <c r="L153" s="207"/>
      <c r="M153" s="207"/>
      <c r="N153" s="206"/>
      <c r="O153" s="206">
        <f t="shared" si="21"/>
        <v>0</v>
      </c>
      <c r="P153" s="206">
        <f t="shared" si="22"/>
        <v>10</v>
      </c>
      <c r="Q153" s="206">
        <f t="shared" si="23"/>
        <v>328.29999999999995</v>
      </c>
      <c r="R153" s="208">
        <f t="shared" si="24"/>
        <v>0</v>
      </c>
      <c r="S153" s="208">
        <f t="shared" si="25"/>
        <v>0</v>
      </c>
      <c r="T153" s="208">
        <f t="shared" si="26"/>
        <v>0</v>
      </c>
      <c r="U153" s="208">
        <f t="shared" si="27"/>
        <v>0</v>
      </c>
      <c r="V153" s="208">
        <f t="shared" si="28"/>
        <v>0</v>
      </c>
      <c r="W153" s="208"/>
      <c r="X153" s="209"/>
      <c r="Y153" s="209">
        <f t="shared" si="29"/>
        <v>0</v>
      </c>
      <c r="Z153" s="210">
        <f t="shared" si="30"/>
        <v>328.29999999999995</v>
      </c>
      <c r="AA153" s="167"/>
    </row>
    <row r="154" spans="2:27" ht="56.25" x14ac:dyDescent="0.25">
      <c r="B154" s="203" t="s">
        <v>417</v>
      </c>
      <c r="C154" s="211">
        <v>91792</v>
      </c>
      <c r="D154" s="205" t="s">
        <v>419</v>
      </c>
      <c r="E154" s="217" t="s">
        <v>37</v>
      </c>
      <c r="F154" s="92">
        <v>54.23</v>
      </c>
      <c r="G154" s="206">
        <v>38.85</v>
      </c>
      <c r="H154" s="29"/>
      <c r="I154" s="207"/>
      <c r="J154" s="29"/>
      <c r="K154" s="207"/>
      <c r="L154" s="207"/>
      <c r="M154" s="207"/>
      <c r="N154" s="206"/>
      <c r="O154" s="206">
        <f t="shared" si="21"/>
        <v>0</v>
      </c>
      <c r="P154" s="206">
        <f t="shared" si="22"/>
        <v>38.85</v>
      </c>
      <c r="Q154" s="206">
        <f t="shared" si="23"/>
        <v>2106.8355000000001</v>
      </c>
      <c r="R154" s="208">
        <f t="shared" si="24"/>
        <v>0</v>
      </c>
      <c r="S154" s="208">
        <f t="shared" si="25"/>
        <v>0</v>
      </c>
      <c r="T154" s="208">
        <f t="shared" si="26"/>
        <v>0</v>
      </c>
      <c r="U154" s="208">
        <f t="shared" si="27"/>
        <v>0</v>
      </c>
      <c r="V154" s="208">
        <f t="shared" si="28"/>
        <v>0</v>
      </c>
      <c r="W154" s="208"/>
      <c r="X154" s="209"/>
      <c r="Y154" s="209">
        <f t="shared" si="29"/>
        <v>0</v>
      </c>
      <c r="Z154" s="210">
        <f t="shared" si="30"/>
        <v>2106.8355000000001</v>
      </c>
      <c r="AA154" s="167"/>
    </row>
    <row r="155" spans="2:27" ht="56.25" x14ac:dyDescent="0.25">
      <c r="B155" s="203" t="s">
        <v>420</v>
      </c>
      <c r="C155" s="211">
        <v>91793</v>
      </c>
      <c r="D155" s="205" t="s">
        <v>422</v>
      </c>
      <c r="E155" s="217" t="s">
        <v>37</v>
      </c>
      <c r="F155" s="92">
        <v>87.3</v>
      </c>
      <c r="G155" s="206">
        <v>46.51</v>
      </c>
      <c r="H155" s="29"/>
      <c r="I155" s="207"/>
      <c r="J155" s="29"/>
      <c r="K155" s="207"/>
      <c r="L155" s="207"/>
      <c r="M155" s="207"/>
      <c r="N155" s="206"/>
      <c r="O155" s="206">
        <f t="shared" si="21"/>
        <v>0</v>
      </c>
      <c r="P155" s="206">
        <f t="shared" si="22"/>
        <v>46.51</v>
      </c>
      <c r="Q155" s="206">
        <f t="shared" si="23"/>
        <v>4060.3229999999999</v>
      </c>
      <c r="R155" s="208">
        <f t="shared" si="24"/>
        <v>0</v>
      </c>
      <c r="S155" s="208">
        <f t="shared" si="25"/>
        <v>0</v>
      </c>
      <c r="T155" s="208">
        <f t="shared" si="26"/>
        <v>0</v>
      </c>
      <c r="U155" s="208">
        <f t="shared" si="27"/>
        <v>0</v>
      </c>
      <c r="V155" s="208">
        <f t="shared" si="28"/>
        <v>0</v>
      </c>
      <c r="W155" s="208"/>
      <c r="X155" s="209"/>
      <c r="Y155" s="209">
        <f t="shared" si="29"/>
        <v>0</v>
      </c>
      <c r="Z155" s="210">
        <f t="shared" si="30"/>
        <v>4060.3229999999999</v>
      </c>
      <c r="AA155" s="167"/>
    </row>
    <row r="156" spans="2:27" ht="45" x14ac:dyDescent="0.25">
      <c r="B156" s="203" t="s">
        <v>423</v>
      </c>
      <c r="C156" s="211">
        <v>98107</v>
      </c>
      <c r="D156" s="205" t="s">
        <v>425</v>
      </c>
      <c r="E156" s="217" t="s">
        <v>166</v>
      </c>
      <c r="F156" s="92">
        <v>243.02</v>
      </c>
      <c r="G156" s="206">
        <v>1</v>
      </c>
      <c r="H156" s="29"/>
      <c r="I156" s="207"/>
      <c r="J156" s="29"/>
      <c r="K156" s="207"/>
      <c r="L156" s="207"/>
      <c r="M156" s="207"/>
      <c r="N156" s="206"/>
      <c r="O156" s="206">
        <f t="shared" si="21"/>
        <v>0</v>
      </c>
      <c r="P156" s="206">
        <f t="shared" si="22"/>
        <v>1</v>
      </c>
      <c r="Q156" s="206">
        <f t="shared" si="23"/>
        <v>243.02</v>
      </c>
      <c r="R156" s="208">
        <f t="shared" si="24"/>
        <v>0</v>
      </c>
      <c r="S156" s="208">
        <f t="shared" si="25"/>
        <v>0</v>
      </c>
      <c r="T156" s="208">
        <f t="shared" si="26"/>
        <v>0</v>
      </c>
      <c r="U156" s="208">
        <f t="shared" si="27"/>
        <v>0</v>
      </c>
      <c r="V156" s="208">
        <f t="shared" si="28"/>
        <v>0</v>
      </c>
      <c r="W156" s="208"/>
      <c r="X156" s="209"/>
      <c r="Y156" s="209">
        <f t="shared" si="29"/>
        <v>0</v>
      </c>
      <c r="Z156" s="210">
        <f t="shared" si="30"/>
        <v>243.02</v>
      </c>
      <c r="AA156" s="167"/>
    </row>
    <row r="157" spans="2:27" ht="56.25" x14ac:dyDescent="0.25">
      <c r="B157" s="203" t="s">
        <v>426</v>
      </c>
      <c r="C157" s="211">
        <v>91795</v>
      </c>
      <c r="D157" s="205" t="s">
        <v>428</v>
      </c>
      <c r="E157" s="217" t="s">
        <v>37</v>
      </c>
      <c r="F157" s="92">
        <v>65.239999999999995</v>
      </c>
      <c r="G157" s="206">
        <v>132.77000000000001</v>
      </c>
      <c r="H157" s="29"/>
      <c r="I157" s="207"/>
      <c r="J157" s="29"/>
      <c r="K157" s="207"/>
      <c r="L157" s="207"/>
      <c r="M157" s="207"/>
      <c r="N157" s="206"/>
      <c r="O157" s="206">
        <f t="shared" si="21"/>
        <v>0</v>
      </c>
      <c r="P157" s="206">
        <f t="shared" si="22"/>
        <v>132.77000000000001</v>
      </c>
      <c r="Q157" s="206">
        <f t="shared" si="23"/>
        <v>8661.9148000000005</v>
      </c>
      <c r="R157" s="208">
        <f t="shared" si="24"/>
        <v>0</v>
      </c>
      <c r="S157" s="208">
        <f t="shared" si="25"/>
        <v>0</v>
      </c>
      <c r="T157" s="208">
        <f t="shared" si="26"/>
        <v>0</v>
      </c>
      <c r="U157" s="208">
        <f t="shared" si="27"/>
        <v>0</v>
      </c>
      <c r="V157" s="208">
        <f t="shared" si="28"/>
        <v>0</v>
      </c>
      <c r="W157" s="208"/>
      <c r="X157" s="209"/>
      <c r="Y157" s="209">
        <f t="shared" si="29"/>
        <v>0</v>
      </c>
      <c r="Z157" s="210">
        <f t="shared" si="30"/>
        <v>8661.9148000000005</v>
      </c>
      <c r="AA157" s="167"/>
    </row>
    <row r="158" spans="2:27" ht="45" x14ac:dyDescent="0.25">
      <c r="B158" s="203" t="s">
        <v>429</v>
      </c>
      <c r="C158" s="211">
        <v>99251</v>
      </c>
      <c r="D158" s="215" t="s">
        <v>431</v>
      </c>
      <c r="E158" s="217" t="s">
        <v>166</v>
      </c>
      <c r="F158" s="92">
        <v>247.12</v>
      </c>
      <c r="G158" s="206">
        <v>2</v>
      </c>
      <c r="H158" s="29"/>
      <c r="I158" s="216"/>
      <c r="J158" s="29"/>
      <c r="K158" s="216"/>
      <c r="L158" s="216"/>
      <c r="M158" s="216"/>
      <c r="N158" s="216"/>
      <c r="O158" s="206">
        <f t="shared" si="21"/>
        <v>0</v>
      </c>
      <c r="P158" s="206">
        <f t="shared" si="22"/>
        <v>2</v>
      </c>
      <c r="Q158" s="206">
        <f t="shared" si="23"/>
        <v>494.24</v>
      </c>
      <c r="R158" s="208">
        <f t="shared" si="24"/>
        <v>0</v>
      </c>
      <c r="S158" s="208">
        <f t="shared" si="25"/>
        <v>0</v>
      </c>
      <c r="T158" s="208">
        <f t="shared" si="26"/>
        <v>0</v>
      </c>
      <c r="U158" s="208">
        <f t="shared" si="27"/>
        <v>0</v>
      </c>
      <c r="V158" s="208">
        <f t="shared" si="28"/>
        <v>0</v>
      </c>
      <c r="W158" s="208"/>
      <c r="X158" s="209"/>
      <c r="Y158" s="209">
        <f t="shared" si="29"/>
        <v>0</v>
      </c>
      <c r="Z158" s="210">
        <f t="shared" si="30"/>
        <v>494.24</v>
      </c>
      <c r="AA158" s="167"/>
    </row>
    <row r="159" spans="2:27" ht="56.25" x14ac:dyDescent="0.25">
      <c r="B159" s="203" t="s">
        <v>432</v>
      </c>
      <c r="C159" s="211">
        <v>91790</v>
      </c>
      <c r="D159" s="215" t="s">
        <v>434</v>
      </c>
      <c r="E159" s="217" t="s">
        <v>37</v>
      </c>
      <c r="F159" s="92">
        <v>56.42</v>
      </c>
      <c r="G159" s="206">
        <v>43.01</v>
      </c>
      <c r="H159" s="29"/>
      <c r="I159" s="216"/>
      <c r="J159" s="29"/>
      <c r="K159" s="216"/>
      <c r="L159" s="216"/>
      <c r="M159" s="216"/>
      <c r="N159" s="216"/>
      <c r="O159" s="206">
        <f t="shared" si="21"/>
        <v>0</v>
      </c>
      <c r="P159" s="206">
        <f t="shared" si="22"/>
        <v>43.01</v>
      </c>
      <c r="Q159" s="206">
        <f t="shared" si="23"/>
        <v>2426.6241999999997</v>
      </c>
      <c r="R159" s="208">
        <f t="shared" si="24"/>
        <v>0</v>
      </c>
      <c r="S159" s="208">
        <f t="shared" si="25"/>
        <v>0</v>
      </c>
      <c r="T159" s="208">
        <f t="shared" si="26"/>
        <v>0</v>
      </c>
      <c r="U159" s="208">
        <f t="shared" si="27"/>
        <v>0</v>
      </c>
      <c r="V159" s="208">
        <f t="shared" si="28"/>
        <v>0</v>
      </c>
      <c r="W159" s="208"/>
      <c r="X159" s="209"/>
      <c r="Y159" s="209">
        <f t="shared" si="29"/>
        <v>0</v>
      </c>
      <c r="Z159" s="210">
        <f t="shared" si="30"/>
        <v>2426.6241999999997</v>
      </c>
      <c r="AA159" s="167"/>
    </row>
    <row r="160" spans="2:27" ht="14.45" customHeight="1" x14ac:dyDescent="0.25">
      <c r="B160" s="212">
        <v>1.1399999999999999</v>
      </c>
      <c r="C160" s="213" t="s">
        <v>436</v>
      </c>
      <c r="D160" s="205"/>
      <c r="E160" s="217"/>
      <c r="F160" s="206"/>
      <c r="G160" s="206"/>
      <c r="H160" s="207"/>
      <c r="I160" s="207"/>
      <c r="J160" s="29"/>
      <c r="K160" s="207"/>
      <c r="L160" s="207"/>
      <c r="M160" s="207"/>
      <c r="N160" s="206"/>
      <c r="O160" s="206"/>
      <c r="P160" s="206"/>
      <c r="Q160" s="206"/>
      <c r="R160" s="208">
        <f t="shared" si="24"/>
        <v>0</v>
      </c>
      <c r="S160" s="208">
        <f t="shared" si="25"/>
        <v>0</v>
      </c>
      <c r="T160" s="208">
        <f t="shared" si="26"/>
        <v>0</v>
      </c>
      <c r="U160" s="208">
        <f t="shared" si="27"/>
        <v>0</v>
      </c>
      <c r="V160" s="208">
        <f t="shared" si="28"/>
        <v>0</v>
      </c>
      <c r="W160" s="208"/>
      <c r="X160" s="209"/>
      <c r="Y160" s="209">
        <f t="shared" si="29"/>
        <v>0</v>
      </c>
      <c r="Z160" s="210">
        <f t="shared" si="30"/>
        <v>0</v>
      </c>
      <c r="AA160" s="167"/>
    </row>
    <row r="161" spans="2:27" ht="22.5" x14ac:dyDescent="0.25">
      <c r="B161" s="203" t="s">
        <v>437</v>
      </c>
      <c r="C161" s="204" t="s">
        <v>438</v>
      </c>
      <c r="D161" s="205" t="s">
        <v>439</v>
      </c>
      <c r="E161" s="217" t="s">
        <v>17</v>
      </c>
      <c r="F161" s="206">
        <v>530.87</v>
      </c>
      <c r="G161" s="206">
        <v>14.07</v>
      </c>
      <c r="H161" s="207"/>
      <c r="I161" s="207"/>
      <c r="J161" s="29"/>
      <c r="K161" s="207"/>
      <c r="L161" s="207"/>
      <c r="M161" s="207"/>
      <c r="N161" s="206"/>
      <c r="O161" s="206">
        <f t="shared" si="21"/>
        <v>0</v>
      </c>
      <c r="P161" s="206">
        <f t="shared" si="22"/>
        <v>14.07</v>
      </c>
      <c r="Q161" s="206">
        <f t="shared" si="23"/>
        <v>7469.3409000000001</v>
      </c>
      <c r="R161" s="208">
        <f t="shared" si="24"/>
        <v>0</v>
      </c>
      <c r="S161" s="208">
        <f t="shared" si="25"/>
        <v>0</v>
      </c>
      <c r="T161" s="208">
        <f t="shared" si="26"/>
        <v>0</v>
      </c>
      <c r="U161" s="208">
        <f t="shared" si="27"/>
        <v>0</v>
      </c>
      <c r="V161" s="208">
        <f t="shared" si="28"/>
        <v>0</v>
      </c>
      <c r="W161" s="208"/>
      <c r="X161" s="209"/>
      <c r="Y161" s="209">
        <f t="shared" si="29"/>
        <v>0</v>
      </c>
      <c r="Z161" s="210">
        <f t="shared" si="30"/>
        <v>7469.3409000000001</v>
      </c>
      <c r="AA161" s="167"/>
    </row>
    <row r="162" spans="2:27" ht="33.75" x14ac:dyDescent="0.25">
      <c r="B162" s="203" t="s">
        <v>440</v>
      </c>
      <c r="C162" s="211">
        <v>86906</v>
      </c>
      <c r="D162" s="215" t="s">
        <v>442</v>
      </c>
      <c r="E162" s="217" t="s">
        <v>166</v>
      </c>
      <c r="F162" s="217">
        <v>70.64</v>
      </c>
      <c r="G162" s="206">
        <v>10</v>
      </c>
      <c r="H162" s="216"/>
      <c r="I162" s="216"/>
      <c r="J162" s="29"/>
      <c r="K162" s="216"/>
      <c r="L162" s="216"/>
      <c r="M162" s="216"/>
      <c r="N162" s="216"/>
      <c r="O162" s="206">
        <f t="shared" si="21"/>
        <v>0</v>
      </c>
      <c r="P162" s="206">
        <f t="shared" si="22"/>
        <v>10</v>
      </c>
      <c r="Q162" s="206">
        <f t="shared" si="23"/>
        <v>706.4</v>
      </c>
      <c r="R162" s="208">
        <f t="shared" si="24"/>
        <v>0</v>
      </c>
      <c r="S162" s="208">
        <f t="shared" si="25"/>
        <v>0</v>
      </c>
      <c r="T162" s="208">
        <f t="shared" si="26"/>
        <v>0</v>
      </c>
      <c r="U162" s="208">
        <f t="shared" si="27"/>
        <v>0</v>
      </c>
      <c r="V162" s="208">
        <f t="shared" si="28"/>
        <v>0</v>
      </c>
      <c r="W162" s="208"/>
      <c r="X162" s="209"/>
      <c r="Y162" s="209">
        <f t="shared" si="29"/>
        <v>0</v>
      </c>
      <c r="Z162" s="210">
        <f t="shared" si="30"/>
        <v>706.4</v>
      </c>
      <c r="AA162" s="167"/>
    </row>
    <row r="163" spans="2:27" ht="33.75" x14ac:dyDescent="0.25">
      <c r="B163" s="203" t="s">
        <v>443</v>
      </c>
      <c r="C163" s="211">
        <v>86911</v>
      </c>
      <c r="D163" s="205" t="s">
        <v>445</v>
      </c>
      <c r="E163" s="217" t="s">
        <v>166</v>
      </c>
      <c r="F163" s="206">
        <v>82.65</v>
      </c>
      <c r="G163" s="206">
        <v>3</v>
      </c>
      <c r="H163" s="207"/>
      <c r="I163" s="207"/>
      <c r="J163" s="29"/>
      <c r="K163" s="207"/>
      <c r="L163" s="207"/>
      <c r="M163" s="207"/>
      <c r="N163" s="206"/>
      <c r="O163" s="206">
        <f t="shared" si="21"/>
        <v>0</v>
      </c>
      <c r="P163" s="206">
        <f t="shared" si="22"/>
        <v>3</v>
      </c>
      <c r="Q163" s="206">
        <f t="shared" si="23"/>
        <v>247.95000000000002</v>
      </c>
      <c r="R163" s="208">
        <f t="shared" si="24"/>
        <v>0</v>
      </c>
      <c r="S163" s="208">
        <f t="shared" si="25"/>
        <v>0</v>
      </c>
      <c r="T163" s="208">
        <f t="shared" si="26"/>
        <v>0</v>
      </c>
      <c r="U163" s="208">
        <f t="shared" si="27"/>
        <v>0</v>
      </c>
      <c r="V163" s="208">
        <f t="shared" si="28"/>
        <v>0</v>
      </c>
      <c r="W163" s="208"/>
      <c r="X163" s="209"/>
      <c r="Y163" s="209">
        <f t="shared" si="29"/>
        <v>0</v>
      </c>
      <c r="Z163" s="210">
        <f t="shared" si="30"/>
        <v>247.95000000000002</v>
      </c>
      <c r="AA163" s="167"/>
    </row>
    <row r="164" spans="2:27" ht="33.75" x14ac:dyDescent="0.25">
      <c r="B164" s="203" t="s">
        <v>446</v>
      </c>
      <c r="C164" s="211">
        <v>10428</v>
      </c>
      <c r="D164" s="205" t="s">
        <v>448</v>
      </c>
      <c r="E164" s="217" t="s">
        <v>166</v>
      </c>
      <c r="F164" s="206">
        <v>500.75</v>
      </c>
      <c r="G164" s="206">
        <v>8</v>
      </c>
      <c r="H164" s="207"/>
      <c r="I164" s="207"/>
      <c r="J164" s="29"/>
      <c r="K164" s="207"/>
      <c r="L164" s="207"/>
      <c r="M164" s="207"/>
      <c r="N164" s="206"/>
      <c r="O164" s="206">
        <f t="shared" si="21"/>
        <v>0</v>
      </c>
      <c r="P164" s="206">
        <f t="shared" si="22"/>
        <v>8</v>
      </c>
      <c r="Q164" s="206">
        <f t="shared" si="23"/>
        <v>4006</v>
      </c>
      <c r="R164" s="208">
        <f t="shared" si="24"/>
        <v>0</v>
      </c>
      <c r="S164" s="208">
        <f t="shared" si="25"/>
        <v>0</v>
      </c>
      <c r="T164" s="208">
        <f t="shared" si="26"/>
        <v>0</v>
      </c>
      <c r="U164" s="208">
        <f t="shared" si="27"/>
        <v>0</v>
      </c>
      <c r="V164" s="208">
        <f t="shared" si="28"/>
        <v>0</v>
      </c>
      <c r="W164" s="208"/>
      <c r="X164" s="209"/>
      <c r="Y164" s="209">
        <f t="shared" si="29"/>
        <v>0</v>
      </c>
      <c r="Z164" s="210">
        <f t="shared" si="30"/>
        <v>4006</v>
      </c>
      <c r="AA164" s="167"/>
    </row>
    <row r="165" spans="2:27" ht="45" x14ac:dyDescent="0.25">
      <c r="B165" s="203" t="s">
        <v>449</v>
      </c>
      <c r="C165" s="211">
        <v>86932</v>
      </c>
      <c r="D165" s="205" t="s">
        <v>451</v>
      </c>
      <c r="E165" s="217" t="s">
        <v>166</v>
      </c>
      <c r="F165" s="206">
        <v>530.35</v>
      </c>
      <c r="G165" s="206">
        <v>9</v>
      </c>
      <c r="H165" s="207"/>
      <c r="I165" s="207"/>
      <c r="J165" s="29"/>
      <c r="K165" s="207"/>
      <c r="L165" s="207"/>
      <c r="M165" s="207"/>
      <c r="N165" s="206"/>
      <c r="O165" s="206">
        <f t="shared" si="21"/>
        <v>0</v>
      </c>
      <c r="P165" s="206">
        <f t="shared" si="22"/>
        <v>9</v>
      </c>
      <c r="Q165" s="206">
        <f t="shared" si="23"/>
        <v>4773.1500000000005</v>
      </c>
      <c r="R165" s="208">
        <f t="shared" si="24"/>
        <v>0</v>
      </c>
      <c r="S165" s="208">
        <f t="shared" si="25"/>
        <v>0</v>
      </c>
      <c r="T165" s="208">
        <f t="shared" si="26"/>
        <v>0</v>
      </c>
      <c r="U165" s="208">
        <f t="shared" si="27"/>
        <v>0</v>
      </c>
      <c r="V165" s="208">
        <f t="shared" si="28"/>
        <v>0</v>
      </c>
      <c r="W165" s="208"/>
      <c r="X165" s="209"/>
      <c r="Y165" s="209">
        <f t="shared" si="29"/>
        <v>0</v>
      </c>
      <c r="Z165" s="210">
        <f t="shared" si="30"/>
        <v>4773.1500000000005</v>
      </c>
      <c r="AA165" s="167"/>
    </row>
    <row r="166" spans="2:27" ht="45" x14ac:dyDescent="0.25">
      <c r="B166" s="203" t="s">
        <v>452</v>
      </c>
      <c r="C166" s="211">
        <v>86935</v>
      </c>
      <c r="D166" s="205" t="s">
        <v>454</v>
      </c>
      <c r="E166" s="217" t="s">
        <v>166</v>
      </c>
      <c r="F166" s="206">
        <v>324.29000000000002</v>
      </c>
      <c r="G166" s="206">
        <v>2</v>
      </c>
      <c r="H166" s="207"/>
      <c r="I166" s="207"/>
      <c r="J166" s="29"/>
      <c r="K166" s="207"/>
      <c r="L166" s="207"/>
      <c r="M166" s="207"/>
      <c r="N166" s="206"/>
      <c r="O166" s="206">
        <f t="shared" si="21"/>
        <v>0</v>
      </c>
      <c r="P166" s="206">
        <f t="shared" si="22"/>
        <v>2</v>
      </c>
      <c r="Q166" s="206">
        <f t="shared" si="23"/>
        <v>648.58000000000004</v>
      </c>
      <c r="R166" s="208">
        <f t="shared" si="24"/>
        <v>0</v>
      </c>
      <c r="S166" s="208">
        <f t="shared" si="25"/>
        <v>0</v>
      </c>
      <c r="T166" s="208">
        <f t="shared" si="26"/>
        <v>0</v>
      </c>
      <c r="U166" s="208">
        <f t="shared" si="27"/>
        <v>0</v>
      </c>
      <c r="V166" s="208">
        <f t="shared" si="28"/>
        <v>0</v>
      </c>
      <c r="W166" s="208"/>
      <c r="X166" s="209"/>
      <c r="Y166" s="209">
        <f t="shared" si="29"/>
        <v>0</v>
      </c>
      <c r="Z166" s="210">
        <f t="shared" si="30"/>
        <v>648.58000000000004</v>
      </c>
      <c r="AA166" s="167"/>
    </row>
    <row r="167" spans="2:27" ht="33.75" x14ac:dyDescent="0.25">
      <c r="B167" s="203" t="s">
        <v>455</v>
      </c>
      <c r="C167" s="211">
        <v>100868</v>
      </c>
      <c r="D167" s="205" t="s">
        <v>457</v>
      </c>
      <c r="E167" s="217" t="s">
        <v>166</v>
      </c>
      <c r="F167" s="206">
        <v>353.45</v>
      </c>
      <c r="G167" s="206">
        <v>2</v>
      </c>
      <c r="H167" s="207"/>
      <c r="I167" s="207"/>
      <c r="J167" s="29"/>
      <c r="K167" s="207"/>
      <c r="L167" s="207"/>
      <c r="M167" s="207"/>
      <c r="N167" s="206"/>
      <c r="O167" s="206">
        <f t="shared" si="21"/>
        <v>0</v>
      </c>
      <c r="P167" s="206">
        <f t="shared" si="22"/>
        <v>2</v>
      </c>
      <c r="Q167" s="206">
        <f t="shared" si="23"/>
        <v>706.9</v>
      </c>
      <c r="R167" s="208">
        <f t="shared" si="24"/>
        <v>0</v>
      </c>
      <c r="S167" s="208">
        <f t="shared" si="25"/>
        <v>0</v>
      </c>
      <c r="T167" s="208">
        <f t="shared" si="26"/>
        <v>0</v>
      </c>
      <c r="U167" s="208">
        <f t="shared" si="27"/>
        <v>0</v>
      </c>
      <c r="V167" s="208">
        <f t="shared" si="28"/>
        <v>0</v>
      </c>
      <c r="W167" s="208"/>
      <c r="X167" s="209"/>
      <c r="Y167" s="209">
        <f t="shared" si="29"/>
        <v>0</v>
      </c>
      <c r="Z167" s="210">
        <f t="shared" si="30"/>
        <v>706.9</v>
      </c>
      <c r="AA167" s="167"/>
    </row>
    <row r="168" spans="2:27" ht="56.25" x14ac:dyDescent="0.25">
      <c r="B168" s="203" t="s">
        <v>458</v>
      </c>
      <c r="C168" s="211">
        <v>86942</v>
      </c>
      <c r="D168" s="205" t="s">
        <v>460</v>
      </c>
      <c r="E168" s="217" t="s">
        <v>166</v>
      </c>
      <c r="F168" s="206">
        <v>260.25</v>
      </c>
      <c r="G168" s="206">
        <v>1</v>
      </c>
      <c r="H168" s="207"/>
      <c r="I168" s="207"/>
      <c r="J168" s="29"/>
      <c r="K168" s="207"/>
      <c r="L168" s="207"/>
      <c r="M168" s="207"/>
      <c r="N168" s="206"/>
      <c r="O168" s="206">
        <f t="shared" si="21"/>
        <v>0</v>
      </c>
      <c r="P168" s="206">
        <f t="shared" si="22"/>
        <v>1</v>
      </c>
      <c r="Q168" s="206">
        <f t="shared" si="23"/>
        <v>260.25</v>
      </c>
      <c r="R168" s="208">
        <f t="shared" si="24"/>
        <v>0</v>
      </c>
      <c r="S168" s="208">
        <f t="shared" si="25"/>
        <v>0</v>
      </c>
      <c r="T168" s="208">
        <f t="shared" si="26"/>
        <v>0</v>
      </c>
      <c r="U168" s="208">
        <f t="shared" si="27"/>
        <v>0</v>
      </c>
      <c r="V168" s="208">
        <f t="shared" si="28"/>
        <v>0</v>
      </c>
      <c r="W168" s="208"/>
      <c r="X168" s="209"/>
      <c r="Y168" s="209">
        <f t="shared" si="29"/>
        <v>0</v>
      </c>
      <c r="Z168" s="210">
        <f t="shared" si="30"/>
        <v>260.25</v>
      </c>
      <c r="AA168" s="167"/>
    </row>
    <row r="169" spans="2:27" ht="56.25" x14ac:dyDescent="0.25">
      <c r="B169" s="203" t="s">
        <v>461</v>
      </c>
      <c r="C169" s="211">
        <v>86923</v>
      </c>
      <c r="D169" s="205" t="s">
        <v>463</v>
      </c>
      <c r="E169" s="217" t="s">
        <v>166</v>
      </c>
      <c r="F169" s="206">
        <v>586.14</v>
      </c>
      <c r="G169" s="206">
        <v>1</v>
      </c>
      <c r="H169" s="207"/>
      <c r="I169" s="207"/>
      <c r="J169" s="29"/>
      <c r="K169" s="207"/>
      <c r="L169" s="207"/>
      <c r="M169" s="207"/>
      <c r="N169" s="206"/>
      <c r="O169" s="206">
        <f t="shared" si="21"/>
        <v>0</v>
      </c>
      <c r="P169" s="206">
        <f t="shared" si="22"/>
        <v>1</v>
      </c>
      <c r="Q169" s="206">
        <f t="shared" si="23"/>
        <v>586.14</v>
      </c>
      <c r="R169" s="208">
        <f t="shared" si="24"/>
        <v>0</v>
      </c>
      <c r="S169" s="208">
        <f t="shared" si="25"/>
        <v>0</v>
      </c>
      <c r="T169" s="208">
        <f t="shared" si="26"/>
        <v>0</v>
      </c>
      <c r="U169" s="208">
        <f t="shared" si="27"/>
        <v>0</v>
      </c>
      <c r="V169" s="208">
        <f t="shared" si="28"/>
        <v>0</v>
      </c>
      <c r="W169" s="208"/>
      <c r="X169" s="209"/>
      <c r="Y169" s="209">
        <f t="shared" si="29"/>
        <v>0</v>
      </c>
      <c r="Z169" s="210">
        <f t="shared" si="30"/>
        <v>586.14</v>
      </c>
      <c r="AA169" s="167"/>
    </row>
    <row r="170" spans="2:27" ht="45" x14ac:dyDescent="0.25">
      <c r="B170" s="203" t="s">
        <v>464</v>
      </c>
      <c r="C170" s="211">
        <v>95472</v>
      </c>
      <c r="D170" s="205" t="s">
        <v>466</v>
      </c>
      <c r="E170" s="217" t="s">
        <v>166</v>
      </c>
      <c r="F170" s="206">
        <v>769.27</v>
      </c>
      <c r="G170" s="206">
        <v>1</v>
      </c>
      <c r="H170" s="207"/>
      <c r="I170" s="207"/>
      <c r="J170" s="29"/>
      <c r="K170" s="207"/>
      <c r="L170" s="207"/>
      <c r="M170" s="207"/>
      <c r="N170" s="206"/>
      <c r="O170" s="206">
        <f t="shared" si="21"/>
        <v>0</v>
      </c>
      <c r="P170" s="206">
        <f t="shared" si="22"/>
        <v>1</v>
      </c>
      <c r="Q170" s="206">
        <f t="shared" si="23"/>
        <v>769.27</v>
      </c>
      <c r="R170" s="208">
        <f t="shared" si="24"/>
        <v>0</v>
      </c>
      <c r="S170" s="208">
        <f t="shared" si="25"/>
        <v>0</v>
      </c>
      <c r="T170" s="208">
        <f t="shared" si="26"/>
        <v>0</v>
      </c>
      <c r="U170" s="208">
        <f t="shared" si="27"/>
        <v>0</v>
      </c>
      <c r="V170" s="208">
        <f t="shared" si="28"/>
        <v>0</v>
      </c>
      <c r="W170" s="208"/>
      <c r="X170" s="209"/>
      <c r="Y170" s="209">
        <f t="shared" si="29"/>
        <v>0</v>
      </c>
      <c r="Z170" s="210">
        <f t="shared" si="30"/>
        <v>769.27</v>
      </c>
      <c r="AA170" s="167"/>
    </row>
    <row r="171" spans="2:27" ht="33.75" x14ac:dyDescent="0.25">
      <c r="B171" s="203" t="s">
        <v>467</v>
      </c>
      <c r="C171" s="211">
        <v>102253</v>
      </c>
      <c r="D171" s="205" t="s">
        <v>469</v>
      </c>
      <c r="E171" s="217" t="s">
        <v>17</v>
      </c>
      <c r="F171" s="206">
        <v>692.62</v>
      </c>
      <c r="G171" s="206">
        <v>33.92</v>
      </c>
      <c r="H171" s="207"/>
      <c r="I171" s="207"/>
      <c r="J171" s="29"/>
      <c r="K171" s="207"/>
      <c r="L171" s="207"/>
      <c r="M171" s="207"/>
      <c r="N171" s="206"/>
      <c r="O171" s="206">
        <f t="shared" si="21"/>
        <v>0</v>
      </c>
      <c r="P171" s="206">
        <f t="shared" si="22"/>
        <v>33.92</v>
      </c>
      <c r="Q171" s="206">
        <f t="shared" si="23"/>
        <v>23493.670400000003</v>
      </c>
      <c r="R171" s="208">
        <f t="shared" si="24"/>
        <v>0</v>
      </c>
      <c r="S171" s="208">
        <f t="shared" si="25"/>
        <v>0</v>
      </c>
      <c r="T171" s="208">
        <f t="shared" si="26"/>
        <v>0</v>
      </c>
      <c r="U171" s="208">
        <f t="shared" si="27"/>
        <v>0</v>
      </c>
      <c r="V171" s="208">
        <f t="shared" si="28"/>
        <v>0</v>
      </c>
      <c r="W171" s="208"/>
      <c r="X171" s="209"/>
      <c r="Y171" s="209">
        <f t="shared" si="29"/>
        <v>0</v>
      </c>
      <c r="Z171" s="210">
        <f t="shared" si="30"/>
        <v>23493.670400000003</v>
      </c>
      <c r="AA171" s="167"/>
    </row>
    <row r="172" spans="2:27" ht="22.5" x14ac:dyDescent="0.25">
      <c r="B172" s="203" t="s">
        <v>470</v>
      </c>
      <c r="C172" s="211">
        <v>100860</v>
      </c>
      <c r="D172" s="205" t="s">
        <v>472</v>
      </c>
      <c r="E172" s="217" t="s">
        <v>166</v>
      </c>
      <c r="F172" s="206">
        <v>111.12</v>
      </c>
      <c r="G172" s="206">
        <v>4</v>
      </c>
      <c r="H172" s="207"/>
      <c r="I172" s="207"/>
      <c r="J172" s="29"/>
      <c r="K172" s="207"/>
      <c r="L172" s="207"/>
      <c r="M172" s="207"/>
      <c r="N172" s="206"/>
      <c r="O172" s="206">
        <f t="shared" si="21"/>
        <v>0</v>
      </c>
      <c r="P172" s="206">
        <f t="shared" si="22"/>
        <v>4</v>
      </c>
      <c r="Q172" s="206">
        <f t="shared" si="23"/>
        <v>444.48</v>
      </c>
      <c r="R172" s="208">
        <f t="shared" si="24"/>
        <v>0</v>
      </c>
      <c r="S172" s="208">
        <f t="shared" si="25"/>
        <v>0</v>
      </c>
      <c r="T172" s="208">
        <f t="shared" si="26"/>
        <v>0</v>
      </c>
      <c r="U172" s="208">
        <f t="shared" si="27"/>
        <v>0</v>
      </c>
      <c r="V172" s="208">
        <f t="shared" si="28"/>
        <v>0</v>
      </c>
      <c r="W172" s="208"/>
      <c r="X172" s="209"/>
      <c r="Y172" s="209">
        <f t="shared" si="29"/>
        <v>0</v>
      </c>
      <c r="Z172" s="210">
        <f t="shared" si="30"/>
        <v>444.48</v>
      </c>
      <c r="AA172" s="167"/>
    </row>
    <row r="173" spans="2:27" ht="14.45" customHeight="1" x14ac:dyDescent="0.25">
      <c r="B173" s="212">
        <v>1.1499999999999999</v>
      </c>
      <c r="C173" s="213" t="s">
        <v>474</v>
      </c>
      <c r="D173" s="205"/>
      <c r="E173" s="217"/>
      <c r="F173" s="206"/>
      <c r="G173" s="206"/>
      <c r="H173" s="207"/>
      <c r="I173" s="207"/>
      <c r="J173" s="29"/>
      <c r="K173" s="207"/>
      <c r="L173" s="207"/>
      <c r="M173" s="207"/>
      <c r="N173" s="206"/>
      <c r="O173" s="206"/>
      <c r="P173" s="206"/>
      <c r="Q173" s="206"/>
      <c r="R173" s="208">
        <f t="shared" si="24"/>
        <v>0</v>
      </c>
      <c r="S173" s="208">
        <f t="shared" si="25"/>
        <v>0</v>
      </c>
      <c r="T173" s="208">
        <f t="shared" si="26"/>
        <v>0</v>
      </c>
      <c r="U173" s="208">
        <f t="shared" si="27"/>
        <v>0</v>
      </c>
      <c r="V173" s="208">
        <f t="shared" si="28"/>
        <v>0</v>
      </c>
      <c r="W173" s="208"/>
      <c r="X173" s="209"/>
      <c r="Y173" s="209">
        <f t="shared" si="29"/>
        <v>0</v>
      </c>
      <c r="Z173" s="210">
        <f t="shared" si="30"/>
        <v>0</v>
      </c>
      <c r="AA173" s="167"/>
    </row>
    <row r="174" spans="2:27" ht="33.75" x14ac:dyDescent="0.25">
      <c r="B174" s="203" t="s">
        <v>475</v>
      </c>
      <c r="C174" s="211">
        <v>99059</v>
      </c>
      <c r="D174" s="205" t="s">
        <v>36</v>
      </c>
      <c r="E174" s="217" t="s">
        <v>37</v>
      </c>
      <c r="F174" s="206">
        <v>52.4</v>
      </c>
      <c r="G174" s="206">
        <v>130.85</v>
      </c>
      <c r="H174" s="207">
        <f>'MEMORIAL DE CALCULO 01'!K183</f>
        <v>130.85</v>
      </c>
      <c r="I174" s="207"/>
      <c r="J174" s="29"/>
      <c r="K174" s="207"/>
      <c r="L174" s="207"/>
      <c r="M174" s="207"/>
      <c r="N174" s="206"/>
      <c r="O174" s="206">
        <f t="shared" si="21"/>
        <v>130.85</v>
      </c>
      <c r="P174" s="206">
        <f t="shared" si="22"/>
        <v>0</v>
      </c>
      <c r="Q174" s="206">
        <f t="shared" si="23"/>
        <v>6856.54</v>
      </c>
      <c r="R174" s="208">
        <f t="shared" si="24"/>
        <v>6856.54</v>
      </c>
      <c r="S174" s="208">
        <f t="shared" si="25"/>
        <v>0</v>
      </c>
      <c r="T174" s="208">
        <f t="shared" si="26"/>
        <v>0</v>
      </c>
      <c r="U174" s="208">
        <f t="shared" si="27"/>
        <v>0</v>
      </c>
      <c r="V174" s="208">
        <f t="shared" si="28"/>
        <v>0</v>
      </c>
      <c r="W174" s="208"/>
      <c r="X174" s="209"/>
      <c r="Y174" s="209">
        <f t="shared" si="29"/>
        <v>6856.54</v>
      </c>
      <c r="Z174" s="210">
        <f t="shared" si="30"/>
        <v>0</v>
      </c>
      <c r="AA174" s="167"/>
    </row>
    <row r="175" spans="2:27" ht="22.5" x14ac:dyDescent="0.25">
      <c r="B175" s="203" t="s">
        <v>476</v>
      </c>
      <c r="C175" s="211">
        <v>93358</v>
      </c>
      <c r="D175" s="205" t="s">
        <v>40</v>
      </c>
      <c r="E175" s="217" t="s">
        <v>41</v>
      </c>
      <c r="F175" s="206">
        <v>64.95</v>
      </c>
      <c r="G175" s="206">
        <v>32.68</v>
      </c>
      <c r="H175" s="207">
        <v>32.68</v>
      </c>
      <c r="I175" s="207"/>
      <c r="J175" s="29"/>
      <c r="K175" s="207"/>
      <c r="L175" s="207"/>
      <c r="M175" s="207"/>
      <c r="N175" s="206"/>
      <c r="O175" s="206">
        <f t="shared" si="21"/>
        <v>32.68</v>
      </c>
      <c r="P175" s="206">
        <f t="shared" si="22"/>
        <v>0</v>
      </c>
      <c r="Q175" s="206">
        <f t="shared" si="23"/>
        <v>2122.5660000000003</v>
      </c>
      <c r="R175" s="208">
        <f t="shared" si="24"/>
        <v>2122.5660000000003</v>
      </c>
      <c r="S175" s="208">
        <f t="shared" si="25"/>
        <v>0</v>
      </c>
      <c r="T175" s="208">
        <f t="shared" si="26"/>
        <v>0</v>
      </c>
      <c r="U175" s="208">
        <f t="shared" si="27"/>
        <v>0</v>
      </c>
      <c r="V175" s="208">
        <f t="shared" si="28"/>
        <v>0</v>
      </c>
      <c r="W175" s="208"/>
      <c r="X175" s="209"/>
      <c r="Y175" s="209">
        <f t="shared" si="29"/>
        <v>2122.5660000000003</v>
      </c>
      <c r="Z175" s="210">
        <f t="shared" si="30"/>
        <v>0</v>
      </c>
      <c r="AA175" s="167"/>
    </row>
    <row r="176" spans="2:27" x14ac:dyDescent="0.25">
      <c r="B176" s="203" t="s">
        <v>477</v>
      </c>
      <c r="C176" s="211">
        <v>96995</v>
      </c>
      <c r="D176" s="205" t="s">
        <v>44</v>
      </c>
      <c r="E176" s="217" t="s">
        <v>41</v>
      </c>
      <c r="F176" s="206">
        <v>39.369999999999997</v>
      </c>
      <c r="G176" s="206">
        <v>11.01</v>
      </c>
      <c r="H176" s="207"/>
      <c r="I176" s="207">
        <f>'MEMORIAL DE CALCULO 02'!K418</f>
        <v>11.01</v>
      </c>
      <c r="J176" s="29"/>
      <c r="K176" s="207"/>
      <c r="L176" s="207"/>
      <c r="M176" s="207"/>
      <c r="N176" s="206"/>
      <c r="O176" s="206">
        <f t="shared" si="21"/>
        <v>11.01</v>
      </c>
      <c r="P176" s="206">
        <f t="shared" si="22"/>
        <v>0</v>
      </c>
      <c r="Q176" s="206">
        <f t="shared" si="23"/>
        <v>433.46369999999996</v>
      </c>
      <c r="R176" s="208">
        <f t="shared" si="24"/>
        <v>0</v>
      </c>
      <c r="S176" s="208">
        <f t="shared" si="25"/>
        <v>433.46369999999996</v>
      </c>
      <c r="T176" s="208">
        <f t="shared" si="26"/>
        <v>0</v>
      </c>
      <c r="U176" s="208">
        <f t="shared" si="27"/>
        <v>0</v>
      </c>
      <c r="V176" s="208">
        <f t="shared" si="28"/>
        <v>0</v>
      </c>
      <c r="W176" s="208"/>
      <c r="X176" s="209"/>
      <c r="Y176" s="209">
        <f t="shared" si="29"/>
        <v>433.46369999999996</v>
      </c>
      <c r="Z176" s="210">
        <f t="shared" si="30"/>
        <v>0</v>
      </c>
      <c r="AA176" s="167"/>
    </row>
    <row r="177" spans="2:27" s="163" customFormat="1" ht="22.5" x14ac:dyDescent="0.25">
      <c r="B177" s="332" t="s">
        <v>478</v>
      </c>
      <c r="C177" s="333">
        <v>93205</v>
      </c>
      <c r="D177" s="334" t="s">
        <v>480</v>
      </c>
      <c r="E177" s="335" t="s">
        <v>37</v>
      </c>
      <c r="F177" s="336">
        <v>39.79</v>
      </c>
      <c r="G177" s="336">
        <v>244.5</v>
      </c>
      <c r="H177" s="337"/>
      <c r="I177" s="337"/>
      <c r="J177" s="338">
        <f>'MEMORIAL DE CALCULO 03'!K524</f>
        <v>67.27</v>
      </c>
      <c r="K177" s="337">
        <f>'MEMORIAL DE CALCULO 04'!K617</f>
        <v>42.8</v>
      </c>
      <c r="L177" s="337">
        <f>'MEMORIAL DE CALCULO 05'!K622</f>
        <v>134.43</v>
      </c>
      <c r="M177" s="337"/>
      <c r="N177" s="336"/>
      <c r="O177" s="336">
        <f t="shared" si="21"/>
        <v>244.5</v>
      </c>
      <c r="P177" s="336">
        <f t="shared" si="22"/>
        <v>0</v>
      </c>
      <c r="Q177" s="336">
        <f t="shared" si="23"/>
        <v>9728.6550000000007</v>
      </c>
      <c r="R177" s="339">
        <f t="shared" si="24"/>
        <v>0</v>
      </c>
      <c r="S177" s="339">
        <f t="shared" si="25"/>
        <v>0</v>
      </c>
      <c r="T177" s="339">
        <f t="shared" si="26"/>
        <v>2676.6732999999999</v>
      </c>
      <c r="U177" s="339">
        <f t="shared" si="27"/>
        <v>1703.01</v>
      </c>
      <c r="V177" s="339">
        <f t="shared" si="28"/>
        <v>5348.96</v>
      </c>
      <c r="W177" s="339"/>
      <c r="X177" s="340"/>
      <c r="Y177" s="340">
        <f t="shared" si="29"/>
        <v>9728.6432999999997</v>
      </c>
      <c r="Z177" s="341">
        <f t="shared" si="30"/>
        <v>1.1700000000928412E-2</v>
      </c>
      <c r="AA177" s="168"/>
    </row>
    <row r="178" spans="2:27" ht="22.5" x14ac:dyDescent="0.25">
      <c r="B178" s="203" t="s">
        <v>481</v>
      </c>
      <c r="C178" s="211">
        <v>101616</v>
      </c>
      <c r="D178" s="205" t="s">
        <v>55</v>
      </c>
      <c r="E178" s="217" t="s">
        <v>17</v>
      </c>
      <c r="F178" s="206">
        <v>4.91</v>
      </c>
      <c r="G178" s="206">
        <v>15.48</v>
      </c>
      <c r="H178" s="207">
        <f>'MEMORIAL DE CALCULO 01'!K191</f>
        <v>12.6</v>
      </c>
      <c r="I178" s="207">
        <f>'MEMORIAL DE CALCULO 02'!K422</f>
        <v>2.88</v>
      </c>
      <c r="J178" s="29"/>
      <c r="K178" s="207"/>
      <c r="L178" s="207"/>
      <c r="M178" s="207"/>
      <c r="N178" s="206"/>
      <c r="O178" s="206">
        <f t="shared" si="21"/>
        <v>15.48</v>
      </c>
      <c r="P178" s="206">
        <f t="shared" si="22"/>
        <v>0</v>
      </c>
      <c r="Q178" s="206">
        <f t="shared" si="23"/>
        <v>76.006799999999998</v>
      </c>
      <c r="R178" s="208">
        <f t="shared" si="24"/>
        <v>61.866</v>
      </c>
      <c r="S178" s="208">
        <f t="shared" si="25"/>
        <v>14.1408</v>
      </c>
      <c r="T178" s="208">
        <f t="shared" si="26"/>
        <v>0</v>
      </c>
      <c r="U178" s="208">
        <f t="shared" si="27"/>
        <v>0</v>
      </c>
      <c r="V178" s="208">
        <f t="shared" si="28"/>
        <v>0</v>
      </c>
      <c r="W178" s="208"/>
      <c r="X178" s="209"/>
      <c r="Y178" s="209">
        <f t="shared" si="29"/>
        <v>76.006799999999998</v>
      </c>
      <c r="Z178" s="210">
        <f t="shared" si="30"/>
        <v>0</v>
      </c>
      <c r="AA178" s="167"/>
    </row>
    <row r="179" spans="2:27" ht="33.75" x14ac:dyDescent="0.25">
      <c r="B179" s="203" t="s">
        <v>482</v>
      </c>
      <c r="C179" s="211">
        <v>96619</v>
      </c>
      <c r="D179" s="205" t="s">
        <v>58</v>
      </c>
      <c r="E179" s="217" t="s">
        <v>17</v>
      </c>
      <c r="F179" s="206">
        <v>30.67</v>
      </c>
      <c r="G179" s="206">
        <v>15.48</v>
      </c>
      <c r="H179" s="207">
        <f>'MEMORIAL DE CALCULO 01'!K192</f>
        <v>12.6</v>
      </c>
      <c r="I179" s="207">
        <f>'MEMORIAL DE CALCULO 02'!K423</f>
        <v>2.88</v>
      </c>
      <c r="J179" s="29"/>
      <c r="K179" s="207"/>
      <c r="L179" s="207"/>
      <c r="M179" s="207"/>
      <c r="N179" s="206"/>
      <c r="O179" s="206">
        <f t="shared" si="21"/>
        <v>15.48</v>
      </c>
      <c r="P179" s="206">
        <f t="shared" si="22"/>
        <v>0</v>
      </c>
      <c r="Q179" s="206">
        <f t="shared" si="23"/>
        <v>474.77160000000003</v>
      </c>
      <c r="R179" s="208">
        <f t="shared" si="24"/>
        <v>386.44200000000001</v>
      </c>
      <c r="S179" s="208">
        <f t="shared" si="25"/>
        <v>88.329599999999999</v>
      </c>
      <c r="T179" s="208">
        <f t="shared" si="26"/>
        <v>0</v>
      </c>
      <c r="U179" s="208">
        <f t="shared" si="27"/>
        <v>0</v>
      </c>
      <c r="V179" s="208">
        <f t="shared" si="28"/>
        <v>0</v>
      </c>
      <c r="W179" s="208"/>
      <c r="X179" s="209"/>
      <c r="Y179" s="209">
        <f t="shared" si="29"/>
        <v>474.77160000000003</v>
      </c>
      <c r="Z179" s="210">
        <f t="shared" si="30"/>
        <v>0</v>
      </c>
      <c r="AA179" s="167"/>
    </row>
    <row r="180" spans="2:27" ht="22.5" x14ac:dyDescent="0.25">
      <c r="B180" s="203" t="s">
        <v>483</v>
      </c>
      <c r="C180" s="211">
        <v>96545</v>
      </c>
      <c r="D180" s="215" t="s">
        <v>61</v>
      </c>
      <c r="E180" s="217" t="s">
        <v>62</v>
      </c>
      <c r="F180" s="217">
        <v>15.99</v>
      </c>
      <c r="G180" s="206">
        <v>167.13</v>
      </c>
      <c r="H180" s="29">
        <f>'MEMORIAL DE CALCULO 01'!K193</f>
        <v>133.69999999999999</v>
      </c>
      <c r="I180" s="29">
        <f>'MEMORIAL DE CALCULO 02'!K424</f>
        <v>33.43</v>
      </c>
      <c r="J180" s="29"/>
      <c r="K180" s="216"/>
      <c r="L180" s="216"/>
      <c r="M180" s="216"/>
      <c r="N180" s="216"/>
      <c r="O180" s="206">
        <f t="shared" si="21"/>
        <v>167.13</v>
      </c>
      <c r="P180" s="206">
        <f t="shared" si="22"/>
        <v>0</v>
      </c>
      <c r="Q180" s="206">
        <f t="shared" si="23"/>
        <v>2672.4087</v>
      </c>
      <c r="R180" s="208">
        <f t="shared" si="24"/>
        <v>2137.8629999999998</v>
      </c>
      <c r="S180" s="208">
        <f t="shared" si="25"/>
        <v>534.54570000000001</v>
      </c>
      <c r="T180" s="208">
        <f t="shared" si="26"/>
        <v>0</v>
      </c>
      <c r="U180" s="208">
        <f t="shared" si="27"/>
        <v>0</v>
      </c>
      <c r="V180" s="208">
        <f t="shared" si="28"/>
        <v>0</v>
      </c>
      <c r="W180" s="208"/>
      <c r="X180" s="209"/>
      <c r="Y180" s="209">
        <f t="shared" si="29"/>
        <v>2672.4087</v>
      </c>
      <c r="Z180" s="210">
        <f t="shared" si="30"/>
        <v>0</v>
      </c>
      <c r="AA180" s="167"/>
    </row>
    <row r="181" spans="2:27" s="168" customFormat="1" ht="33.75" x14ac:dyDescent="0.25">
      <c r="B181" s="332" t="s">
        <v>484</v>
      </c>
      <c r="C181" s="333">
        <v>94966</v>
      </c>
      <c r="D181" s="342" t="s">
        <v>65</v>
      </c>
      <c r="E181" s="335" t="s">
        <v>41</v>
      </c>
      <c r="F181" s="335">
        <v>530.88</v>
      </c>
      <c r="G181" s="336">
        <v>9.89</v>
      </c>
      <c r="H181" s="338">
        <f>'MEMORIAL DE CALCULO 01'!K195</f>
        <v>4.5500000000000007</v>
      </c>
      <c r="I181" s="338">
        <f>'MEMORIAL DE CALCULO 02'!K426</f>
        <v>1.04</v>
      </c>
      <c r="J181" s="338">
        <f>'MEMORIAL DE CALCULO 03'!K530</f>
        <v>1.5192000000000005</v>
      </c>
      <c r="K181" s="338">
        <f>'MEMORIAL DE CALCULO 04'!K624</f>
        <v>2.3652000000000002</v>
      </c>
      <c r="L181" s="338">
        <f>'MEMORIAL DE CALCULO 05'!K629</f>
        <v>0.41560999999999998</v>
      </c>
      <c r="M181" s="343"/>
      <c r="N181" s="343"/>
      <c r="O181" s="336">
        <f t="shared" si="21"/>
        <v>9.8900100000000002</v>
      </c>
      <c r="P181" s="336">
        <f t="shared" si="22"/>
        <v>-9.9999999996214228E-6</v>
      </c>
      <c r="Q181" s="336">
        <f t="shared" si="23"/>
        <v>5250.4032000000007</v>
      </c>
      <c r="R181" s="339">
        <f t="shared" si="24"/>
        <v>2415.5040000000004</v>
      </c>
      <c r="S181" s="339">
        <f t="shared" si="25"/>
        <v>552.11519999999996</v>
      </c>
      <c r="T181" s="339">
        <f t="shared" si="26"/>
        <v>806.5128960000003</v>
      </c>
      <c r="U181" s="339">
        <f t="shared" si="27"/>
        <v>1255.6300000000001</v>
      </c>
      <c r="V181" s="339">
        <f>F181*L181</f>
        <v>220.63903679999999</v>
      </c>
      <c r="W181" s="339"/>
      <c r="X181" s="340"/>
      <c r="Y181" s="340">
        <f t="shared" si="29"/>
        <v>5250.4011328000006</v>
      </c>
      <c r="Z181" s="341">
        <f>Q181-Y181</f>
        <v>2.067200000055891E-3</v>
      </c>
    </row>
    <row r="182" spans="2:27" ht="41.45" customHeight="1" x14ac:dyDescent="0.25">
      <c r="B182" s="203" t="s">
        <v>485</v>
      </c>
      <c r="C182" s="211">
        <v>103800</v>
      </c>
      <c r="D182" s="205" t="s">
        <v>487</v>
      </c>
      <c r="E182" s="217" t="s">
        <v>41</v>
      </c>
      <c r="F182" s="206">
        <v>496.62</v>
      </c>
      <c r="G182" s="206">
        <v>11.78</v>
      </c>
      <c r="H182" s="207">
        <v>0.9</v>
      </c>
      <c r="I182" s="207">
        <v>10.88</v>
      </c>
      <c r="J182" s="29"/>
      <c r="K182" s="207"/>
      <c r="L182" s="207"/>
      <c r="M182" s="207"/>
      <c r="N182" s="206"/>
      <c r="O182" s="206">
        <f t="shared" si="21"/>
        <v>11.780000000000001</v>
      </c>
      <c r="P182" s="206">
        <f t="shared" si="22"/>
        <v>0</v>
      </c>
      <c r="Q182" s="206">
        <f t="shared" si="23"/>
        <v>5850.1835999999994</v>
      </c>
      <c r="R182" s="208">
        <f t="shared" si="24"/>
        <v>446.95800000000003</v>
      </c>
      <c r="S182" s="208">
        <f t="shared" si="25"/>
        <v>5403.2256000000007</v>
      </c>
      <c r="T182" s="208">
        <f t="shared" si="26"/>
        <v>0</v>
      </c>
      <c r="U182" s="208">
        <f t="shared" si="27"/>
        <v>0</v>
      </c>
      <c r="V182" s="346">
        <f t="shared" si="28"/>
        <v>0</v>
      </c>
      <c r="W182" s="208"/>
      <c r="X182" s="209"/>
      <c r="Y182" s="209">
        <f t="shared" si="29"/>
        <v>5850.1836000000003</v>
      </c>
      <c r="Z182" s="210">
        <f t="shared" si="30"/>
        <v>0</v>
      </c>
      <c r="AA182" s="167"/>
    </row>
    <row r="183" spans="2:27" s="163" customFormat="1" ht="22.5" x14ac:dyDescent="0.25">
      <c r="B183" s="332" t="s">
        <v>488</v>
      </c>
      <c r="C183" s="333">
        <v>103670</v>
      </c>
      <c r="D183" s="334" t="s">
        <v>71</v>
      </c>
      <c r="E183" s="335" t="s">
        <v>41</v>
      </c>
      <c r="F183" s="336">
        <v>230.55</v>
      </c>
      <c r="G183" s="336">
        <v>9.89</v>
      </c>
      <c r="H183" s="337">
        <f>'MEMORIAL DE CALCULO 01'!K200</f>
        <v>4.5500000000000007</v>
      </c>
      <c r="I183" s="337">
        <f>'MEMORIAL DE CALCULO 02'!K431</f>
        <v>1.04</v>
      </c>
      <c r="J183" s="338">
        <f>'MEMORIAL DE CALCULO 03'!K543</f>
        <v>1.5192000000000005</v>
      </c>
      <c r="K183" s="337">
        <f>'MEMORIAL DE CALCULO 04'!K644</f>
        <v>2.3652000000000002</v>
      </c>
      <c r="L183" s="337">
        <f>'MEMORIAL DE CALCULO 05'!K632</f>
        <v>0.41563</v>
      </c>
      <c r="M183" s="337"/>
      <c r="N183" s="336"/>
      <c r="O183" s="336">
        <f t="shared" si="21"/>
        <v>9.8900300000000012</v>
      </c>
      <c r="P183" s="336">
        <f t="shared" si="22"/>
        <v>-3.0000000000640625E-5</v>
      </c>
      <c r="Q183" s="336">
        <f t="shared" si="23"/>
        <v>2280.1395000000002</v>
      </c>
      <c r="R183" s="339">
        <f t="shared" si="24"/>
        <v>1049.0025000000003</v>
      </c>
      <c r="S183" s="339">
        <f t="shared" si="25"/>
        <v>239.77200000000002</v>
      </c>
      <c r="T183" s="339">
        <f t="shared" si="26"/>
        <v>350.25156000000015</v>
      </c>
      <c r="U183" s="339">
        <f t="shared" si="27"/>
        <v>545.29</v>
      </c>
      <c r="V183" s="339">
        <f t="shared" si="28"/>
        <v>95.82</v>
      </c>
      <c r="W183" s="339"/>
      <c r="X183" s="340"/>
      <c r="Y183" s="340">
        <f t="shared" si="29"/>
        <v>2280.1360600000003</v>
      </c>
      <c r="Z183" s="341">
        <f t="shared" si="30"/>
        <v>3.4399999999550346E-3</v>
      </c>
      <c r="AA183" s="168"/>
    </row>
    <row r="184" spans="2:27" s="163" customFormat="1" ht="22.5" x14ac:dyDescent="0.25">
      <c r="B184" s="332" t="s">
        <v>489</v>
      </c>
      <c r="C184" s="333">
        <v>96543</v>
      </c>
      <c r="D184" s="334" t="s">
        <v>74</v>
      </c>
      <c r="E184" s="335" t="s">
        <v>62</v>
      </c>
      <c r="F184" s="336">
        <v>17.5</v>
      </c>
      <c r="G184" s="336">
        <v>162.02000000000001</v>
      </c>
      <c r="H184" s="337">
        <f>'MEMORIAL DE CALCULO 01'!K202</f>
        <v>42.149799999999992</v>
      </c>
      <c r="I184" s="337">
        <f>'MEMORIAL DE CALCULO 02'!K433</f>
        <v>9.6342399999999984</v>
      </c>
      <c r="J184" s="338">
        <f>'MEMORIAL DE CALCULO 03'!K545</f>
        <v>39.772656000000005</v>
      </c>
      <c r="K184" s="337">
        <f>'MEMORIAL DE CALCULO 04'!K646</f>
        <v>62.025655999999977</v>
      </c>
      <c r="L184" s="337">
        <f>'MEMORIAL DE CALCULO 05'!K634</f>
        <v>8.4384999999999994</v>
      </c>
      <c r="M184" s="337"/>
      <c r="N184" s="336"/>
      <c r="O184" s="336">
        <f t="shared" si="21"/>
        <v>162.02085199999996</v>
      </c>
      <c r="P184" s="336">
        <f t="shared" si="22"/>
        <v>-8.5199999995211328E-4</v>
      </c>
      <c r="Q184" s="336">
        <f t="shared" si="23"/>
        <v>2835.3500000000004</v>
      </c>
      <c r="R184" s="339">
        <f t="shared" si="24"/>
        <v>737.62149999999986</v>
      </c>
      <c r="S184" s="339">
        <f t="shared" si="25"/>
        <v>168.59919999999997</v>
      </c>
      <c r="T184" s="339">
        <f t="shared" si="26"/>
        <v>696.02148000000011</v>
      </c>
      <c r="U184" s="339">
        <f t="shared" si="27"/>
        <v>1085.44</v>
      </c>
      <c r="V184" s="339">
        <f t="shared" si="28"/>
        <v>147.66999999999999</v>
      </c>
      <c r="W184" s="339"/>
      <c r="X184" s="340"/>
      <c r="Y184" s="340">
        <f t="shared" si="29"/>
        <v>2835.3521799999999</v>
      </c>
      <c r="Z184" s="341">
        <f t="shared" si="30"/>
        <v>-2.17999999949825E-3</v>
      </c>
      <c r="AA184" s="168"/>
    </row>
    <row r="185" spans="2:27" s="163" customFormat="1" ht="33.75" x14ac:dyDescent="0.25">
      <c r="B185" s="332" t="s">
        <v>490</v>
      </c>
      <c r="C185" s="333">
        <v>96546</v>
      </c>
      <c r="D185" s="342" t="s">
        <v>80</v>
      </c>
      <c r="E185" s="335" t="s">
        <v>62</v>
      </c>
      <c r="F185" s="335">
        <v>14.35</v>
      </c>
      <c r="G185" s="336">
        <v>377.8</v>
      </c>
      <c r="H185" s="338">
        <f>'MEMORIAL DE CALCULO 01'!K204</f>
        <v>99.337000000000003</v>
      </c>
      <c r="I185" s="338">
        <f>'MEMORIAL DE CALCULO 02'!K435</f>
        <v>22.705599999999997</v>
      </c>
      <c r="J185" s="338">
        <f>'MEMORIAL DE CALCULO 03'!K556</f>
        <v>93.734639999999985</v>
      </c>
      <c r="K185" s="338">
        <f>'MEMORIAL DE CALCULO 04'!K664</f>
        <v>146.17963999999998</v>
      </c>
      <c r="L185" s="338">
        <f>'MEMORIAL DE CALCULO 05'!K636</f>
        <v>15.84</v>
      </c>
      <c r="M185" s="343"/>
      <c r="N185" s="343"/>
      <c r="O185" s="336">
        <f t="shared" si="21"/>
        <v>377.79687999999993</v>
      </c>
      <c r="P185" s="336">
        <f t="shared" si="22"/>
        <v>3.1200000000808359E-3</v>
      </c>
      <c r="Q185" s="336">
        <f t="shared" si="23"/>
        <v>5421.43</v>
      </c>
      <c r="R185" s="339">
        <f t="shared" si="24"/>
        <v>1425.48595</v>
      </c>
      <c r="S185" s="339">
        <f t="shared" si="25"/>
        <v>325.82535999999993</v>
      </c>
      <c r="T185" s="339">
        <f t="shared" si="26"/>
        <v>1345.0920839999997</v>
      </c>
      <c r="U185" s="339">
        <f t="shared" si="27"/>
        <v>2097.67</v>
      </c>
      <c r="V185" s="339">
        <f t="shared" si="28"/>
        <v>227.3</v>
      </c>
      <c r="W185" s="339"/>
      <c r="X185" s="340"/>
      <c r="Y185" s="340">
        <f t="shared" si="29"/>
        <v>5421.3733940000002</v>
      </c>
      <c r="Z185" s="341">
        <f t="shared" si="30"/>
        <v>5.6606000000101631E-2</v>
      </c>
      <c r="AA185" s="168"/>
    </row>
    <row r="186" spans="2:27" s="163" customFormat="1" ht="33.75" x14ac:dyDescent="0.25">
      <c r="B186" s="332" t="s">
        <v>491</v>
      </c>
      <c r="C186" s="333">
        <v>96536</v>
      </c>
      <c r="D186" s="334" t="s">
        <v>86</v>
      </c>
      <c r="E186" s="335" t="s">
        <v>17</v>
      </c>
      <c r="F186" s="336">
        <v>69.64</v>
      </c>
      <c r="G186" s="336">
        <v>149.6</v>
      </c>
      <c r="H186" s="337">
        <f>'MEMORIAL DE CALCULO 01'!K206</f>
        <v>53.2</v>
      </c>
      <c r="I186" s="337">
        <f>'MEMORIAL DE CALCULO 02'!K437</f>
        <v>12.16</v>
      </c>
      <c r="J186" s="338">
        <f>'MEMORIAL DE CALCULO 03'!K567</f>
        <v>30.383999999999997</v>
      </c>
      <c r="K186" s="337">
        <f>'MEMORIAL DE CALCULO 04'!K682</f>
        <v>47.304000000000002</v>
      </c>
      <c r="L186" s="337">
        <f>'MEMORIAL DE CALCULO 05'!K638</f>
        <v>6.55</v>
      </c>
      <c r="M186" s="337"/>
      <c r="N186" s="336"/>
      <c r="O186" s="336">
        <f t="shared" si="21"/>
        <v>149.59800000000001</v>
      </c>
      <c r="P186" s="336">
        <f t="shared" si="22"/>
        <v>1.999999999981128E-3</v>
      </c>
      <c r="Q186" s="336">
        <f t="shared" si="23"/>
        <v>10418.144</v>
      </c>
      <c r="R186" s="339">
        <f t="shared" si="24"/>
        <v>3704.8480000000004</v>
      </c>
      <c r="S186" s="339">
        <f t="shared" si="25"/>
        <v>846.82240000000002</v>
      </c>
      <c r="T186" s="339">
        <f t="shared" si="26"/>
        <v>2115.9417599999997</v>
      </c>
      <c r="U186" s="339">
        <f t="shared" si="27"/>
        <v>3294.25</v>
      </c>
      <c r="V186" s="339">
        <f t="shared" si="28"/>
        <v>456.14</v>
      </c>
      <c r="W186" s="339"/>
      <c r="X186" s="340"/>
      <c r="Y186" s="340">
        <f t="shared" si="29"/>
        <v>10418.00216</v>
      </c>
      <c r="Z186" s="341">
        <f t="shared" si="30"/>
        <v>0.14184000000022934</v>
      </c>
      <c r="AA186" s="168"/>
    </row>
    <row r="187" spans="2:27" s="164" customFormat="1" ht="22.5" x14ac:dyDescent="0.25">
      <c r="B187" s="203" t="s">
        <v>492</v>
      </c>
      <c r="C187" s="211">
        <v>98557</v>
      </c>
      <c r="D187" s="205" t="s">
        <v>89</v>
      </c>
      <c r="E187" s="217" t="s">
        <v>17</v>
      </c>
      <c r="F187" s="206">
        <v>48.22</v>
      </c>
      <c r="G187" s="206">
        <v>65.430000000000007</v>
      </c>
      <c r="H187" s="207"/>
      <c r="I187" s="207"/>
      <c r="J187" s="29">
        <f>'MEMORIAL DE CALCULO 03'!K580</f>
        <v>33.634999999999998</v>
      </c>
      <c r="K187" s="207">
        <v>31.8</v>
      </c>
      <c r="L187" s="207"/>
      <c r="M187" s="207"/>
      <c r="N187" s="206"/>
      <c r="O187" s="206">
        <f t="shared" si="21"/>
        <v>65.435000000000002</v>
      </c>
      <c r="P187" s="206">
        <f t="shared" si="22"/>
        <v>-4.9999999999954525E-3</v>
      </c>
      <c r="Q187" s="206">
        <f t="shared" si="23"/>
        <v>3155.0346000000004</v>
      </c>
      <c r="R187" s="208">
        <f t="shared" si="24"/>
        <v>0</v>
      </c>
      <c r="S187" s="208">
        <f t="shared" si="25"/>
        <v>0</v>
      </c>
      <c r="T187" s="208">
        <f t="shared" si="26"/>
        <v>1621.8797</v>
      </c>
      <c r="U187" s="208">
        <f t="shared" si="27"/>
        <v>1533.39</v>
      </c>
      <c r="V187" s="346">
        <f t="shared" si="28"/>
        <v>0</v>
      </c>
      <c r="W187" s="208"/>
      <c r="X187" s="209"/>
      <c r="Y187" s="209">
        <f t="shared" si="29"/>
        <v>3155.2696999999998</v>
      </c>
      <c r="Z187" s="210">
        <f t="shared" si="30"/>
        <v>-0.23509999999942011</v>
      </c>
      <c r="AA187" s="169"/>
    </row>
    <row r="188" spans="2:27" s="164" customFormat="1" ht="45" x14ac:dyDescent="0.25">
      <c r="B188" s="332" t="s">
        <v>493</v>
      </c>
      <c r="C188" s="333">
        <v>103356</v>
      </c>
      <c r="D188" s="334" t="s">
        <v>137</v>
      </c>
      <c r="E188" s="335" t="s">
        <v>17</v>
      </c>
      <c r="F188" s="336">
        <v>46.86</v>
      </c>
      <c r="G188" s="336">
        <v>405.64</v>
      </c>
      <c r="H188" s="337"/>
      <c r="I188" s="337"/>
      <c r="J188" s="338">
        <f>'MEMORIAL DE CALCULO 03'!K581</f>
        <v>208.53700000000003</v>
      </c>
      <c r="K188" s="337">
        <f>'MEMORIAL DE CALCULO 04'!K703</f>
        <v>177.38200000000001</v>
      </c>
      <c r="L188" s="337">
        <f>'MEMORIAL DE CALCULO 05'!K642</f>
        <v>19.721239000000001</v>
      </c>
      <c r="M188" s="337"/>
      <c r="N188" s="336"/>
      <c r="O188" s="336">
        <f t="shared" si="21"/>
        <v>405.64023900000007</v>
      </c>
      <c r="P188" s="336">
        <f t="shared" si="22"/>
        <v>-2.3900000007870403E-4</v>
      </c>
      <c r="Q188" s="336">
        <f t="shared" si="23"/>
        <v>19008.290399999998</v>
      </c>
      <c r="R188" s="339">
        <f t="shared" si="24"/>
        <v>0</v>
      </c>
      <c r="S188" s="339">
        <f t="shared" si="25"/>
        <v>0</v>
      </c>
      <c r="T188" s="339">
        <f t="shared" si="26"/>
        <v>9772.0438200000008</v>
      </c>
      <c r="U188" s="339">
        <f t="shared" si="27"/>
        <v>8312.1200000000008</v>
      </c>
      <c r="V188" s="339">
        <f t="shared" si="28"/>
        <v>924.13</v>
      </c>
      <c r="W188" s="339"/>
      <c r="X188" s="340"/>
      <c r="Y188" s="340">
        <f t="shared" si="29"/>
        <v>19008.293820000003</v>
      </c>
      <c r="Z188" s="341">
        <f t="shared" si="30"/>
        <v>-3.4200000045530032E-3</v>
      </c>
      <c r="AA188" s="169"/>
    </row>
    <row r="189" spans="2:27" s="164" customFormat="1" ht="45" x14ac:dyDescent="0.25">
      <c r="B189" s="332" t="s">
        <v>494</v>
      </c>
      <c r="C189" s="333">
        <v>87893</v>
      </c>
      <c r="D189" s="334" t="s">
        <v>151</v>
      </c>
      <c r="E189" s="335" t="s">
        <v>17</v>
      </c>
      <c r="F189" s="336">
        <v>6.08</v>
      </c>
      <c r="G189" s="336">
        <v>811.27</v>
      </c>
      <c r="H189" s="337"/>
      <c r="I189" s="337"/>
      <c r="J189" s="338"/>
      <c r="K189" s="337">
        <f>'MEMORIAL DE CALCULO 04'!K705</f>
        <v>124.52700000000002</v>
      </c>
      <c r="L189" s="337">
        <f>'MEMORIAL DE CALCULO 05'!K644</f>
        <v>686.74300000000005</v>
      </c>
      <c r="M189" s="337"/>
      <c r="N189" s="336"/>
      <c r="O189" s="336">
        <f t="shared" si="21"/>
        <v>811.2700000000001</v>
      </c>
      <c r="P189" s="336">
        <f t="shared" si="22"/>
        <v>0</v>
      </c>
      <c r="Q189" s="336">
        <f t="shared" si="23"/>
        <v>4932.5216</v>
      </c>
      <c r="R189" s="339">
        <f t="shared" si="24"/>
        <v>0</v>
      </c>
      <c r="S189" s="339">
        <f t="shared" si="25"/>
        <v>0</v>
      </c>
      <c r="T189" s="339">
        <f t="shared" si="26"/>
        <v>0</v>
      </c>
      <c r="U189" s="339">
        <f t="shared" si="27"/>
        <v>757.12</v>
      </c>
      <c r="V189" s="339">
        <f t="shared" si="28"/>
        <v>4175.3900000000003</v>
      </c>
      <c r="W189" s="339"/>
      <c r="X189" s="340"/>
      <c r="Y189" s="340">
        <f t="shared" si="29"/>
        <v>4932.51</v>
      </c>
      <c r="Z189" s="341">
        <f t="shared" si="30"/>
        <v>1.1599999999816646E-2</v>
      </c>
      <c r="AA189" s="169"/>
    </row>
    <row r="190" spans="2:27" ht="56.25" x14ac:dyDescent="0.25">
      <c r="B190" s="332" t="s">
        <v>495</v>
      </c>
      <c r="C190" s="333">
        <v>87548</v>
      </c>
      <c r="D190" s="334" t="s">
        <v>154</v>
      </c>
      <c r="E190" s="335" t="s">
        <v>17</v>
      </c>
      <c r="F190" s="336">
        <v>22.4</v>
      </c>
      <c r="G190" s="336">
        <v>811.27</v>
      </c>
      <c r="H190" s="337"/>
      <c r="I190" s="337"/>
      <c r="J190" s="338"/>
      <c r="K190" s="337"/>
      <c r="L190" s="337">
        <f>'MEMORIAL DE CALCULO 05'!K646</f>
        <v>405.66600000000005</v>
      </c>
      <c r="M190" s="337"/>
      <c r="N190" s="336"/>
      <c r="O190" s="336">
        <f t="shared" si="21"/>
        <v>405.66600000000005</v>
      </c>
      <c r="P190" s="336">
        <f t="shared" si="22"/>
        <v>405.60399999999993</v>
      </c>
      <c r="Q190" s="336">
        <f t="shared" si="23"/>
        <v>18172.447999999997</v>
      </c>
      <c r="R190" s="339">
        <f t="shared" si="24"/>
        <v>0</v>
      </c>
      <c r="S190" s="339">
        <f t="shared" si="25"/>
        <v>0</v>
      </c>
      <c r="T190" s="339">
        <f t="shared" si="26"/>
        <v>0</v>
      </c>
      <c r="U190" s="339">
        <f t="shared" si="27"/>
        <v>0</v>
      </c>
      <c r="V190" s="339">
        <f t="shared" si="28"/>
        <v>9086.91</v>
      </c>
      <c r="W190" s="339"/>
      <c r="X190" s="340"/>
      <c r="Y190" s="340">
        <f t="shared" si="29"/>
        <v>9086.91</v>
      </c>
      <c r="Z190" s="341">
        <f t="shared" si="30"/>
        <v>9085.5379999999968</v>
      </c>
      <c r="AA190" s="167"/>
    </row>
    <row r="191" spans="2:27" ht="22.5" x14ac:dyDescent="0.25">
      <c r="B191" s="203" t="s">
        <v>496</v>
      </c>
      <c r="C191" s="211">
        <v>88489</v>
      </c>
      <c r="D191" s="205" t="s">
        <v>198</v>
      </c>
      <c r="E191" s="217" t="s">
        <v>17</v>
      </c>
      <c r="F191" s="206">
        <v>12.16</v>
      </c>
      <c r="G191" s="206">
        <v>811.27</v>
      </c>
      <c r="H191" s="207"/>
      <c r="I191" s="207"/>
      <c r="J191" s="29"/>
      <c r="K191" s="207"/>
      <c r="L191" s="207"/>
      <c r="M191" s="207"/>
      <c r="N191" s="206"/>
      <c r="O191" s="206">
        <f t="shared" si="21"/>
        <v>0</v>
      </c>
      <c r="P191" s="206">
        <f t="shared" si="22"/>
        <v>811.27</v>
      </c>
      <c r="Q191" s="206">
        <f t="shared" si="23"/>
        <v>9865.0432000000001</v>
      </c>
      <c r="R191" s="208">
        <f t="shared" si="24"/>
        <v>0</v>
      </c>
      <c r="S191" s="208">
        <f t="shared" si="25"/>
        <v>0</v>
      </c>
      <c r="T191" s="208">
        <f t="shared" si="26"/>
        <v>0</v>
      </c>
      <c r="U191" s="208">
        <f t="shared" si="27"/>
        <v>0</v>
      </c>
      <c r="V191" s="208">
        <f t="shared" si="28"/>
        <v>0</v>
      </c>
      <c r="W191" s="208"/>
      <c r="X191" s="209"/>
      <c r="Y191" s="209">
        <f t="shared" si="29"/>
        <v>0</v>
      </c>
      <c r="Z191" s="210">
        <f t="shared" si="30"/>
        <v>9865.0432000000001</v>
      </c>
    </row>
    <row r="192" spans="2:27" ht="22.5" x14ac:dyDescent="0.25">
      <c r="B192" s="203" t="s">
        <v>497</v>
      </c>
      <c r="C192" s="211">
        <v>95305</v>
      </c>
      <c r="D192" s="205" t="s">
        <v>499</v>
      </c>
      <c r="E192" s="217" t="s">
        <v>17</v>
      </c>
      <c r="F192" s="206">
        <v>10.95</v>
      </c>
      <c r="G192" s="206">
        <v>811.27</v>
      </c>
      <c r="H192" s="207"/>
      <c r="I192" s="207"/>
      <c r="J192" s="29"/>
      <c r="K192" s="207"/>
      <c r="L192" s="207"/>
      <c r="M192" s="207"/>
      <c r="N192" s="206"/>
      <c r="O192" s="206">
        <f t="shared" si="21"/>
        <v>0</v>
      </c>
      <c r="P192" s="206">
        <f t="shared" si="22"/>
        <v>811.27</v>
      </c>
      <c r="Q192" s="206">
        <f t="shared" si="23"/>
        <v>8883.4064999999991</v>
      </c>
      <c r="R192" s="208">
        <f t="shared" si="24"/>
        <v>0</v>
      </c>
      <c r="S192" s="208">
        <f t="shared" si="25"/>
        <v>0</v>
      </c>
      <c r="T192" s="208">
        <f t="shared" si="26"/>
        <v>0</v>
      </c>
      <c r="U192" s="208">
        <f t="shared" si="27"/>
        <v>0</v>
      </c>
      <c r="V192" s="208">
        <f t="shared" si="28"/>
        <v>0</v>
      </c>
      <c r="W192" s="208"/>
      <c r="X192" s="209"/>
      <c r="Y192" s="209">
        <f t="shared" si="29"/>
        <v>0</v>
      </c>
      <c r="Z192" s="210">
        <f t="shared" si="30"/>
        <v>8883.4064999999991</v>
      </c>
    </row>
    <row r="193" spans="2:26" ht="14.45" customHeight="1" x14ac:dyDescent="0.25">
      <c r="B193" s="212">
        <v>1.1599999999999999</v>
      </c>
      <c r="C193" s="213" t="s">
        <v>501</v>
      </c>
      <c r="D193" s="205"/>
      <c r="E193" s="217"/>
      <c r="F193" s="206"/>
      <c r="G193" s="206"/>
      <c r="H193" s="207"/>
      <c r="I193" s="207"/>
      <c r="J193" s="29"/>
      <c r="K193" s="207"/>
      <c r="L193" s="207"/>
      <c r="M193" s="207"/>
      <c r="N193" s="206"/>
      <c r="O193" s="206">
        <f t="shared" si="21"/>
        <v>0</v>
      </c>
      <c r="P193" s="206"/>
      <c r="Q193" s="206"/>
      <c r="R193" s="208">
        <f t="shared" si="24"/>
        <v>0</v>
      </c>
      <c r="S193" s="208">
        <f t="shared" si="25"/>
        <v>0</v>
      </c>
      <c r="T193" s="208">
        <f t="shared" si="26"/>
        <v>0</v>
      </c>
      <c r="U193" s="208">
        <f t="shared" si="27"/>
        <v>0</v>
      </c>
      <c r="V193" s="208">
        <f t="shared" si="28"/>
        <v>0</v>
      </c>
      <c r="W193" s="208"/>
      <c r="X193" s="209"/>
      <c r="Y193" s="209">
        <f t="shared" si="29"/>
        <v>0</v>
      </c>
      <c r="Z193" s="210">
        <f t="shared" si="30"/>
        <v>0</v>
      </c>
    </row>
    <row r="194" spans="2:26" ht="33.75" x14ac:dyDescent="0.25">
      <c r="B194" s="203" t="s">
        <v>502</v>
      </c>
      <c r="C194" s="204" t="s">
        <v>503</v>
      </c>
      <c r="D194" s="205" t="s">
        <v>504</v>
      </c>
      <c r="E194" s="217" t="s">
        <v>166</v>
      </c>
      <c r="F194" s="206">
        <v>4877.91</v>
      </c>
      <c r="G194" s="206">
        <v>2</v>
      </c>
      <c r="H194" s="207"/>
      <c r="I194" s="207"/>
      <c r="J194" s="29"/>
      <c r="K194" s="207"/>
      <c r="L194" s="207"/>
      <c r="M194" s="207"/>
      <c r="N194" s="206"/>
      <c r="O194" s="206">
        <f t="shared" si="21"/>
        <v>0</v>
      </c>
      <c r="P194" s="206">
        <f t="shared" si="22"/>
        <v>2</v>
      </c>
      <c r="Q194" s="206">
        <f t="shared" si="23"/>
        <v>9755.82</v>
      </c>
      <c r="R194" s="208">
        <f t="shared" si="24"/>
        <v>0</v>
      </c>
      <c r="S194" s="208">
        <f t="shared" si="25"/>
        <v>0</v>
      </c>
      <c r="T194" s="208">
        <f t="shared" si="26"/>
        <v>0</v>
      </c>
      <c r="U194" s="208">
        <f t="shared" si="27"/>
        <v>0</v>
      </c>
      <c r="V194" s="208">
        <f t="shared" si="28"/>
        <v>0</v>
      </c>
      <c r="W194" s="208"/>
      <c r="X194" s="209"/>
      <c r="Y194" s="209">
        <f t="shared" si="29"/>
        <v>0</v>
      </c>
      <c r="Z194" s="210">
        <f t="shared" si="30"/>
        <v>9755.82</v>
      </c>
    </row>
    <row r="195" spans="2:26" ht="45.75" thickBot="1" x14ac:dyDescent="0.3">
      <c r="B195" s="219" t="s">
        <v>505</v>
      </c>
      <c r="C195" s="220" t="s">
        <v>506</v>
      </c>
      <c r="D195" s="221" t="s">
        <v>507</v>
      </c>
      <c r="E195" s="222" t="s">
        <v>166</v>
      </c>
      <c r="F195" s="223">
        <v>3733.15</v>
      </c>
      <c r="G195" s="223">
        <v>1</v>
      </c>
      <c r="H195" s="224"/>
      <c r="I195" s="224"/>
      <c r="J195" s="225"/>
      <c r="K195" s="224"/>
      <c r="L195" s="224"/>
      <c r="M195" s="224"/>
      <c r="N195" s="223"/>
      <c r="O195" s="226">
        <f t="shared" si="21"/>
        <v>0</v>
      </c>
      <c r="P195" s="223">
        <f t="shared" si="22"/>
        <v>1</v>
      </c>
      <c r="Q195" s="226">
        <f t="shared" si="23"/>
        <v>3733.15</v>
      </c>
      <c r="R195" s="208">
        <f t="shared" si="24"/>
        <v>0</v>
      </c>
      <c r="S195" s="208">
        <f t="shared" si="25"/>
        <v>0</v>
      </c>
      <c r="T195" s="208">
        <f t="shared" si="26"/>
        <v>0</v>
      </c>
      <c r="U195" s="208">
        <f t="shared" si="27"/>
        <v>0</v>
      </c>
      <c r="V195" s="208">
        <f t="shared" si="28"/>
        <v>0</v>
      </c>
      <c r="W195" s="227"/>
      <c r="X195" s="228"/>
      <c r="Y195" s="209">
        <f t="shared" si="29"/>
        <v>0</v>
      </c>
      <c r="Z195" s="229">
        <f t="shared" si="30"/>
        <v>3733.15</v>
      </c>
    </row>
    <row r="196" spans="2:26" ht="15.75" thickBot="1" x14ac:dyDescent="0.3">
      <c r="B196" s="167"/>
      <c r="C196" s="167"/>
      <c r="D196" s="167"/>
      <c r="E196" s="230"/>
      <c r="F196" s="230"/>
      <c r="G196" s="230"/>
      <c r="H196" s="195"/>
      <c r="I196" s="230"/>
      <c r="J196" s="230"/>
      <c r="K196" s="230"/>
      <c r="L196" s="230"/>
      <c r="M196" s="230"/>
      <c r="N196" s="230"/>
      <c r="O196" s="231"/>
      <c r="P196" s="232"/>
      <c r="Q196" s="233">
        <f t="shared" ref="Q196:V196" si="31">SUM(Q14:Q195)</f>
        <v>1240378.3832000003</v>
      </c>
      <c r="R196" s="233">
        <f t="shared" si="31"/>
        <v>66571.964737500006</v>
      </c>
      <c r="S196" s="233">
        <f t="shared" si="31"/>
        <v>61443.00776244999</v>
      </c>
      <c r="T196" s="233">
        <f t="shared" si="31"/>
        <v>66865.073129099997</v>
      </c>
      <c r="U196" s="233">
        <f t="shared" si="31"/>
        <v>79712.63</v>
      </c>
      <c r="V196" s="233">
        <f t="shared" si="31"/>
        <v>103177.48903680005</v>
      </c>
      <c r="W196" s="233"/>
      <c r="X196" s="233"/>
      <c r="Y196" s="233">
        <f>SUM(Y14:Y195)</f>
        <v>377770.16466584988</v>
      </c>
      <c r="Z196" s="233">
        <f t="shared" si="30"/>
        <v>862608.21853415039</v>
      </c>
    </row>
    <row r="197" spans="2:26" ht="15.75" thickBot="1" x14ac:dyDescent="0.3">
      <c r="B197" s="167"/>
      <c r="C197" s="167"/>
      <c r="D197" s="167"/>
      <c r="E197" s="167"/>
      <c r="F197" s="167"/>
      <c r="G197" s="167"/>
      <c r="H197" s="196"/>
      <c r="I197" s="167"/>
      <c r="J197" s="167"/>
      <c r="K197" s="167"/>
      <c r="L197" s="167"/>
      <c r="M197" s="167"/>
      <c r="N197" s="167"/>
      <c r="O197" s="167"/>
      <c r="P197" s="234"/>
      <c r="Q197" s="542" t="s">
        <v>546</v>
      </c>
      <c r="R197" s="542" t="s">
        <v>547</v>
      </c>
      <c r="S197" s="542" t="s">
        <v>549</v>
      </c>
      <c r="T197" s="542" t="s">
        <v>550</v>
      </c>
      <c r="U197" s="542" t="s">
        <v>551</v>
      </c>
      <c r="V197" s="542" t="s">
        <v>552</v>
      </c>
      <c r="W197" s="542" t="s">
        <v>553</v>
      </c>
      <c r="X197" s="542" t="s">
        <v>554</v>
      </c>
      <c r="Y197" s="544" t="s">
        <v>548</v>
      </c>
      <c r="Z197" s="542" t="s">
        <v>541</v>
      </c>
    </row>
    <row r="198" spans="2:26" ht="24" customHeight="1" thickBot="1" x14ac:dyDescent="0.3">
      <c r="B198" s="167"/>
      <c r="C198" s="167"/>
      <c r="D198" s="167"/>
      <c r="E198" s="167"/>
      <c r="F198" s="167"/>
      <c r="G198" s="167"/>
      <c r="H198" s="196"/>
      <c r="I198" s="167"/>
      <c r="J198" s="167"/>
      <c r="K198" s="167"/>
      <c r="L198" s="167"/>
      <c r="M198" s="167"/>
      <c r="N198" s="167"/>
      <c r="O198" s="167"/>
      <c r="P198" s="234"/>
      <c r="Q198" s="542"/>
      <c r="R198" s="542"/>
      <c r="S198" s="542"/>
      <c r="T198" s="542"/>
      <c r="U198" s="542"/>
      <c r="V198" s="542"/>
      <c r="W198" s="542"/>
      <c r="X198" s="542"/>
      <c r="Y198" s="544"/>
      <c r="Z198" s="542"/>
    </row>
  </sheetData>
  <mergeCells count="27">
    <mergeCell ref="S197:S198"/>
    <mergeCell ref="J8:P8"/>
    <mergeCell ref="B2:Z2"/>
    <mergeCell ref="Y3:Z8"/>
    <mergeCell ref="B4:N4"/>
    <mergeCell ref="Q4:X4"/>
    <mergeCell ref="B6:D6"/>
    <mergeCell ref="E6:N6"/>
    <mergeCell ref="O6:X6"/>
    <mergeCell ref="B8:C8"/>
    <mergeCell ref="Q8:X8"/>
    <mergeCell ref="B10:B11"/>
    <mergeCell ref="Z197:Z198"/>
    <mergeCell ref="U197:U198"/>
    <mergeCell ref="Q10:Z10"/>
    <mergeCell ref="C10:C11"/>
    <mergeCell ref="D10:D11"/>
    <mergeCell ref="X197:X198"/>
    <mergeCell ref="Y197:Y198"/>
    <mergeCell ref="Q197:Q198"/>
    <mergeCell ref="R197:R198"/>
    <mergeCell ref="E10:E11"/>
    <mergeCell ref="F10:F11"/>
    <mergeCell ref="G10:P10"/>
    <mergeCell ref="V197:V198"/>
    <mergeCell ref="W197:W198"/>
    <mergeCell ref="T197:T198"/>
  </mergeCells>
  <phoneticPr fontId="20" type="noConversion"/>
  <pageMargins left="0.511811024" right="0.511811024" top="0.78740157499999996" bottom="0.78740157499999996" header="0.31496062000000002" footer="0.31496062000000002"/>
  <pageSetup paperSize="9" scale="60" fitToHeight="0" orientation="landscape" r:id="rId1"/>
  <ignoredErrors>
    <ignoredError sqref="B20 B25 B81 B118 B127" numberStoredAsText="1"/>
    <ignoredError sqref="T26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U666"/>
  <sheetViews>
    <sheetView topLeftCell="A392" zoomScale="84" zoomScaleNormal="205" workbookViewId="0">
      <selection activeCell="D406" sqref="D40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3" t="s">
        <v>936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v>45422</v>
      </c>
      <c r="C8" s="498"/>
      <c r="D8" s="23" t="s">
        <v>954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4" t="s">
        <v>933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05'!K14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05'!K15</f>
        <v>2.25</v>
      </c>
      <c r="K15" s="81">
        <f>F15*G15*H15</f>
        <v>2.75</v>
      </c>
      <c r="L15" s="82">
        <f t="shared" ref="L15:L519" si="0">J15+K15</f>
        <v>5</v>
      </c>
      <c r="M15" s="82">
        <f>'BOLETIM DE MEDIÇÃO 05'!G15</f>
        <v>5</v>
      </c>
      <c r="N15" s="86">
        <f t="shared" ref="N15:N519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05'!K16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05'!K17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05'!K19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05'!K21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05'!K24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05'!K25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0">
        <v>1</v>
      </c>
      <c r="G70" s="525">
        <f>43.05</f>
        <v>43.05</v>
      </c>
      <c r="H70" s="526"/>
      <c r="I70" s="527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1"/>
      <c r="G71" s="528"/>
      <c r="H71" s="529"/>
      <c r="I71" s="530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22" t="s">
        <v>883</v>
      </c>
      <c r="H72" s="523"/>
      <c r="I72" s="524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20" t="s">
        <v>838</v>
      </c>
      <c r="H73" s="521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20">
        <v>9</v>
      </c>
      <c r="H74" s="521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20">
        <v>5</v>
      </c>
      <c r="H75" s="521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20">
        <f xml:space="preserve"> (13.03 * 2.7)</f>
        <v>35.180999999999997</v>
      </c>
      <c r="H76" s="521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20">
        <v>3</v>
      </c>
      <c r="H77" s="521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20">
        <v>7</v>
      </c>
      <c r="H78" s="521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20">
        <v>21</v>
      </c>
      <c r="H79" s="521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20">
        <v>27</v>
      </c>
      <c r="H80" s="521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20">
        <v>26</v>
      </c>
      <c r="H81" s="521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20">
        <v>1.6</v>
      </c>
      <c r="H82" s="521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20">
        <v>1.6</v>
      </c>
      <c r="H83" s="521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20">
        <v>45</v>
      </c>
      <c r="H84" s="521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20">
        <v>19</v>
      </c>
      <c r="H85" s="521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20">
        <v>19</v>
      </c>
      <c r="H86" s="521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20">
        <v>5</v>
      </c>
      <c r="H87" s="521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20">
        <v>14</v>
      </c>
      <c r="H88" s="521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31">
        <v>36</v>
      </c>
      <c r="H89" s="532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31">
        <v>46</v>
      </c>
      <c r="H90" s="532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20">
        <v>41</v>
      </c>
      <c r="H91" s="521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20">
        <v>27</v>
      </c>
      <c r="H92" s="521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20">
        <v>53</v>
      </c>
      <c r="H93" s="521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20">
        <f xml:space="preserve"> (2.65*1.8)</f>
        <v>4.7699999999999996</v>
      </c>
      <c r="H94" s="521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20">
        <v>30</v>
      </c>
      <c r="H95" s="521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20">
        <v>30</v>
      </c>
      <c r="H96" s="521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20">
        <v>14</v>
      </c>
      <c r="H97" s="521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20">
        <v>14</v>
      </c>
      <c r="H98" s="521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20">
        <v>20</v>
      </c>
      <c r="H99" s="521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20">
        <v>3</v>
      </c>
      <c r="H100" s="521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20">
        <v>4</v>
      </c>
      <c r="H101" s="521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20">
        <v>12</v>
      </c>
      <c r="H102" s="521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20">
        <v>20</v>
      </c>
      <c r="H103" s="521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20">
        <v>4</v>
      </c>
      <c r="H104" s="521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20">
        <v>5</v>
      </c>
      <c r="H105" s="521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20">
        <f>1184.23-SUM(G74:H105)</f>
        <v>582.07900000000006</v>
      </c>
      <c r="H106" s="521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20"/>
      <c r="H107" s="521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09" t="s">
        <v>652</v>
      </c>
      <c r="H108" s="512"/>
      <c r="I108" s="51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05'!K154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05'!K163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6" t="s">
        <v>831</v>
      </c>
      <c r="H172" s="507"/>
      <c r="I172" s="508"/>
      <c r="J172" s="99">
        <f>'BOLETIM DE MEDIÇÃO 05'!O29-'MEMORIAL DE CALCULO 05'!K172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09">
        <v>492.78</v>
      </c>
      <c r="H173" s="512"/>
      <c r="I173" s="51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09">
        <f>(2*12)+(2*3.79)+(2*8.94)+(2*6.27)+ 1.39+0.99 +(2*1.85)+(2*1.7)+ (2*1.35)</f>
        <v>74.180000000000007</v>
      </c>
      <c r="H174" s="510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09">
        <f>(2*10.92)+(2*10.92)+ 1.3 + 1.1</f>
        <v>46.08</v>
      </c>
      <c r="H175" s="510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09">
        <f>(2*1.87)+(2*1.87)</f>
        <v>7.48</v>
      </c>
      <c r="H176" s="510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09">
        <f>(2*6.55)+(2*6.3)+1.75+1.35+1.19</f>
        <v>29.990000000000002</v>
      </c>
      <c r="H177" s="510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09">
        <f>(2*8.39)+(2*1.7)+ 1.1+ 3.13 + (2*5.24)+ (2*3.11)</f>
        <v>41.11</v>
      </c>
      <c r="H178" s="510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09"/>
      <c r="H179" s="510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09"/>
      <c r="H180" s="510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09"/>
      <c r="H181" s="510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09"/>
      <c r="H182" s="510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09"/>
      <c r="H183" s="510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09"/>
      <c r="H184" s="510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09"/>
      <c r="H185" s="510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09"/>
      <c r="H186" s="510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09"/>
      <c r="H187" s="510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09"/>
      <c r="H188" s="510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09"/>
      <c r="H189" s="510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09"/>
      <c r="H190" s="510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09"/>
      <c r="H191" s="510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09"/>
      <c r="H192" s="510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09"/>
      <c r="H193" s="510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09"/>
      <c r="H194" s="510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09"/>
      <c r="H195" s="510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09"/>
      <c r="H196" s="510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09"/>
      <c r="H197" s="510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09"/>
      <c r="H198" s="510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09"/>
      <c r="H199" s="510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6">
        <f xml:space="preserve"> (2*1.31) + (2*1.51) + (2*4.98)</f>
        <v>15.600000000000001</v>
      </c>
      <c r="H201" s="511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6">
        <f xml:space="preserve"> (3*3.37) + (1.37) + (2*3.47)</f>
        <v>18.420000000000002</v>
      </c>
      <c r="H202" s="511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6">
        <f xml:space="preserve"> (1.87) + (2*3.62)</f>
        <v>9.11</v>
      </c>
      <c r="H203" s="511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6">
        <f xml:space="preserve"> (4*0.88) + (2*3.36) + (2*5.03)</f>
        <v>20.3</v>
      </c>
      <c r="H204" s="511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6">
        <f xml:space="preserve"> (2*3.18) + (2*3.18)</f>
        <v>12.72</v>
      </c>
      <c r="H205" s="511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6">
        <f xml:space="preserve"> (4*2.15)</f>
        <v>8.6</v>
      </c>
      <c r="H206" s="511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6">
        <f xml:space="preserve"> (4*6.99)</f>
        <v>27.96</v>
      </c>
      <c r="H207" s="511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6" t="s">
        <v>831</v>
      </c>
      <c r="H208" s="507"/>
      <c r="I208" s="508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6"/>
      <c r="H209" s="507"/>
      <c r="I209" s="508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09" t="s">
        <v>679</v>
      </c>
      <c r="H217" s="510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6" t="s">
        <v>680</v>
      </c>
      <c r="H218" s="511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6" t="s">
        <v>681</v>
      </c>
      <c r="H219" s="511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6" t="s">
        <v>682</v>
      </c>
      <c r="H220" s="511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6" t="s">
        <v>684</v>
      </c>
      <c r="H221" s="511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6" t="s">
        <v>683</v>
      </c>
      <c r="H222" s="511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6" t="s">
        <v>685</v>
      </c>
      <c r="H223" s="511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09" t="s">
        <v>686</v>
      </c>
      <c r="H224" s="510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6" t="s">
        <v>687</v>
      </c>
      <c r="H225" s="511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6" t="s">
        <v>688</v>
      </c>
      <c r="H226" s="511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09" t="s">
        <v>689</v>
      </c>
      <c r="H227" s="510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6" t="s">
        <v>690</v>
      </c>
      <c r="H228" s="511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09" t="s">
        <v>691</v>
      </c>
      <c r="H229" s="510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6" t="s">
        <v>692</v>
      </c>
      <c r="H230" s="511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6" t="s">
        <v>693</v>
      </c>
      <c r="H231" s="511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09" t="s">
        <v>694</v>
      </c>
      <c r="H232" s="510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6" t="s">
        <v>695</v>
      </c>
      <c r="H233" s="511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6" t="s">
        <v>696</v>
      </c>
      <c r="H234" s="511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6" t="s">
        <v>697</v>
      </c>
      <c r="H235" s="511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6" t="s">
        <v>698</v>
      </c>
      <c r="H236" s="511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6" t="s">
        <v>699</v>
      </c>
      <c r="H237" s="511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6" t="s">
        <v>700</v>
      </c>
      <c r="H238" s="511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6" t="s">
        <v>701</v>
      </c>
      <c r="H239" s="511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09" t="s">
        <v>702</v>
      </c>
      <c r="H240" s="510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6" t="s">
        <v>704</v>
      </c>
      <c r="H241" s="511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6" t="s">
        <v>703</v>
      </c>
      <c r="H242" s="511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6" t="s">
        <v>703</v>
      </c>
      <c r="H243" s="511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6" t="s">
        <v>705</v>
      </c>
      <c r="H244" s="511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6" t="s">
        <v>704</v>
      </c>
      <c r="H245" s="511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6" t="s">
        <v>705</v>
      </c>
      <c r="H246" s="511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6" t="s">
        <v>704</v>
      </c>
      <c r="H247" s="511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6">
        <v>9.6</v>
      </c>
      <c r="H248" s="507"/>
      <c r="I248" s="508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6">
        <v>12.75</v>
      </c>
      <c r="H249" s="507"/>
      <c r="I249" s="508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36" t="s">
        <v>874</v>
      </c>
      <c r="H257" s="537"/>
      <c r="I257" s="538"/>
      <c r="J257" s="99">
        <f>'BOLETIM DE MEDIÇÃO 05'!O31-'MEMORIAL DE CALCULO 05'!K257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6"/>
      <c r="H258" s="507"/>
      <c r="I258" s="508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6">
        <v>9.6</v>
      </c>
      <c r="H259" s="507"/>
      <c r="I259" s="508"/>
      <c r="J259" s="99"/>
      <c r="K259" s="82"/>
      <c r="L259" s="82"/>
      <c r="M259" s="82"/>
      <c r="N259" s="86"/>
      <c r="S259" s="161"/>
      <c r="T259" s="161"/>
      <c r="U259" s="162"/>
    </row>
    <row r="260" spans="2:21" ht="33.7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6" t="s">
        <v>831</v>
      </c>
      <c r="H260" s="507"/>
      <c r="I260" s="508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6">
        <f>G249</f>
        <v>12.75</v>
      </c>
      <c r="H261" s="507"/>
      <c r="I261" s="508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6" t="s">
        <v>831</v>
      </c>
      <c r="H262" s="507"/>
      <c r="I262" s="508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09" t="s">
        <v>647</v>
      </c>
      <c r="H263" s="510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6">
        <f xml:space="preserve"> ((0.59*(1.85/0.1)) * 2)</f>
        <v>21.83</v>
      </c>
      <c r="H264" s="511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6">
        <f>(0.69*(1.87/0.1)) + (0.79*(1.87/0.1))</f>
        <v>27.675999999999998</v>
      </c>
      <c r="H265" s="511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6">
        <f>((0.69*(1.9/0.1))*3) + ((0.59*(1.87/0.1))*2)</f>
        <v>61.395999999999987</v>
      </c>
      <c r="H266" s="511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6">
        <f>((0.69*(1.92/0.1))*1) + ((0.59*(1.92/0.1))*2)</f>
        <v>35.903999999999996</v>
      </c>
      <c r="H267" s="511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6">
        <f>((0.79*(1.94/0.1))*3)</f>
        <v>45.977999999999994</v>
      </c>
      <c r="H268" s="511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6">
        <f>((0.69*(1.96/0.1))*3) + ((0.59*(1.96/0.1))*2)</f>
        <v>63.699999999999989</v>
      </c>
      <c r="H269" s="511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6">
        <f>((0.59*(1.95/0.1))*2) + ((0.69*(1.95/0.1))*3) +((0.79*(1.95/0.1))*1)</f>
        <v>78.78</v>
      </c>
      <c r="H270" s="511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6">
        <f>((0.59*(1.97/0.1))*1)  +((0.79*(1.97/0.1))*2)</f>
        <v>42.749000000000002</v>
      </c>
      <c r="H271" s="511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6">
        <f>((0.59*(1.9/0.1))*3)</f>
        <v>33.629999999999995</v>
      </c>
      <c r="H272" s="511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6">
        <f>((0.69*(1.86/0.1))*1) + ((0.69*(1.86/0.1))*1) + ((0.89*(1.86/0.1))*1)</f>
        <v>42.222000000000001</v>
      </c>
      <c r="H273" s="511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6">
        <f>((0.69*(1.87/0.1))*3)</f>
        <v>38.708999999999996</v>
      </c>
      <c r="H274" s="511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6">
        <f>((0.69*(1.9/0.1))*1) + ((0.79*(1.9/0.1))*2) + ((0.59*(1.9/0.1))*1)</f>
        <v>54.339999999999989</v>
      </c>
      <c r="H275" s="511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6">
        <f>((0.79*(1.91/0.1))*1) +((0.59*(1.91/0.1))*1)</f>
        <v>26.357999999999997</v>
      </c>
      <c r="H276" s="511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6">
        <f>((0.79*(1.94/0.1))*1) +((0.59*(1.94/0.1))*5)</f>
        <v>72.555999999999983</v>
      </c>
      <c r="H277" s="511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6">
        <f>((0.69*(1.92/0.1))*2) + ((0.69*(1.92/0.1))*1)</f>
        <v>39.744</v>
      </c>
      <c r="H278" s="511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6">
        <f>((0.59*(1.93/0.1))*2) + ((0.79*(1.93/0.1))*1)</f>
        <v>38.020999999999994</v>
      </c>
      <c r="H279" s="511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6">
        <f>((0.59*(1.87/0.1))*2) + ((0.69*(1.87/0.1))*2)</f>
        <v>47.872</v>
      </c>
      <c r="H280" s="511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6">
        <f>((0.59*(1.88/0.1))*3) + ((0.69*(1.88/0.1))*1)</f>
        <v>46.24799999999999</v>
      </c>
      <c r="H281" s="511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6">
        <f>((0.79*(1.9/0.1))*1) + ((0.69*(1.9/0.1))*3)</f>
        <v>54.339999999999982</v>
      </c>
      <c r="H282" s="511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6">
        <f>((0.59*(1.9/0.1))*1)</f>
        <v>11.209999999999997</v>
      </c>
      <c r="H283" s="511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6">
        <f>((0.69*(1.87/0.1))*1) + ((0.59*(1.87/0.1))*1)</f>
        <v>23.936</v>
      </c>
      <c r="H284" s="511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6">
        <f>((0.69*(2/0.1))*1) + ((0.59*(2/0.1))*2)</f>
        <v>37.4</v>
      </c>
      <c r="H285" s="511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6">
        <f>((0.69*(2.01/0.1))*1) + ((0.59*(2.01/0.1))*5) + ((0.79*(2.01/0.1))*1)</f>
        <v>89.042999999999992</v>
      </c>
      <c r="H286" s="511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6">
        <f>(((1.39+0.47+0.47))*(1.86/0.15))</f>
        <v>28.892000000000003</v>
      </c>
      <c r="H287" s="511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6">
        <f>(((1.09+0.022))*(1.87/0.15))</f>
        <v>13.862933333333336</v>
      </c>
      <c r="H288" s="511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6">
        <f>(((1.09+0.022))*(1.89/0.15))</f>
        <v>14.011200000000001</v>
      </c>
      <c r="H289" s="511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6">
        <f>(((0.59))*(1.9/0.15))</f>
        <v>7.4733333333333327</v>
      </c>
      <c r="H290" s="511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6">
        <f>(((0.59))*(1.92/0.15))</f>
        <v>7.5519999999999996</v>
      </c>
      <c r="H291" s="511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6">
        <f>(((0.59))*(1.9/0.15))</f>
        <v>7.4733333333333327</v>
      </c>
      <c r="H292" s="511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6">
        <f>(((0.69))*(1.98/0.15))</f>
        <v>9.1080000000000005</v>
      </c>
      <c r="H293" s="511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09">
        <v>210.13</v>
      </c>
      <c r="H294" s="512"/>
      <c r="I294" s="51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6">
        <f xml:space="preserve"> (2*2.51) + (40*0.59)</f>
        <v>28.619999999999997</v>
      </c>
      <c r="H295" s="511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6">
        <f xml:space="preserve"> (19*0.79)</f>
        <v>15.010000000000002</v>
      </c>
      <c r="H296" s="511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6">
        <f xml:space="preserve"> (21*0.79)</f>
        <v>16.59</v>
      </c>
      <c r="H297" s="511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6">
        <f xml:space="preserve"> (2*3.86) + (29*0.79)</f>
        <v>30.63</v>
      </c>
      <c r="H298" s="511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6">
        <f xml:space="preserve"> (22*0.59)</f>
        <v>12.979999999999999</v>
      </c>
      <c r="H299" s="511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6">
        <f xml:space="preserve"> (14*0.059)</f>
        <v>0.82599999999999996</v>
      </c>
      <c r="H300" s="511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6">
        <f xml:space="preserve"> (59*0.59)</f>
        <v>34.809999999999995</v>
      </c>
      <c r="H301" s="511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05'!K302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6">
        <v>295</v>
      </c>
      <c r="H303" s="507"/>
      <c r="I303" s="508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09" t="s">
        <v>628</v>
      </c>
      <c r="H306" s="510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6">
        <f xml:space="preserve"> (4*(0.2+0.25+1.85+0.33)) * 2</f>
        <v>21.040000000000003</v>
      </c>
      <c r="H307" s="511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6">
        <f xml:space="preserve"> ((4*(0.2+0.25+1.87+0.33)) * 2)</f>
        <v>21.200000000000003</v>
      </c>
      <c r="H308" s="511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6">
        <f xml:space="preserve"> (4*(0.2+0.25+1.9+0.33)) * 5</f>
        <v>53.6</v>
      </c>
      <c r="H309" s="511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6">
        <f xml:space="preserve"> (4*(0.2+0.25+1.92+0.33)) *3</f>
        <v>32.400000000000006</v>
      </c>
      <c r="H310" s="511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6">
        <f xml:space="preserve"> (4*(0.2+0.25+1.94+0.33)) * 3</f>
        <v>32.64</v>
      </c>
      <c r="H311" s="511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6">
        <f xml:space="preserve"> (4*(0.2+0.25+1.96+0.33)) * 5</f>
        <v>54.800000000000004</v>
      </c>
      <c r="H312" s="511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6">
        <f xml:space="preserve"> (4*(0.2+0.25+1.95+0.33)) * 6</f>
        <v>65.52</v>
      </c>
      <c r="H313" s="511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6">
        <f xml:space="preserve"> (4*(0.2+0.25+1.97+0.33)) * 3</f>
        <v>33</v>
      </c>
      <c r="H314" s="511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6">
        <f xml:space="preserve"> (4*(0.2+0.25+1.9+0.33)) * 3</f>
        <v>32.160000000000004</v>
      </c>
      <c r="H315" s="511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6">
        <f xml:space="preserve"> ((4*(0.2+0.25+1.86+0.33)) * 3)</f>
        <v>31.68</v>
      </c>
      <c r="H316" s="511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6">
        <f xml:space="preserve"> ((4*(0.2+0.25+1.87+0.33)) * 3)</f>
        <v>31.800000000000004</v>
      </c>
      <c r="H317" s="511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6">
        <f xml:space="preserve"> ((4*(0.2+0.25+1.9+0.33)) * 4)</f>
        <v>42.88</v>
      </c>
      <c r="H318" s="511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6">
        <f xml:space="preserve"> ((4*(0.2+0.25+1.91+0.33)) * 2)</f>
        <v>21.52</v>
      </c>
      <c r="H319" s="511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6">
        <f xml:space="preserve"> ((4*(0.2+0.25+1.94+0.33)) * 6)</f>
        <v>65.28</v>
      </c>
      <c r="H320" s="511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6">
        <f xml:space="preserve"> ((4*(0.2+0.25+1.92+0.33)) *3)</f>
        <v>32.400000000000006</v>
      </c>
      <c r="H321" s="511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6">
        <f xml:space="preserve"> ((4*(0.2+0.25+1.93+0.33)) *3)</f>
        <v>32.519999999999996</v>
      </c>
      <c r="H322" s="511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6">
        <f xml:space="preserve"> ((4*(0.2+0.25+1.87+0.33)) *4)</f>
        <v>42.400000000000006</v>
      </c>
      <c r="H323" s="511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6">
        <f xml:space="preserve"> ((4*(0.2+0.25+1.88+0.33)) *4)</f>
        <v>42.56</v>
      </c>
      <c r="H324" s="511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6">
        <f xml:space="preserve"> ((4*(0.2+0.25+1.9+0.33)) *4)</f>
        <v>42.88</v>
      </c>
      <c r="H325" s="511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6">
        <f>((4*(0.2+0.25+1.9+0.33))) + ((8*(0.2+0.25+1.9)))</f>
        <v>29.520000000000003</v>
      </c>
      <c r="H326" s="511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6">
        <f xml:space="preserve"> ((4*(0.2+0.25+1.97+0.33)) *2)</f>
        <v>22</v>
      </c>
      <c r="H327" s="511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6">
        <f xml:space="preserve"> ((4*(0.2+0.25+2+0.33)) *3)</f>
        <v>33.36</v>
      </c>
      <c r="H328" s="511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6">
        <f xml:space="preserve"> ((4*(0.2+0.25+2.01+0.33)) *7)</f>
        <v>78.12</v>
      </c>
      <c r="H329" s="511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6" t="s">
        <v>831</v>
      </c>
      <c r="H330" s="507"/>
      <c r="I330" s="508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09" t="s">
        <v>628</v>
      </c>
      <c r="H331" s="510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6">
        <f>((8*(0.2+0.25+1.86+0.42)))</f>
        <v>21.84</v>
      </c>
      <c r="H332" s="511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6">
        <f>((6*(0.2+0.25+1.87+0.42)))</f>
        <v>16.440000000000001</v>
      </c>
      <c r="H333" s="511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6">
        <f>((6*(0.2+0.25+1.89+0.42)))</f>
        <v>16.559999999999999</v>
      </c>
      <c r="H334" s="511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6">
        <f>((4*(0.2+0.25+1.9+0.42)))</f>
        <v>11.08</v>
      </c>
      <c r="H335" s="511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6">
        <f>((4*(0.2+0.25+1.92+0.42)))</f>
        <v>11.16</v>
      </c>
      <c r="H336" s="511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6">
        <f>((4*(0.2+0.25+1.9+0.42)))</f>
        <v>11.08</v>
      </c>
      <c r="H337" s="511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6">
        <f>((4*(0.2+0.25+1.98+0.42)))+(2*(0.2+0.25+1.98))</f>
        <v>16.260000000000002</v>
      </c>
      <c r="H338" s="511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09">
        <v>52.34</v>
      </c>
      <c r="H339" s="512"/>
      <c r="I339" s="51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6"/>
      <c r="H340" s="507"/>
      <c r="I340" s="508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6">
        <v>223.49</v>
      </c>
      <c r="H341" s="507"/>
      <c r="I341" s="508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09" t="s">
        <v>706</v>
      </c>
      <c r="H350" s="510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6">
        <f xml:space="preserve"> ((0.15+0.25)*2) *2</f>
        <v>1.6</v>
      </c>
      <c r="H351" s="511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6">
        <f xml:space="preserve"> ((0.2+0.25)*2) + ((0.2+0.3)*2)</f>
        <v>1.9</v>
      </c>
      <c r="H352" s="511"/>
      <c r="I352" s="105">
        <v>1.87</v>
      </c>
      <c r="J352" s="99"/>
      <c r="K352" s="82">
        <f t="shared" ref="K352:K513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6">
        <f xml:space="preserve"> ((0.2+0.25)*2*3) + ((0.2+0.2)*2*1) + ((0.15+0.2)*2*1)</f>
        <v>4.2</v>
      </c>
      <c r="H353" s="511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6">
        <f xml:space="preserve"> ((0.2+0.25)*2*1) + ((0.15+0.25)*2*2)</f>
        <v>2.5</v>
      </c>
      <c r="H354" s="511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6">
        <f xml:space="preserve"> ((0.15+0.3)*2*3)</f>
        <v>2.6999999999999997</v>
      </c>
      <c r="H355" s="511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6">
        <f xml:space="preserve"> ((0.2+0.25)*2*3) + ((0.15+0.25)*2*2)</f>
        <v>4.3000000000000007</v>
      </c>
      <c r="H356" s="511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6">
        <f xml:space="preserve"> ((0.2+0.25)*2*3) + ((0.15+0.25)*2*2) +  ((0.2+0.3)*2*1)</f>
        <v>5.3000000000000007</v>
      </c>
      <c r="H357" s="511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6">
        <f xml:space="preserve"> ((0.2+0.25)*2*2) + ((0.15+0.25)*2*1)</f>
        <v>2.6</v>
      </c>
      <c r="H358" s="511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6">
        <f>((0.15+0.25)*2*3)</f>
        <v>2.4000000000000004</v>
      </c>
      <c r="H359" s="511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6">
        <f xml:space="preserve"> ((0.2+0.25)*2*1) + ((0.15+0.25)*2*1) +  ((0.2+0.35)*2*1)</f>
        <v>2.8000000000000003</v>
      </c>
      <c r="H360" s="511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6">
        <f xml:space="preserve"> ((0.2+0.25)*2*1) + ((0.15+0.3)*2*2)</f>
        <v>2.6999999999999997</v>
      </c>
      <c r="H361" s="511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6">
        <f xml:space="preserve"> ((0.2+0.3)*2*1) + ((0.15+0.3)*2*1) +  ((0.15+0.25)*2*1) + ((0.15+0.35)*2*1)</f>
        <v>3.7</v>
      </c>
      <c r="H362" s="511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6">
        <f xml:space="preserve"> ((0.15+0.25)*2*1) + ((0.2+0.3)*2*1)</f>
        <v>1.8</v>
      </c>
      <c r="H363" s="511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6">
        <f xml:space="preserve"> ((0.15+0.25)*2*5) + ((0.25+0.25)*2*1)</f>
        <v>5</v>
      </c>
      <c r="H364" s="511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6">
        <f xml:space="preserve"> ((0.2+0.25)*2*1) + ((0.15+0.25)*2*1) +  ((0.25+0.25)*2*1)</f>
        <v>2.7</v>
      </c>
      <c r="H365" s="511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6">
        <f xml:space="preserve"> ((0.15+0.25)*2*2) + ((0.25+0.25)*2*1)</f>
        <v>2.6</v>
      </c>
      <c r="H366" s="511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6">
        <f xml:space="preserve"> ((0.15+0.25)*2*2) + ((0.2+0.25)*2*2)</f>
        <v>3.4000000000000004</v>
      </c>
      <c r="H367" s="511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6">
        <f xml:space="preserve"> ((0.15+0.25)*2*3) + ((0.2+0.25)*2*1)</f>
        <v>3.3000000000000003</v>
      </c>
      <c r="H368" s="511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6">
        <f>((0.2+0.25)*2*3) + ((0.25+0.25)*2*1)</f>
        <v>3.7</v>
      </c>
      <c r="H369" s="511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6">
        <f>((0.2+0.2)*2*1)</f>
        <v>0.8</v>
      </c>
      <c r="H370" s="511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6">
        <f>((0.2+0.25)*2*1) + ((0.15+0.25)*2*1)</f>
        <v>1.7000000000000002</v>
      </c>
      <c r="H371" s="511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6">
        <f>((0.2+0.25)*2*1) + ((0.15+0.25)*2*2)</f>
        <v>2.5</v>
      </c>
      <c r="H372" s="511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6">
        <f xml:space="preserve"> ((0.2+0.3)*2*1) + ((0.15+0.25)*2*5) +  ((0.25+0.25)*2*1)</f>
        <v>6</v>
      </c>
      <c r="H373" s="511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6">
        <f>((0.15+0.3)*2*1)</f>
        <v>0.89999999999999991</v>
      </c>
      <c r="H374" s="511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6">
        <f>((0.15+0.5)*2*1)</f>
        <v>1.3</v>
      </c>
      <c r="H375" s="511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6">
        <f>((0.15+0.5)*2*1)</f>
        <v>1.3</v>
      </c>
      <c r="H376" s="511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6">
        <f>((0.15+0.25)*2*1)</f>
        <v>0.8</v>
      </c>
      <c r="H377" s="511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6">
        <f t="shared" ref="G378" si="18">((0.15+0.3)*2*1)</f>
        <v>0.89999999999999991</v>
      </c>
      <c r="H378" s="511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6">
        <f>((0.15+0.25)*2*1)</f>
        <v>0.8</v>
      </c>
      <c r="H379" s="511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6">
        <f>((0.15+0.3)*2*1)</f>
        <v>0.89999999999999991</v>
      </c>
      <c r="H380" s="511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05'!K381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>
        <f t="shared" si="17"/>
        <v>0</v>
      </c>
      <c r="L383" s="82"/>
      <c r="M383" s="82"/>
      <c r="N383" s="86"/>
    </row>
    <row r="384" spans="2:14" ht="40.9" customHeight="1" x14ac:dyDescent="0.25">
      <c r="B384" s="49" t="s">
        <v>92</v>
      </c>
      <c r="C384" s="57">
        <v>92443</v>
      </c>
      <c r="D384" s="52" t="s">
        <v>94</v>
      </c>
      <c r="E384" s="64" t="s">
        <v>17</v>
      </c>
      <c r="F384" s="94"/>
      <c r="G384" s="104"/>
      <c r="H384" s="92"/>
      <c r="I384" s="105"/>
      <c r="J384" s="99">
        <f>'BOLETIM DE MEDIÇÃO 05'!O40-'MEMORIAL DE CALCULO 05'!K384</f>
        <v>190.61700000000002</v>
      </c>
      <c r="K384" s="82">
        <f>K385+K386</f>
        <v>209.24299999999999</v>
      </c>
      <c r="L384" s="82">
        <f>J384+K384</f>
        <v>399.86</v>
      </c>
      <c r="M384" s="82">
        <f>'BOLETIM DE MEDIÇÃO 05'!G40</f>
        <v>408.7</v>
      </c>
      <c r="N384" s="86">
        <f t="shared" si="1"/>
        <v>8.839999999999975</v>
      </c>
    </row>
    <row r="385" spans="2:14" ht="19.899999999999999" customHeight="1" x14ac:dyDescent="0.25">
      <c r="B385" s="49"/>
      <c r="C385" s="57"/>
      <c r="D385" s="294" t="s">
        <v>937</v>
      </c>
      <c r="E385" s="64"/>
      <c r="F385" s="94">
        <v>1</v>
      </c>
      <c r="G385" s="506">
        <f>243.89*0.7</f>
        <v>170.72299999999998</v>
      </c>
      <c r="H385" s="507"/>
      <c r="I385" s="508"/>
      <c r="J385" s="99"/>
      <c r="K385" s="82">
        <f>F385*G385</f>
        <v>170.72299999999998</v>
      </c>
      <c r="L385" s="82"/>
      <c r="M385" s="82"/>
      <c r="N385" s="86"/>
    </row>
    <row r="386" spans="2:14" ht="19.899999999999999" customHeight="1" x14ac:dyDescent="0.25">
      <c r="B386" s="49"/>
      <c r="C386" s="57"/>
      <c r="D386" s="294" t="s">
        <v>938</v>
      </c>
      <c r="E386" s="64"/>
      <c r="F386" s="94">
        <v>1</v>
      </c>
      <c r="G386" s="506">
        <v>38.520000000000003</v>
      </c>
      <c r="H386" s="507"/>
      <c r="I386" s="508"/>
      <c r="J386" s="99"/>
      <c r="K386" s="82">
        <f>F386*G386</f>
        <v>38.520000000000003</v>
      </c>
      <c r="L386" s="82"/>
      <c r="M386" s="82"/>
      <c r="N386" s="86"/>
    </row>
    <row r="387" spans="2:14" ht="30.6" hidden="1" customHeight="1" x14ac:dyDescent="0.25">
      <c r="B387" s="49" t="s">
        <v>95</v>
      </c>
      <c r="C387" s="63">
        <v>92480</v>
      </c>
      <c r="D387" s="61" t="s">
        <v>97</v>
      </c>
      <c r="E387" s="64" t="s">
        <v>17</v>
      </c>
      <c r="F387" s="94"/>
      <c r="G387" s="104"/>
      <c r="H387" s="43"/>
      <c r="I387" s="105"/>
      <c r="J387" s="99">
        <f>'BOLETIM DE MEDIÇÃO 05'!O41-'MEMORIAL DE CALCULO 05'!K387</f>
        <v>0</v>
      </c>
      <c r="K387" s="82">
        <f t="shared" si="17"/>
        <v>0</v>
      </c>
      <c r="L387" s="82">
        <f t="shared" si="0"/>
        <v>0</v>
      </c>
      <c r="M387" s="82">
        <f>'BOLETIM DE MEDIÇÃO 05'!G41</f>
        <v>435.33</v>
      </c>
      <c r="N387" s="86">
        <f t="shared" si="1"/>
        <v>435.33</v>
      </c>
    </row>
    <row r="388" spans="2:14" ht="20.45" hidden="1" customHeight="1" x14ac:dyDescent="0.25">
      <c r="B388" s="49" t="s">
        <v>98</v>
      </c>
      <c r="C388" s="57">
        <v>92267</v>
      </c>
      <c r="D388" s="52" t="s">
        <v>100</v>
      </c>
      <c r="E388" s="64" t="s">
        <v>17</v>
      </c>
      <c r="F388" s="94"/>
      <c r="G388" s="104"/>
      <c r="H388" s="64"/>
      <c r="I388" s="105"/>
      <c r="J388" s="99">
        <f>'BOLETIM DE MEDIÇÃO 05'!O42-'MEMORIAL DE CALCULO 05'!K388</f>
        <v>0</v>
      </c>
      <c r="K388" s="82">
        <f t="shared" si="17"/>
        <v>0</v>
      </c>
      <c r="L388" s="82">
        <f t="shared" si="0"/>
        <v>0</v>
      </c>
      <c r="M388" s="82">
        <f>'BOLETIM DE MEDIÇÃO 05'!G42</f>
        <v>111.15</v>
      </c>
      <c r="N388" s="86">
        <f t="shared" si="1"/>
        <v>111.15</v>
      </c>
    </row>
    <row r="389" spans="2:14" ht="30.6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05'!K389</f>
        <v>222.10000000000002</v>
      </c>
      <c r="K389" s="82">
        <f>K390+K391+K392</f>
        <v>460.6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customHeight="1" x14ac:dyDescent="0.25">
      <c r="B390" s="49"/>
      <c r="C390" s="57"/>
      <c r="D390" s="294" t="s">
        <v>937</v>
      </c>
      <c r="E390" s="64"/>
      <c r="F390" s="94">
        <v>1</v>
      </c>
      <c r="G390" s="506">
        <f>288*0.7</f>
        <v>201.6</v>
      </c>
      <c r="H390" s="507"/>
      <c r="I390" s="508"/>
      <c r="J390" s="99"/>
      <c r="K390" s="82">
        <f>F390*G390</f>
        <v>201.6</v>
      </c>
      <c r="L390" s="82"/>
      <c r="M390" s="82"/>
      <c r="N390" s="86"/>
    </row>
    <row r="391" spans="2:14" ht="19.899999999999999" customHeight="1" x14ac:dyDescent="0.25">
      <c r="B391" s="49"/>
      <c r="C391" s="57"/>
      <c r="D391" s="294" t="s">
        <v>938</v>
      </c>
      <c r="E391" s="64"/>
      <c r="F391" s="94">
        <v>1</v>
      </c>
      <c r="G391" s="506">
        <v>44.5</v>
      </c>
      <c r="H391" s="507"/>
      <c r="I391" s="508"/>
      <c r="J391" s="99"/>
      <c r="K391" s="82">
        <f>F391*G391</f>
        <v>44.5</v>
      </c>
      <c r="L391" s="82"/>
      <c r="M391" s="82"/>
      <c r="N391" s="86"/>
    </row>
    <row r="392" spans="2:14" ht="19.899999999999999" customHeight="1" x14ac:dyDescent="0.25">
      <c r="B392" s="49"/>
      <c r="C392" s="57"/>
      <c r="D392" s="294" t="s">
        <v>953</v>
      </c>
      <c r="E392" s="64"/>
      <c r="F392" s="94">
        <v>1</v>
      </c>
      <c r="G392" s="506">
        <f>0.6*357.5</f>
        <v>214.5</v>
      </c>
      <c r="H392" s="507"/>
      <c r="I392" s="508"/>
      <c r="J392" s="99"/>
      <c r="K392" s="82">
        <f>F392*G392</f>
        <v>214.5</v>
      </c>
      <c r="L392" s="82"/>
      <c r="M392" s="82"/>
      <c r="N392" s="86"/>
    </row>
    <row r="393" spans="2:14" ht="33.6" customHeight="1" x14ac:dyDescent="0.25">
      <c r="B393" s="49" t="s">
        <v>104</v>
      </c>
      <c r="C393" s="57">
        <v>92760</v>
      </c>
      <c r="D393" s="52" t="s">
        <v>106</v>
      </c>
      <c r="E393" s="64" t="s">
        <v>62</v>
      </c>
      <c r="F393" s="94"/>
      <c r="G393" s="104"/>
      <c r="H393" s="64"/>
      <c r="I393" s="105"/>
      <c r="J393" s="99">
        <f>'BOLETIM DE MEDIÇÃO 05'!O44-'MEMORIAL DE CALCULO 05'!K393</f>
        <v>0</v>
      </c>
      <c r="K393" s="82">
        <f>K394</f>
        <v>23.46</v>
      </c>
      <c r="L393" s="82">
        <f t="shared" ref="L393" si="19">J393+K393</f>
        <v>23.46</v>
      </c>
      <c r="M393" s="82">
        <f>'BOLETIM DE MEDIÇÃO 05'!G44</f>
        <v>39.1</v>
      </c>
      <c r="N393" s="86">
        <f t="shared" ref="N393" si="20">M393-L393</f>
        <v>15.64</v>
      </c>
    </row>
    <row r="394" spans="2:14" s="371" customFormat="1" ht="22.9" customHeight="1" x14ac:dyDescent="0.25">
      <c r="B394" s="363"/>
      <c r="C394" s="364"/>
      <c r="D394" s="365" t="s">
        <v>953</v>
      </c>
      <c r="E394" s="366"/>
      <c r="F394" s="367">
        <v>1</v>
      </c>
      <c r="G394" s="554">
        <f>0.6* 39.1</f>
        <v>23.46</v>
      </c>
      <c r="H394" s="555"/>
      <c r="I394" s="556"/>
      <c r="J394" s="368"/>
      <c r="K394" s="369">
        <f>F394*G394</f>
        <v>23.46</v>
      </c>
      <c r="L394" s="369"/>
      <c r="M394" s="369"/>
      <c r="N394" s="370"/>
    </row>
    <row r="395" spans="2:14" ht="30.6" customHeight="1" x14ac:dyDescent="0.25">
      <c r="B395" s="49" t="s">
        <v>107</v>
      </c>
      <c r="C395" s="57">
        <v>92761</v>
      </c>
      <c r="D395" s="52" t="s">
        <v>109</v>
      </c>
      <c r="E395" s="64" t="s">
        <v>62</v>
      </c>
      <c r="F395" s="94"/>
      <c r="G395" s="104"/>
      <c r="H395" s="64"/>
      <c r="I395" s="105"/>
      <c r="J395" s="99">
        <f>'BOLETIM DE MEDIÇÃO 05'!O45-'MEMORIAL DE CALCULO 05'!K395</f>
        <v>0</v>
      </c>
      <c r="K395" s="82">
        <f>K396</f>
        <v>415.67999999999995</v>
      </c>
      <c r="L395" s="82">
        <f t="shared" si="0"/>
        <v>415.67999999999995</v>
      </c>
      <c r="M395" s="82">
        <f>'BOLETIM DE MEDIÇÃO 05'!G45</f>
        <v>1000</v>
      </c>
      <c r="N395" s="86">
        <f t="shared" si="1"/>
        <v>584.32000000000005</v>
      </c>
    </row>
    <row r="396" spans="2:14" s="371" customFormat="1" ht="30.6" customHeight="1" x14ac:dyDescent="0.25">
      <c r="B396" s="363"/>
      <c r="C396" s="364"/>
      <c r="D396" s="365" t="s">
        <v>953</v>
      </c>
      <c r="E396" s="366"/>
      <c r="F396" s="367">
        <v>1</v>
      </c>
      <c r="G396" s="554">
        <f>0.6* 692.8</f>
        <v>415.67999999999995</v>
      </c>
      <c r="H396" s="555"/>
      <c r="I396" s="556"/>
      <c r="J396" s="368"/>
      <c r="K396" s="369">
        <f>F396*G396</f>
        <v>415.67999999999995</v>
      </c>
      <c r="L396" s="369"/>
      <c r="M396" s="369"/>
      <c r="N396" s="370"/>
    </row>
    <row r="397" spans="2:14" ht="30.6" customHeight="1" x14ac:dyDescent="0.25">
      <c r="B397" s="49" t="s">
        <v>110</v>
      </c>
      <c r="C397" s="57">
        <v>92762</v>
      </c>
      <c r="D397" s="52" t="s">
        <v>112</v>
      </c>
      <c r="E397" s="64" t="s">
        <v>62</v>
      </c>
      <c r="F397" s="94"/>
      <c r="G397" s="104"/>
      <c r="H397" s="64"/>
      <c r="I397" s="105"/>
      <c r="J397" s="99">
        <f>'BOLETIM DE MEDIÇÃO 05'!O46-'MEMORIAL DE CALCULO 05'!K397</f>
        <v>601.83000000000015</v>
      </c>
      <c r="K397" s="82">
        <f>K398+K399+K400</f>
        <v>635.56999999999994</v>
      </c>
      <c r="L397" s="82">
        <f t="shared" si="0"/>
        <v>1237.4000000000001</v>
      </c>
      <c r="M397" s="82">
        <f>'BOLETIM DE MEDIÇÃO 05'!G46</f>
        <v>1306.0999999999999</v>
      </c>
      <c r="N397" s="86">
        <f t="shared" si="1"/>
        <v>68.699999999999818</v>
      </c>
    </row>
    <row r="398" spans="2:14" ht="19.899999999999999" customHeight="1" x14ac:dyDescent="0.25">
      <c r="B398" s="49"/>
      <c r="C398" s="57"/>
      <c r="D398" s="414" t="s">
        <v>937</v>
      </c>
      <c r="E398" s="64"/>
      <c r="F398" s="105">
        <v>1</v>
      </c>
      <c r="G398" s="506">
        <f>671.1*0.7</f>
        <v>469.77</v>
      </c>
      <c r="H398" s="507"/>
      <c r="I398" s="508"/>
      <c r="J398" s="99"/>
      <c r="K398" s="82">
        <f>F398*G398</f>
        <v>469.77</v>
      </c>
      <c r="L398" s="82"/>
      <c r="M398" s="82"/>
      <c r="N398" s="86"/>
    </row>
    <row r="399" spans="2:14" ht="19.899999999999999" customHeight="1" x14ac:dyDescent="0.25">
      <c r="B399" s="49"/>
      <c r="C399" s="57"/>
      <c r="D399" s="414" t="s">
        <v>938</v>
      </c>
      <c r="E399" s="64"/>
      <c r="F399" s="105">
        <v>1</v>
      </c>
      <c r="G399" s="506">
        <v>108.8</v>
      </c>
      <c r="H399" s="507"/>
      <c r="I399" s="508"/>
      <c r="J399" s="99"/>
      <c r="K399" s="82">
        <f>F399*G399</f>
        <v>108.8</v>
      </c>
      <c r="L399" s="82"/>
      <c r="M399" s="82"/>
      <c r="N399" s="86"/>
    </row>
    <row r="400" spans="2:14" ht="19.899999999999999" customHeight="1" x14ac:dyDescent="0.25">
      <c r="B400" s="49"/>
      <c r="C400" s="57"/>
      <c r="D400" s="414" t="s">
        <v>953</v>
      </c>
      <c r="E400" s="64"/>
      <c r="F400" s="105">
        <v>1</v>
      </c>
      <c r="G400" s="506">
        <f>0.6* 95</f>
        <v>57</v>
      </c>
      <c r="H400" s="507"/>
      <c r="I400" s="508"/>
      <c r="J400" s="99"/>
      <c r="K400" s="82">
        <f>F400*G400</f>
        <v>57</v>
      </c>
      <c r="L400" s="82"/>
      <c r="M400" s="82"/>
      <c r="N400" s="86"/>
    </row>
    <row r="401" spans="2:14" ht="33.75" x14ac:dyDescent="0.25">
      <c r="B401" s="49" t="s">
        <v>113</v>
      </c>
      <c r="C401" s="57">
        <v>92763</v>
      </c>
      <c r="D401" s="52" t="s">
        <v>115</v>
      </c>
      <c r="E401" s="64" t="s">
        <v>62</v>
      </c>
      <c r="F401" s="105"/>
      <c r="G401" s="99"/>
      <c r="H401" s="64"/>
      <c r="I401" s="105"/>
      <c r="J401" s="99">
        <f>'BOLETIM DE MEDIÇÃO 05'!O47-'MEMORIAL DE CALCULO 05'!K401</f>
        <v>100.41999999999999</v>
      </c>
      <c r="K401" s="82">
        <f>K402</f>
        <v>61.18</v>
      </c>
      <c r="L401" s="82">
        <f t="shared" si="0"/>
        <v>161.6</v>
      </c>
      <c r="M401" s="82">
        <f>'BOLETIM DE MEDIÇÃO 05'!G47</f>
        <v>168.2</v>
      </c>
      <c r="N401" s="86">
        <f t="shared" si="1"/>
        <v>6.5999999999999943</v>
      </c>
    </row>
    <row r="402" spans="2:14" ht="19.899999999999999" customHeight="1" x14ac:dyDescent="0.25">
      <c r="B402" s="49"/>
      <c r="C402" s="57"/>
      <c r="D402" s="294" t="s">
        <v>937</v>
      </c>
      <c r="E402" s="64"/>
      <c r="F402" s="105">
        <v>1</v>
      </c>
      <c r="G402" s="549">
        <f>87.4*0.7</f>
        <v>61.18</v>
      </c>
      <c r="H402" s="550"/>
      <c r="I402" s="551"/>
      <c r="J402" s="99"/>
      <c r="K402" s="82">
        <f>F402*G402</f>
        <v>61.18</v>
      </c>
      <c r="L402" s="82"/>
      <c r="M402" s="82"/>
      <c r="N402" s="86"/>
    </row>
    <row r="403" spans="2:14" ht="33.75" hidden="1" x14ac:dyDescent="0.25">
      <c r="B403" s="49" t="s">
        <v>116</v>
      </c>
      <c r="C403" s="57">
        <v>92768</v>
      </c>
      <c r="D403" s="52" t="s">
        <v>118</v>
      </c>
      <c r="E403" s="64" t="s">
        <v>62</v>
      </c>
      <c r="F403" s="105"/>
      <c r="G403" s="99"/>
      <c r="H403" s="64"/>
      <c r="I403" s="105"/>
      <c r="J403" s="99">
        <f>'BOLETIM DE MEDIÇÃO 05'!O48-'MEMORIAL DE CALCULO 05'!K403</f>
        <v>0</v>
      </c>
      <c r="K403" s="82">
        <f t="shared" si="17"/>
        <v>0</v>
      </c>
      <c r="L403" s="82">
        <f t="shared" si="0"/>
        <v>0</v>
      </c>
      <c r="M403" s="82">
        <f>'BOLETIM DE MEDIÇÃO 05'!G48</f>
        <v>158.69999999999999</v>
      </c>
      <c r="N403" s="86">
        <f t="shared" si="1"/>
        <v>158.69999999999999</v>
      </c>
    </row>
    <row r="404" spans="2:14" ht="33.75" hidden="1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05'!O49-'MEMORIAL DE CALCULO 05'!K404</f>
        <v>0</v>
      </c>
      <c r="K404" s="82">
        <f t="shared" si="17"/>
        <v>0</v>
      </c>
      <c r="L404" s="82">
        <f t="shared" si="0"/>
        <v>0</v>
      </c>
      <c r="M404" s="82">
        <f>'BOLETIM DE MEDIÇÃO 05'!G49</f>
        <v>170.5</v>
      </c>
      <c r="N404" s="86">
        <f t="shared" si="1"/>
        <v>170.5</v>
      </c>
    </row>
    <row r="405" spans="2:14" ht="33.75" hidden="1" x14ac:dyDescent="0.25">
      <c r="B405" s="49" t="s">
        <v>122</v>
      </c>
      <c r="C405" s="57">
        <v>92770</v>
      </c>
      <c r="D405" s="52" t="s">
        <v>124</v>
      </c>
      <c r="E405" s="64" t="s">
        <v>62</v>
      </c>
      <c r="F405" s="105"/>
      <c r="G405" s="99"/>
      <c r="H405" s="64"/>
      <c r="I405" s="105"/>
      <c r="J405" s="99">
        <f>'BOLETIM DE MEDIÇÃO 05'!O50-'MEMORIAL DE CALCULO 05'!K405</f>
        <v>0</v>
      </c>
      <c r="K405" s="82">
        <f t="shared" si="17"/>
        <v>0</v>
      </c>
      <c r="L405" s="82">
        <f t="shared" si="0"/>
        <v>0</v>
      </c>
      <c r="M405" s="82">
        <f>'BOLETIM DE MEDIÇÃO 05'!G50</f>
        <v>279.10000000000002</v>
      </c>
      <c r="N405" s="86">
        <f t="shared" si="1"/>
        <v>279.10000000000002</v>
      </c>
    </row>
    <row r="406" spans="2:14" ht="33.75" x14ac:dyDescent="0.25">
      <c r="B406" s="49" t="s">
        <v>125</v>
      </c>
      <c r="C406" s="57">
        <v>94966</v>
      </c>
      <c r="D406" s="52" t="s">
        <v>65</v>
      </c>
      <c r="E406" s="64" t="s">
        <v>41</v>
      </c>
      <c r="F406" s="105"/>
      <c r="G406" s="99"/>
      <c r="H406" s="64"/>
      <c r="I406" s="105"/>
      <c r="J406" s="99">
        <f>'BOLETIM DE MEDIÇÃO 05'!O51-'MEMORIAL DE CALCULO 05'!K406</f>
        <v>10.246</v>
      </c>
      <c r="K406" s="82">
        <f>K407</f>
        <v>9.1839999999999993</v>
      </c>
      <c r="L406" s="82">
        <f t="shared" si="0"/>
        <v>19.43</v>
      </c>
      <c r="M406" s="82">
        <f>'BOLETIM DE MEDIÇÃO 05'!G51</f>
        <v>61.56</v>
      </c>
      <c r="N406" s="86">
        <f t="shared" si="1"/>
        <v>42.13</v>
      </c>
    </row>
    <row r="407" spans="2:14" ht="19.149999999999999" customHeight="1" x14ac:dyDescent="0.25">
      <c r="B407" s="49"/>
      <c r="C407" s="57"/>
      <c r="D407" s="294" t="s">
        <v>937</v>
      </c>
      <c r="E407" s="64"/>
      <c r="F407" s="105">
        <v>1</v>
      </c>
      <c r="G407" s="550">
        <f>13.12*0.7</f>
        <v>9.1839999999999993</v>
      </c>
      <c r="H407" s="550"/>
      <c r="I407" s="551"/>
      <c r="J407" s="99"/>
      <c r="K407" s="82">
        <f>F407*G407</f>
        <v>9.1839999999999993</v>
      </c>
      <c r="L407" s="82"/>
      <c r="M407" s="82"/>
      <c r="N407" s="86"/>
    </row>
    <row r="408" spans="2:14" ht="33.75" x14ac:dyDescent="0.25">
      <c r="B408" s="49" t="s">
        <v>126</v>
      </c>
      <c r="C408" s="63">
        <v>103670</v>
      </c>
      <c r="D408" s="61" t="s">
        <v>71</v>
      </c>
      <c r="E408" s="64" t="s">
        <v>41</v>
      </c>
      <c r="F408" s="105"/>
      <c r="G408" s="99"/>
      <c r="H408" s="43"/>
      <c r="I408" s="105"/>
      <c r="J408" s="99">
        <f>'BOLETIM DE MEDIÇÃO 05'!O52-'MEMORIAL DE CALCULO 05'!K408</f>
        <v>10.246</v>
      </c>
      <c r="K408" s="82">
        <f>G409</f>
        <v>9.1839999999999993</v>
      </c>
      <c r="L408" s="82">
        <f t="shared" si="0"/>
        <v>19.43</v>
      </c>
      <c r="M408" s="82">
        <f>'BOLETIM DE MEDIÇÃO 05'!G52</f>
        <v>61.56</v>
      </c>
      <c r="N408" s="86">
        <f t="shared" si="1"/>
        <v>42.13</v>
      </c>
    </row>
    <row r="409" spans="2:14" x14ac:dyDescent="0.25">
      <c r="B409" s="49"/>
      <c r="C409" s="63"/>
      <c r="D409" s="319" t="s">
        <v>932</v>
      </c>
      <c r="E409" s="64"/>
      <c r="F409" s="94">
        <v>1</v>
      </c>
      <c r="G409" s="506">
        <f>K406</f>
        <v>9.1839999999999993</v>
      </c>
      <c r="H409" s="507"/>
      <c r="I409" s="508"/>
      <c r="J409" s="99"/>
      <c r="K409" s="82">
        <f>F409*G409</f>
        <v>9.1839999999999993</v>
      </c>
      <c r="L409" s="82"/>
      <c r="M409" s="82"/>
      <c r="N409" s="86"/>
    </row>
    <row r="410" spans="2:14" ht="33.75" hidden="1" x14ac:dyDescent="0.25">
      <c r="B410" s="49" t="s">
        <v>127</v>
      </c>
      <c r="C410" s="63">
        <v>92771</v>
      </c>
      <c r="D410" s="61" t="s">
        <v>129</v>
      </c>
      <c r="E410" s="64" t="s">
        <v>62</v>
      </c>
      <c r="F410" s="94"/>
      <c r="G410" s="104"/>
      <c r="H410" s="43"/>
      <c r="I410" s="105"/>
      <c r="J410" s="99">
        <f>'BOLETIM DE MEDIÇÃO 05'!O53-'MEMORIAL DE CALCULO 05'!K410</f>
        <v>0</v>
      </c>
      <c r="K410" s="82">
        <f t="shared" si="17"/>
        <v>0</v>
      </c>
      <c r="L410" s="82">
        <f t="shared" si="0"/>
        <v>0</v>
      </c>
      <c r="M410" s="82">
        <f>'BOLETIM DE MEDIÇÃO 05'!G53</f>
        <v>312.3</v>
      </c>
      <c r="N410" s="86">
        <f t="shared" si="1"/>
        <v>312.3</v>
      </c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f>'BOLETIM DE MEDIÇÃO 05'!O54-'MEMORIAL DE CALCULO 05'!K411</f>
        <v>0</v>
      </c>
      <c r="K411" s="82">
        <f t="shared" si="17"/>
        <v>0</v>
      </c>
      <c r="L411" s="82">
        <f t="shared" si="0"/>
        <v>0</v>
      </c>
      <c r="M411" s="82">
        <f>'BOLETIM DE MEDIÇÃO 05'!G54</f>
        <v>154.80000000000001</v>
      </c>
      <c r="N411" s="86">
        <f t="shared" si="1"/>
        <v>154.80000000000001</v>
      </c>
    </row>
    <row r="412" spans="2:14" x14ac:dyDescent="0.25">
      <c r="B412" s="56">
        <v>1.5</v>
      </c>
      <c r="C412" s="60" t="s">
        <v>134</v>
      </c>
      <c r="D412" s="52"/>
      <c r="E412" s="64"/>
      <c r="F412" s="94"/>
      <c r="G412" s="104"/>
      <c r="H412" s="64"/>
      <c r="I412" s="105"/>
      <c r="J412" s="99"/>
      <c r="K412" s="82"/>
      <c r="L412" s="82"/>
      <c r="M412" s="82"/>
      <c r="N412" s="86"/>
    </row>
    <row r="413" spans="2:14" ht="45" x14ac:dyDescent="0.25">
      <c r="B413" s="49" t="s">
        <v>135</v>
      </c>
      <c r="C413" s="57">
        <v>103356</v>
      </c>
      <c r="D413" s="52" t="s">
        <v>137</v>
      </c>
      <c r="E413" s="99" t="s">
        <v>17</v>
      </c>
      <c r="F413" s="94"/>
      <c r="G413" s="104"/>
      <c r="H413" s="64"/>
      <c r="I413" s="105"/>
      <c r="J413" s="99">
        <f>'BOLETIM DE MEDIÇÃO 05'!O56-'MEMORIAL DE CALCULO 05'!K413</f>
        <v>354.68499999999989</v>
      </c>
      <c r="K413" s="82">
        <f>SUM(K414:K476)</f>
        <v>492.16000000000014</v>
      </c>
      <c r="L413" s="82">
        <f>J413+K413</f>
        <v>846.84500000000003</v>
      </c>
      <c r="M413" s="82">
        <f>'BOLETIM DE MEDIÇÃO 05'!G56</f>
        <v>1131.99</v>
      </c>
      <c r="N413" s="86">
        <f t="shared" si="1"/>
        <v>285.14499999999998</v>
      </c>
    </row>
    <row r="414" spans="2:14" x14ac:dyDescent="0.25">
      <c r="B414" s="49"/>
      <c r="C414" s="57"/>
      <c r="D414" s="297" t="s">
        <v>891</v>
      </c>
      <c r="E414" s="99"/>
      <c r="F414" s="327">
        <v>1</v>
      </c>
      <c r="G414" s="326">
        <v>24.6</v>
      </c>
      <c r="H414" s="64"/>
      <c r="I414" s="105">
        <v>1.5</v>
      </c>
      <c r="J414" s="99"/>
      <c r="K414" s="82">
        <f>F414*G414*I414</f>
        <v>36.900000000000006</v>
      </c>
      <c r="L414" s="82"/>
      <c r="M414" s="82"/>
      <c r="N414" s="86"/>
    </row>
    <row r="415" spans="2:14" x14ac:dyDescent="0.25">
      <c r="B415" s="49"/>
      <c r="C415" s="57"/>
      <c r="D415" s="302" t="s">
        <v>892</v>
      </c>
      <c r="E415" s="99"/>
      <c r="F415" s="328">
        <v>-1</v>
      </c>
      <c r="G415" s="326">
        <v>0.7</v>
      </c>
      <c r="H415" s="64"/>
      <c r="I415" s="105">
        <v>0.6</v>
      </c>
      <c r="J415" s="99"/>
      <c r="K415" s="82">
        <f t="shared" ref="K415:K467" si="21">F415*G415*I415</f>
        <v>-0.42</v>
      </c>
      <c r="L415" s="82"/>
      <c r="M415" s="82"/>
      <c r="N415" s="86"/>
    </row>
    <row r="416" spans="2:14" x14ac:dyDescent="0.25">
      <c r="B416" s="49"/>
      <c r="C416" s="57"/>
      <c r="D416" s="302" t="s">
        <v>924</v>
      </c>
      <c r="E416" s="99"/>
      <c r="F416" s="328">
        <v>-2</v>
      </c>
      <c r="G416" s="326">
        <v>1.5</v>
      </c>
      <c r="H416" s="64"/>
      <c r="I416" s="105">
        <v>0.6</v>
      </c>
      <c r="J416" s="99"/>
      <c r="K416" s="82">
        <f t="shared" si="21"/>
        <v>-1.7999999999999998</v>
      </c>
      <c r="L416" s="82"/>
      <c r="M416" s="82"/>
      <c r="N416" s="86"/>
    </row>
    <row r="417" spans="2:14" x14ac:dyDescent="0.25">
      <c r="B417" s="49"/>
      <c r="C417" s="57"/>
      <c r="D417" s="302" t="s">
        <v>894</v>
      </c>
      <c r="E417" s="99"/>
      <c r="F417" s="328">
        <v>1</v>
      </c>
      <c r="G417" s="326">
        <v>21.9</v>
      </c>
      <c r="H417" s="64"/>
      <c r="I417" s="105">
        <v>1.5</v>
      </c>
      <c r="J417" s="99"/>
      <c r="K417" s="82">
        <f t="shared" si="21"/>
        <v>32.849999999999994</v>
      </c>
      <c r="L417" s="82"/>
      <c r="M417" s="82"/>
      <c r="N417" s="86"/>
    </row>
    <row r="418" spans="2:14" x14ac:dyDescent="0.25">
      <c r="B418" s="49"/>
      <c r="C418" s="57"/>
      <c r="D418" s="302" t="s">
        <v>892</v>
      </c>
      <c r="E418" s="99"/>
      <c r="F418" s="328">
        <v>-1</v>
      </c>
      <c r="G418" s="326">
        <v>0.7</v>
      </c>
      <c r="H418" s="64"/>
      <c r="I418" s="105">
        <v>0.6</v>
      </c>
      <c r="J418" s="99"/>
      <c r="K418" s="82">
        <f t="shared" si="21"/>
        <v>-0.42</v>
      </c>
      <c r="L418" s="82"/>
      <c r="M418" s="82"/>
      <c r="N418" s="86"/>
    </row>
    <row r="419" spans="2:14" x14ac:dyDescent="0.25">
      <c r="B419" s="49"/>
      <c r="C419" s="57"/>
      <c r="D419" s="302" t="s">
        <v>924</v>
      </c>
      <c r="E419" s="99"/>
      <c r="F419" s="328">
        <v>-2</v>
      </c>
      <c r="G419" s="326">
        <v>1.5</v>
      </c>
      <c r="H419" s="64"/>
      <c r="I419" s="105">
        <v>0.6</v>
      </c>
      <c r="J419" s="99"/>
      <c r="K419" s="82">
        <f t="shared" si="21"/>
        <v>-1.7999999999999998</v>
      </c>
      <c r="L419" s="82"/>
      <c r="M419" s="82"/>
      <c r="N419" s="86"/>
    </row>
    <row r="420" spans="2:14" x14ac:dyDescent="0.25">
      <c r="B420" s="49"/>
      <c r="C420" s="57"/>
      <c r="D420" s="302" t="s">
        <v>895</v>
      </c>
      <c r="E420" s="99"/>
      <c r="F420" s="328">
        <v>1</v>
      </c>
      <c r="G420" s="326">
        <v>22.7</v>
      </c>
      <c r="H420" s="64"/>
      <c r="I420" s="105">
        <v>1.5</v>
      </c>
      <c r="J420" s="99"/>
      <c r="K420" s="82">
        <f t="shared" si="21"/>
        <v>34.049999999999997</v>
      </c>
      <c r="L420" s="82"/>
      <c r="M420" s="82"/>
      <c r="N420" s="86"/>
    </row>
    <row r="421" spans="2:14" x14ac:dyDescent="0.25">
      <c r="B421" s="49"/>
      <c r="C421" s="57"/>
      <c r="D421" s="302" t="s">
        <v>947</v>
      </c>
      <c r="E421" s="99"/>
      <c r="F421" s="328">
        <v>-1</v>
      </c>
      <c r="G421" s="326">
        <v>2.6</v>
      </c>
      <c r="H421" s="64"/>
      <c r="I421" s="105">
        <v>0.6</v>
      </c>
      <c r="J421" s="99"/>
      <c r="K421" s="82">
        <f t="shared" si="21"/>
        <v>-1.56</v>
      </c>
      <c r="L421" s="82"/>
      <c r="M421" s="82"/>
      <c r="N421" s="86"/>
    </row>
    <row r="422" spans="2:14" x14ac:dyDescent="0.25">
      <c r="B422" s="49"/>
      <c r="C422" s="57"/>
      <c r="D422" s="302" t="s">
        <v>898</v>
      </c>
      <c r="E422" s="99"/>
      <c r="F422" s="328">
        <v>1</v>
      </c>
      <c r="G422" s="326">
        <v>21.84</v>
      </c>
      <c r="H422" s="64"/>
      <c r="I422" s="105">
        <v>1.5</v>
      </c>
      <c r="J422" s="99"/>
      <c r="K422" s="82">
        <f t="shared" si="21"/>
        <v>32.76</v>
      </c>
      <c r="L422" s="82"/>
      <c r="M422" s="82"/>
      <c r="N422" s="86"/>
    </row>
    <row r="423" spans="2:14" x14ac:dyDescent="0.25">
      <c r="B423" s="49"/>
      <c r="C423" s="57"/>
      <c r="D423" s="302" t="s">
        <v>892</v>
      </c>
      <c r="E423" s="99"/>
      <c r="F423" s="328">
        <v>-2</v>
      </c>
      <c r="G423" s="326">
        <v>0.7</v>
      </c>
      <c r="H423" s="64"/>
      <c r="I423" s="105">
        <v>0.6</v>
      </c>
      <c r="J423" s="99"/>
      <c r="K423" s="324">
        <f t="shared" ref="K423" si="22">F423*G423*I423</f>
        <v>-0.84</v>
      </c>
      <c r="L423" s="82"/>
      <c r="M423" s="82"/>
      <c r="N423" s="86"/>
    </row>
    <row r="424" spans="2:14" x14ac:dyDescent="0.25">
      <c r="B424" s="49"/>
      <c r="C424" s="57"/>
      <c r="D424" s="302" t="s">
        <v>948</v>
      </c>
      <c r="E424" s="99"/>
      <c r="F424" s="328">
        <v>-1</v>
      </c>
      <c r="G424" s="326">
        <v>1.2</v>
      </c>
      <c r="H424" s="64"/>
      <c r="I424" s="105">
        <v>0.4</v>
      </c>
      <c r="J424" s="99"/>
      <c r="K424" s="82">
        <f t="shared" si="21"/>
        <v>-0.48</v>
      </c>
      <c r="L424" s="82"/>
      <c r="M424" s="82"/>
      <c r="N424" s="86"/>
    </row>
    <row r="425" spans="2:14" x14ac:dyDescent="0.25">
      <c r="B425" s="49"/>
      <c r="C425" s="57"/>
      <c r="D425" s="302" t="s">
        <v>899</v>
      </c>
      <c r="E425" s="99"/>
      <c r="F425" s="328">
        <v>1</v>
      </c>
      <c r="G425" s="326">
        <v>21.9</v>
      </c>
      <c r="H425" s="64"/>
      <c r="I425" s="105">
        <v>1.5</v>
      </c>
      <c r="J425" s="99"/>
      <c r="K425" s="82">
        <f t="shared" si="21"/>
        <v>32.849999999999994</v>
      </c>
      <c r="L425" s="82"/>
      <c r="M425" s="82"/>
      <c r="N425" s="86"/>
    </row>
    <row r="426" spans="2:14" x14ac:dyDescent="0.25">
      <c r="B426" s="49"/>
      <c r="C426" s="57"/>
      <c r="D426" s="302" t="s">
        <v>892</v>
      </c>
      <c r="E426" s="99"/>
      <c r="F426" s="328">
        <v>-2</v>
      </c>
      <c r="G426" s="326">
        <v>0.7</v>
      </c>
      <c r="H426" s="64"/>
      <c r="I426" s="105">
        <v>0.6</v>
      </c>
      <c r="J426" s="99"/>
      <c r="K426" s="82">
        <f t="shared" si="21"/>
        <v>-0.84</v>
      </c>
      <c r="L426" s="82"/>
      <c r="M426" s="82"/>
      <c r="N426" s="86"/>
    </row>
    <row r="427" spans="2:14" x14ac:dyDescent="0.25">
      <c r="B427" s="49"/>
      <c r="C427" s="57"/>
      <c r="D427" s="302" t="s">
        <v>924</v>
      </c>
      <c r="E427" s="99"/>
      <c r="F427" s="328">
        <v>-2</v>
      </c>
      <c r="G427" s="326">
        <v>1.5</v>
      </c>
      <c r="H427" s="64"/>
      <c r="I427" s="105">
        <v>0.6</v>
      </c>
      <c r="J427" s="99"/>
      <c r="K427" s="82">
        <f t="shared" si="21"/>
        <v>-1.7999999999999998</v>
      </c>
      <c r="L427" s="82"/>
      <c r="M427" s="82"/>
      <c r="N427" s="86"/>
    </row>
    <row r="428" spans="2:14" x14ac:dyDescent="0.25">
      <c r="B428" s="49"/>
      <c r="C428" s="57"/>
      <c r="D428" s="302" t="s">
        <v>900</v>
      </c>
      <c r="E428" s="99"/>
      <c r="F428" s="328">
        <v>1</v>
      </c>
      <c r="G428" s="326">
        <v>27.9</v>
      </c>
      <c r="H428" s="64"/>
      <c r="I428" s="105">
        <v>1.5</v>
      </c>
      <c r="J428" s="99"/>
      <c r="K428" s="82">
        <f t="shared" si="21"/>
        <v>41.849999999999994</v>
      </c>
      <c r="L428" s="82"/>
      <c r="M428" s="82"/>
      <c r="N428" s="86"/>
    </row>
    <row r="429" spans="2:14" x14ac:dyDescent="0.25">
      <c r="B429" s="49"/>
      <c r="C429" s="57"/>
      <c r="D429" s="302" t="s">
        <v>892</v>
      </c>
      <c r="E429" s="99"/>
      <c r="F429" s="328">
        <v>-1</v>
      </c>
      <c r="G429" s="326">
        <v>0.7</v>
      </c>
      <c r="H429" s="64"/>
      <c r="I429" s="105">
        <v>0.6</v>
      </c>
      <c r="J429" s="99"/>
      <c r="K429" s="82">
        <f t="shared" si="21"/>
        <v>-0.42</v>
      </c>
      <c r="L429" s="82"/>
      <c r="M429" s="82"/>
      <c r="N429" s="86"/>
    </row>
    <row r="430" spans="2:14" x14ac:dyDescent="0.25">
      <c r="B430" s="49"/>
      <c r="C430" s="57"/>
      <c r="D430" s="302" t="s">
        <v>924</v>
      </c>
      <c r="E430" s="99"/>
      <c r="F430" s="328">
        <v>-2</v>
      </c>
      <c r="G430" s="326">
        <v>1.5</v>
      </c>
      <c r="H430" s="64"/>
      <c r="I430" s="105">
        <v>0.6</v>
      </c>
      <c r="J430" s="99"/>
      <c r="K430" s="82">
        <f t="shared" si="21"/>
        <v>-1.7999999999999998</v>
      </c>
      <c r="L430" s="82"/>
      <c r="M430" s="82"/>
      <c r="N430" s="86"/>
    </row>
    <row r="431" spans="2:14" x14ac:dyDescent="0.25">
      <c r="B431" s="49"/>
      <c r="C431" s="57"/>
      <c r="D431" s="302" t="s">
        <v>901</v>
      </c>
      <c r="E431" s="99"/>
      <c r="F431" s="328">
        <v>1</v>
      </c>
      <c r="G431" s="326">
        <v>5</v>
      </c>
      <c r="H431" s="64"/>
      <c r="I431" s="105">
        <v>1.5</v>
      </c>
      <c r="J431" s="99"/>
      <c r="K431" s="82">
        <f t="shared" si="21"/>
        <v>7.5</v>
      </c>
      <c r="L431" s="82"/>
      <c r="M431" s="82"/>
      <c r="N431" s="86"/>
    </row>
    <row r="432" spans="2:14" x14ac:dyDescent="0.25">
      <c r="B432" s="49"/>
      <c r="C432" s="57"/>
      <c r="D432" s="302" t="s">
        <v>902</v>
      </c>
      <c r="E432" s="99"/>
      <c r="F432" s="328">
        <v>1</v>
      </c>
      <c r="G432" s="326">
        <v>5</v>
      </c>
      <c r="H432" s="64"/>
      <c r="I432" s="105">
        <v>1.5</v>
      </c>
      <c r="J432" s="99"/>
      <c r="K432" s="82">
        <f t="shared" si="21"/>
        <v>7.5</v>
      </c>
      <c r="L432" s="82"/>
      <c r="M432" s="82"/>
      <c r="N432" s="86"/>
    </row>
    <row r="433" spans="2:14" x14ac:dyDescent="0.25">
      <c r="B433" s="49"/>
      <c r="C433" s="57"/>
      <c r="D433" s="302" t="s">
        <v>903</v>
      </c>
      <c r="E433" s="99"/>
      <c r="F433" s="328">
        <v>1</v>
      </c>
      <c r="G433" s="326">
        <v>6.45</v>
      </c>
      <c r="H433" s="64"/>
      <c r="I433" s="105">
        <v>1.5</v>
      </c>
      <c r="J433" s="99"/>
      <c r="K433" s="82">
        <f t="shared" si="21"/>
        <v>9.6750000000000007</v>
      </c>
      <c r="L433" s="82"/>
      <c r="M433" s="82"/>
      <c r="N433" s="86"/>
    </row>
    <row r="434" spans="2:14" x14ac:dyDescent="0.25">
      <c r="B434" s="49"/>
      <c r="C434" s="57"/>
      <c r="D434" s="302" t="s">
        <v>892</v>
      </c>
      <c r="E434" s="99"/>
      <c r="F434" s="328">
        <v>-1</v>
      </c>
      <c r="G434" s="326">
        <v>0.7</v>
      </c>
      <c r="H434" s="64"/>
      <c r="I434" s="105">
        <v>0.6</v>
      </c>
      <c r="J434" s="99"/>
      <c r="K434" s="82">
        <f t="shared" si="21"/>
        <v>-0.42</v>
      </c>
      <c r="L434" s="82"/>
      <c r="M434" s="82"/>
      <c r="N434" s="86"/>
    </row>
    <row r="435" spans="2:14" x14ac:dyDescent="0.25">
      <c r="B435" s="49"/>
      <c r="C435" s="57"/>
      <c r="D435" s="302" t="s">
        <v>905</v>
      </c>
      <c r="E435" s="99"/>
      <c r="F435" s="328">
        <v>1</v>
      </c>
      <c r="G435" s="326">
        <v>15.46</v>
      </c>
      <c r="H435" s="64"/>
      <c r="I435" s="105">
        <v>1.5</v>
      </c>
      <c r="J435" s="99"/>
      <c r="K435" s="82">
        <f t="shared" si="21"/>
        <v>23.19</v>
      </c>
      <c r="L435" s="82"/>
      <c r="M435" s="82"/>
      <c r="N435" s="86"/>
    </row>
    <row r="436" spans="2:14" x14ac:dyDescent="0.25">
      <c r="B436" s="49"/>
      <c r="C436" s="57"/>
      <c r="D436" s="302" t="s">
        <v>892</v>
      </c>
      <c r="E436" s="99"/>
      <c r="F436" s="328">
        <v>-1</v>
      </c>
      <c r="G436" s="326">
        <v>0.7</v>
      </c>
      <c r="H436" s="64"/>
      <c r="I436" s="105">
        <v>0.6</v>
      </c>
      <c r="J436" s="99"/>
      <c r="K436" s="82">
        <f t="shared" si="21"/>
        <v>-0.42</v>
      </c>
      <c r="L436" s="82"/>
      <c r="M436" s="82"/>
      <c r="N436" s="86"/>
    </row>
    <row r="437" spans="2:14" x14ac:dyDescent="0.25">
      <c r="B437" s="49"/>
      <c r="C437" s="57"/>
      <c r="D437" s="302" t="s">
        <v>924</v>
      </c>
      <c r="E437" s="99"/>
      <c r="F437" s="328">
        <v>-1</v>
      </c>
      <c r="G437" s="326">
        <v>1.5</v>
      </c>
      <c r="H437" s="64"/>
      <c r="I437" s="105">
        <v>0.6</v>
      </c>
      <c r="J437" s="99"/>
      <c r="K437" s="82">
        <f t="shared" si="21"/>
        <v>-0.89999999999999991</v>
      </c>
      <c r="L437" s="82"/>
      <c r="M437" s="82"/>
      <c r="N437" s="86"/>
    </row>
    <row r="438" spans="2:14" x14ac:dyDescent="0.25">
      <c r="B438" s="49"/>
      <c r="C438" s="57"/>
      <c r="D438" s="302" t="s">
        <v>906</v>
      </c>
      <c r="E438" s="99"/>
      <c r="F438" s="328">
        <v>1</v>
      </c>
      <c r="G438" s="326">
        <v>13</v>
      </c>
      <c r="H438" s="64"/>
      <c r="I438" s="105">
        <v>1.5</v>
      </c>
      <c r="J438" s="99"/>
      <c r="K438" s="82">
        <f t="shared" si="21"/>
        <v>19.5</v>
      </c>
      <c r="L438" s="82"/>
      <c r="M438" s="82"/>
      <c r="N438" s="86"/>
    </row>
    <row r="439" spans="2:14" x14ac:dyDescent="0.25">
      <c r="B439" s="49"/>
      <c r="C439" s="57"/>
      <c r="D439" s="302" t="s">
        <v>892</v>
      </c>
      <c r="E439" s="99"/>
      <c r="F439" s="328">
        <v>-1</v>
      </c>
      <c r="G439" s="326">
        <v>0.7</v>
      </c>
      <c r="H439" s="64"/>
      <c r="I439" s="105">
        <v>0.6</v>
      </c>
      <c r="J439" s="99"/>
      <c r="K439" s="82">
        <f t="shared" si="21"/>
        <v>-0.42</v>
      </c>
      <c r="L439" s="82"/>
      <c r="M439" s="82"/>
      <c r="N439" s="86"/>
    </row>
    <row r="440" spans="2:14" x14ac:dyDescent="0.25">
      <c r="B440" s="49"/>
      <c r="C440" s="57"/>
      <c r="D440" s="302" t="s">
        <v>924</v>
      </c>
      <c r="E440" s="99"/>
      <c r="F440" s="328">
        <v>-1</v>
      </c>
      <c r="G440" s="326">
        <v>1.5</v>
      </c>
      <c r="H440" s="64"/>
      <c r="I440" s="105">
        <v>0.6</v>
      </c>
      <c r="J440" s="99"/>
      <c r="K440" s="82">
        <f t="shared" si="21"/>
        <v>-0.89999999999999991</v>
      </c>
      <c r="L440" s="82"/>
      <c r="M440" s="82"/>
      <c r="N440" s="86"/>
    </row>
    <row r="441" spans="2:14" x14ac:dyDescent="0.25">
      <c r="B441" s="49"/>
      <c r="C441" s="57"/>
      <c r="D441" s="302" t="s">
        <v>907</v>
      </c>
      <c r="E441" s="99"/>
      <c r="F441" s="328">
        <v>1</v>
      </c>
      <c r="G441" s="326">
        <v>18.899999999999999</v>
      </c>
      <c r="H441" s="64"/>
      <c r="I441" s="105">
        <v>1.5</v>
      </c>
      <c r="J441" s="99"/>
      <c r="K441" s="82">
        <f t="shared" si="21"/>
        <v>28.349999999999998</v>
      </c>
      <c r="L441" s="82"/>
      <c r="M441" s="82"/>
      <c r="N441" s="86"/>
    </row>
    <row r="442" spans="2:14" x14ac:dyDescent="0.25">
      <c r="B442" s="49"/>
      <c r="C442" s="57"/>
      <c r="D442" s="302" t="s">
        <v>892</v>
      </c>
      <c r="E442" s="99"/>
      <c r="F442" s="328">
        <v>-2</v>
      </c>
      <c r="G442" s="326">
        <v>0.7</v>
      </c>
      <c r="H442" s="64"/>
      <c r="I442" s="105">
        <v>0.6</v>
      </c>
      <c r="J442" s="99"/>
      <c r="K442" s="82">
        <f t="shared" si="21"/>
        <v>-0.84</v>
      </c>
      <c r="L442" s="82"/>
      <c r="M442" s="82"/>
      <c r="N442" s="86"/>
    </row>
    <row r="443" spans="2:14" x14ac:dyDescent="0.25">
      <c r="B443" s="49"/>
      <c r="C443" s="57"/>
      <c r="D443" s="302" t="s">
        <v>924</v>
      </c>
      <c r="E443" s="99"/>
      <c r="F443" s="328">
        <v>-1</v>
      </c>
      <c r="G443" s="326">
        <v>1.5</v>
      </c>
      <c r="H443" s="64"/>
      <c r="I443" s="105">
        <v>0.6</v>
      </c>
      <c r="J443" s="99"/>
      <c r="K443" s="82">
        <f t="shared" si="21"/>
        <v>-0.89999999999999991</v>
      </c>
      <c r="L443" s="82"/>
      <c r="M443" s="82"/>
      <c r="N443" s="86"/>
    </row>
    <row r="444" spans="2:14" x14ac:dyDescent="0.25">
      <c r="B444" s="49"/>
      <c r="C444" s="57"/>
      <c r="D444" s="302" t="s">
        <v>908</v>
      </c>
      <c r="E444" s="99"/>
      <c r="F444" s="328">
        <v>1</v>
      </c>
      <c r="G444" s="326">
        <v>4.9000000000000004</v>
      </c>
      <c r="H444" s="64"/>
      <c r="I444" s="105">
        <v>1.5</v>
      </c>
      <c r="J444" s="99"/>
      <c r="K444" s="82">
        <f t="shared" si="21"/>
        <v>7.3500000000000005</v>
      </c>
      <c r="L444" s="82"/>
      <c r="M444" s="82"/>
      <c r="N444" s="86"/>
    </row>
    <row r="445" spans="2:14" x14ac:dyDescent="0.25">
      <c r="B445" s="49"/>
      <c r="C445" s="57"/>
      <c r="D445" s="302" t="s">
        <v>909</v>
      </c>
      <c r="E445" s="99"/>
      <c r="F445" s="328">
        <v>1</v>
      </c>
      <c r="G445" s="326">
        <v>5.8</v>
      </c>
      <c r="H445" s="64"/>
      <c r="I445" s="105">
        <v>1.5</v>
      </c>
      <c r="J445" s="99"/>
      <c r="K445" s="82">
        <f t="shared" si="21"/>
        <v>8.6999999999999993</v>
      </c>
      <c r="L445" s="82"/>
      <c r="M445" s="82"/>
      <c r="N445" s="86"/>
    </row>
    <row r="446" spans="2:14" x14ac:dyDescent="0.25">
      <c r="B446" s="49"/>
      <c r="C446" s="57"/>
      <c r="D446" s="302" t="s">
        <v>910</v>
      </c>
      <c r="E446" s="99"/>
      <c r="F446" s="328">
        <v>1</v>
      </c>
      <c r="G446" s="326">
        <v>8.65</v>
      </c>
      <c r="H446" s="64"/>
      <c r="I446" s="105">
        <v>1.5</v>
      </c>
      <c r="J446" s="99"/>
      <c r="K446" s="82">
        <f t="shared" si="21"/>
        <v>12.975000000000001</v>
      </c>
      <c r="L446" s="82"/>
      <c r="M446" s="82"/>
      <c r="N446" s="86"/>
    </row>
    <row r="447" spans="2:14" x14ac:dyDescent="0.25">
      <c r="B447" s="49"/>
      <c r="C447" s="57"/>
      <c r="D447" s="302" t="s">
        <v>949</v>
      </c>
      <c r="E447" s="99"/>
      <c r="F447" s="328">
        <v>-1</v>
      </c>
      <c r="G447" s="326">
        <v>2.6</v>
      </c>
      <c r="H447" s="64"/>
      <c r="I447" s="105">
        <v>0.6</v>
      </c>
      <c r="J447" s="99"/>
      <c r="K447" s="82">
        <f t="shared" si="21"/>
        <v>-1.56</v>
      </c>
      <c r="L447" s="82"/>
      <c r="M447" s="82"/>
      <c r="N447" s="86"/>
    </row>
    <row r="448" spans="2:14" x14ac:dyDescent="0.25">
      <c r="B448" s="49"/>
      <c r="C448" s="57"/>
      <c r="D448" s="302" t="s">
        <v>924</v>
      </c>
      <c r="E448" s="99"/>
      <c r="F448" s="328">
        <v>-1</v>
      </c>
      <c r="G448" s="326">
        <v>1.5</v>
      </c>
      <c r="H448" s="64"/>
      <c r="I448" s="105">
        <v>0.6</v>
      </c>
      <c r="J448" s="99"/>
      <c r="K448" s="82">
        <f t="shared" si="21"/>
        <v>-0.89999999999999991</v>
      </c>
      <c r="L448" s="82"/>
      <c r="M448" s="82"/>
      <c r="N448" s="86"/>
    </row>
    <row r="449" spans="2:14" x14ac:dyDescent="0.25">
      <c r="B449" s="49"/>
      <c r="C449" s="57"/>
      <c r="D449" s="302" t="s">
        <v>911</v>
      </c>
      <c r="E449" s="99"/>
      <c r="F449" s="328">
        <v>1</v>
      </c>
      <c r="G449" s="326">
        <v>6.33</v>
      </c>
      <c r="H449" s="64"/>
      <c r="I449" s="105">
        <v>1.5</v>
      </c>
      <c r="J449" s="99"/>
      <c r="K449" s="82">
        <f>F449*G449*I449</f>
        <v>9.495000000000001</v>
      </c>
      <c r="L449" s="82"/>
      <c r="M449" s="82"/>
      <c r="N449" s="86"/>
    </row>
    <row r="450" spans="2:14" x14ac:dyDescent="0.25">
      <c r="B450" s="49"/>
      <c r="C450" s="57"/>
      <c r="D450" s="302" t="s">
        <v>892</v>
      </c>
      <c r="E450" s="99"/>
      <c r="F450" s="328">
        <v>-1</v>
      </c>
      <c r="G450" s="326">
        <v>0.7</v>
      </c>
      <c r="H450" s="64"/>
      <c r="I450" s="105">
        <v>0.6</v>
      </c>
      <c r="J450" s="99"/>
      <c r="K450" s="82">
        <f t="shared" si="21"/>
        <v>-0.42</v>
      </c>
      <c r="L450" s="82"/>
      <c r="M450" s="82"/>
      <c r="N450" s="86"/>
    </row>
    <row r="451" spans="2:14" x14ac:dyDescent="0.25">
      <c r="B451" s="49"/>
      <c r="C451" s="57"/>
      <c r="D451" s="302" t="s">
        <v>863</v>
      </c>
      <c r="E451" s="99"/>
      <c r="F451" s="328">
        <v>1</v>
      </c>
      <c r="G451" s="326">
        <v>6.2</v>
      </c>
      <c r="H451" s="64"/>
      <c r="I451" s="105">
        <v>1.5</v>
      </c>
      <c r="J451" s="99"/>
      <c r="K451" s="82">
        <f t="shared" si="21"/>
        <v>9.3000000000000007</v>
      </c>
      <c r="L451" s="82"/>
      <c r="M451" s="82"/>
      <c r="N451" s="86"/>
    </row>
    <row r="452" spans="2:14" x14ac:dyDescent="0.25">
      <c r="B452" s="49"/>
      <c r="C452" s="57"/>
      <c r="D452" s="302" t="s">
        <v>892</v>
      </c>
      <c r="E452" s="99"/>
      <c r="F452" s="328">
        <v>-1</v>
      </c>
      <c r="G452" s="326">
        <v>0.7</v>
      </c>
      <c r="H452" s="64"/>
      <c r="I452" s="105">
        <v>0.6</v>
      </c>
      <c r="J452" s="99"/>
      <c r="K452" s="82">
        <f t="shared" si="21"/>
        <v>-0.42</v>
      </c>
      <c r="L452" s="82"/>
      <c r="M452" s="82"/>
      <c r="N452" s="86"/>
    </row>
    <row r="453" spans="2:14" x14ac:dyDescent="0.25">
      <c r="B453" s="49"/>
      <c r="C453" s="57"/>
      <c r="D453" s="302" t="s">
        <v>912</v>
      </c>
      <c r="E453" s="99"/>
      <c r="F453" s="328">
        <v>1</v>
      </c>
      <c r="G453" s="326">
        <v>11.8</v>
      </c>
      <c r="H453" s="64"/>
      <c r="I453" s="105">
        <v>1.5</v>
      </c>
      <c r="J453" s="99"/>
      <c r="K453" s="82">
        <f t="shared" si="21"/>
        <v>17.700000000000003</v>
      </c>
      <c r="L453" s="82"/>
      <c r="M453" s="82"/>
      <c r="N453" s="86"/>
    </row>
    <row r="454" spans="2:14" x14ac:dyDescent="0.25">
      <c r="B454" s="49"/>
      <c r="C454" s="57"/>
      <c r="D454" s="302" t="s">
        <v>892</v>
      </c>
      <c r="E454" s="99"/>
      <c r="F454" s="328">
        <v>-1</v>
      </c>
      <c r="G454" s="326">
        <v>0.7</v>
      </c>
      <c r="H454" s="64"/>
      <c r="I454" s="105">
        <v>0.6</v>
      </c>
      <c r="J454" s="99"/>
      <c r="K454" s="82">
        <f t="shared" si="21"/>
        <v>-0.42</v>
      </c>
      <c r="L454" s="82"/>
      <c r="M454" s="82"/>
      <c r="N454" s="86"/>
    </row>
    <row r="455" spans="2:14" x14ac:dyDescent="0.25">
      <c r="B455" s="49"/>
      <c r="C455" s="57"/>
      <c r="D455" s="302" t="s">
        <v>924</v>
      </c>
      <c r="E455" s="99"/>
      <c r="F455" s="328">
        <v>-1</v>
      </c>
      <c r="G455" s="326">
        <v>1.5</v>
      </c>
      <c r="H455" s="64"/>
      <c r="I455" s="105">
        <v>0.6</v>
      </c>
      <c r="J455" s="99"/>
      <c r="K455" s="82">
        <f t="shared" si="21"/>
        <v>-0.89999999999999991</v>
      </c>
      <c r="L455" s="82"/>
      <c r="M455" s="82"/>
      <c r="N455" s="86"/>
    </row>
    <row r="456" spans="2:14" x14ac:dyDescent="0.25">
      <c r="B456" s="49"/>
      <c r="C456" s="57"/>
      <c r="D456" s="302" t="s">
        <v>950</v>
      </c>
      <c r="E456" s="99"/>
      <c r="F456" s="328">
        <v>1</v>
      </c>
      <c r="G456" s="326">
        <v>5.65</v>
      </c>
      <c r="H456" s="64"/>
      <c r="I456" s="105">
        <v>1.5</v>
      </c>
      <c r="J456" s="99"/>
      <c r="K456" s="82">
        <f t="shared" si="21"/>
        <v>8.4750000000000014</v>
      </c>
      <c r="L456" s="82"/>
      <c r="M456" s="82"/>
      <c r="N456" s="86"/>
    </row>
    <row r="457" spans="2:14" x14ac:dyDescent="0.25">
      <c r="B457" s="49"/>
      <c r="C457" s="57"/>
      <c r="D457" s="302" t="s">
        <v>892</v>
      </c>
      <c r="E457" s="99"/>
      <c r="F457" s="328">
        <v>-1</v>
      </c>
      <c r="G457" s="326">
        <v>0.7</v>
      </c>
      <c r="H457" s="64"/>
      <c r="I457" s="105">
        <v>0.6</v>
      </c>
      <c r="J457" s="99"/>
      <c r="K457" s="82">
        <f t="shared" si="21"/>
        <v>-0.42</v>
      </c>
      <c r="L457" s="82"/>
      <c r="M457" s="82"/>
      <c r="N457" s="86"/>
    </row>
    <row r="458" spans="2:14" x14ac:dyDescent="0.25">
      <c r="B458" s="49"/>
      <c r="C458" s="57"/>
      <c r="D458" s="302" t="s">
        <v>913</v>
      </c>
      <c r="E458" s="99"/>
      <c r="F458" s="328">
        <v>1</v>
      </c>
      <c r="G458" s="326">
        <v>3.67</v>
      </c>
      <c r="H458" s="64"/>
      <c r="I458" s="105">
        <v>1.5</v>
      </c>
      <c r="J458" s="99"/>
      <c r="K458" s="82">
        <f t="shared" si="21"/>
        <v>5.5049999999999999</v>
      </c>
      <c r="L458" s="82"/>
      <c r="M458" s="82"/>
      <c r="N458" s="86"/>
    </row>
    <row r="459" spans="2:14" x14ac:dyDescent="0.25">
      <c r="B459" s="49"/>
      <c r="C459" s="57"/>
      <c r="D459" s="302" t="s">
        <v>892</v>
      </c>
      <c r="E459" s="99"/>
      <c r="F459" s="328">
        <v>-1</v>
      </c>
      <c r="G459" s="326">
        <v>0.7</v>
      </c>
      <c r="H459" s="64"/>
      <c r="I459" s="105">
        <v>0.6</v>
      </c>
      <c r="J459" s="99"/>
      <c r="K459" s="82">
        <f t="shared" si="21"/>
        <v>-0.42</v>
      </c>
      <c r="L459" s="82"/>
      <c r="M459" s="82"/>
      <c r="N459" s="86"/>
    </row>
    <row r="460" spans="2:14" x14ac:dyDescent="0.25">
      <c r="B460" s="49"/>
      <c r="C460" s="57"/>
      <c r="D460" s="302" t="s">
        <v>914</v>
      </c>
      <c r="E460" s="99"/>
      <c r="F460" s="328">
        <v>1</v>
      </c>
      <c r="G460" s="326">
        <v>7.8</v>
      </c>
      <c r="H460" s="64"/>
      <c r="I460" s="105">
        <v>1.5</v>
      </c>
      <c r="J460" s="99"/>
      <c r="K460" s="82">
        <f t="shared" si="21"/>
        <v>11.7</v>
      </c>
      <c r="L460" s="82"/>
      <c r="M460" s="82"/>
      <c r="N460" s="86"/>
    </row>
    <row r="461" spans="2:14" x14ac:dyDescent="0.25">
      <c r="B461" s="49"/>
      <c r="C461" s="57"/>
      <c r="D461" s="302" t="s">
        <v>915</v>
      </c>
      <c r="E461" s="99"/>
      <c r="F461" s="328">
        <v>1</v>
      </c>
      <c r="G461" s="326">
        <v>14.9</v>
      </c>
      <c r="H461" s="64"/>
      <c r="I461" s="105">
        <v>1.5</v>
      </c>
      <c r="J461" s="99"/>
      <c r="K461" s="82">
        <f t="shared" si="21"/>
        <v>22.35</v>
      </c>
      <c r="L461" s="82"/>
      <c r="M461" s="82"/>
      <c r="N461" s="86"/>
    </row>
    <row r="462" spans="2:14" x14ac:dyDescent="0.25">
      <c r="B462" s="49"/>
      <c r="C462" s="57"/>
      <c r="D462" s="302" t="s">
        <v>892</v>
      </c>
      <c r="E462" s="99"/>
      <c r="F462" s="328">
        <v>-2</v>
      </c>
      <c r="G462" s="326">
        <v>0.7</v>
      </c>
      <c r="H462" s="64"/>
      <c r="I462" s="105">
        <v>0.6</v>
      </c>
      <c r="J462" s="99"/>
      <c r="K462" s="82">
        <f t="shared" si="21"/>
        <v>-0.84</v>
      </c>
      <c r="L462" s="82"/>
      <c r="M462" s="82"/>
      <c r="N462" s="86"/>
    </row>
    <row r="463" spans="2:14" x14ac:dyDescent="0.25">
      <c r="B463" s="49"/>
      <c r="C463" s="57"/>
      <c r="D463" s="302" t="s">
        <v>924</v>
      </c>
      <c r="E463" s="99"/>
      <c r="F463" s="328">
        <v>-1</v>
      </c>
      <c r="G463" s="326">
        <v>1.5</v>
      </c>
      <c r="H463" s="64"/>
      <c r="I463" s="105">
        <v>0.6</v>
      </c>
      <c r="J463" s="99"/>
      <c r="K463" s="82">
        <f t="shared" si="21"/>
        <v>-0.89999999999999991</v>
      </c>
      <c r="L463" s="82"/>
      <c r="M463" s="82"/>
      <c r="N463" s="86"/>
    </row>
    <row r="464" spans="2:14" x14ac:dyDescent="0.25">
      <c r="B464" s="49"/>
      <c r="C464" s="57"/>
      <c r="D464" s="302" t="s">
        <v>916</v>
      </c>
      <c r="E464" s="99"/>
      <c r="F464" s="328">
        <v>1</v>
      </c>
      <c r="G464" s="326">
        <v>6</v>
      </c>
      <c r="H464" s="64"/>
      <c r="I464" s="105">
        <v>1.5</v>
      </c>
      <c r="J464" s="99"/>
      <c r="K464" s="82">
        <f t="shared" si="21"/>
        <v>9</v>
      </c>
      <c r="L464" s="82"/>
      <c r="M464" s="82"/>
      <c r="N464" s="86"/>
    </row>
    <row r="465" spans="2:14" x14ac:dyDescent="0.25">
      <c r="B465" s="49"/>
      <c r="C465" s="57"/>
      <c r="D465" s="302" t="s">
        <v>917</v>
      </c>
      <c r="E465" s="99"/>
      <c r="F465" s="328">
        <v>-1</v>
      </c>
      <c r="G465" s="326">
        <v>2.6</v>
      </c>
      <c r="H465" s="64"/>
      <c r="I465" s="105">
        <v>0.6</v>
      </c>
      <c r="J465" s="99"/>
      <c r="K465" s="82">
        <f t="shared" si="21"/>
        <v>-1.56</v>
      </c>
      <c r="L465" s="82"/>
      <c r="M465" s="82"/>
      <c r="N465" s="86"/>
    </row>
    <row r="466" spans="2:14" x14ac:dyDescent="0.25">
      <c r="B466" s="49"/>
      <c r="C466" s="57"/>
      <c r="D466" s="302" t="s">
        <v>918</v>
      </c>
      <c r="E466" s="99"/>
      <c r="F466" s="328">
        <v>1</v>
      </c>
      <c r="G466" s="326">
        <v>3.6</v>
      </c>
      <c r="H466" s="64"/>
      <c r="I466" s="105">
        <v>1.5</v>
      </c>
      <c r="J466" s="99"/>
      <c r="K466" s="82">
        <f t="shared" si="21"/>
        <v>5.4</v>
      </c>
      <c r="L466" s="82"/>
      <c r="M466" s="82"/>
      <c r="N466" s="86"/>
    </row>
    <row r="467" spans="2:14" x14ac:dyDescent="0.25">
      <c r="B467" s="49"/>
      <c r="C467" s="57"/>
      <c r="D467" s="302" t="s">
        <v>919</v>
      </c>
      <c r="E467" s="99"/>
      <c r="F467" s="328">
        <v>-1</v>
      </c>
      <c r="G467" s="326">
        <v>1.4</v>
      </c>
      <c r="H467" s="64"/>
      <c r="I467" s="105">
        <v>0.6</v>
      </c>
      <c r="J467" s="99"/>
      <c r="K467" s="82">
        <f t="shared" si="21"/>
        <v>-0.84</v>
      </c>
      <c r="L467" s="82"/>
      <c r="M467" s="82"/>
      <c r="N467" s="86"/>
    </row>
    <row r="468" spans="2:14" x14ac:dyDescent="0.25">
      <c r="B468" s="49"/>
      <c r="C468" s="57"/>
      <c r="D468" s="302" t="s">
        <v>920</v>
      </c>
      <c r="E468" s="99"/>
      <c r="F468" s="328">
        <v>1</v>
      </c>
      <c r="G468" s="326">
        <v>12</v>
      </c>
      <c r="H468" s="64"/>
      <c r="I468" s="105">
        <v>1.5</v>
      </c>
      <c r="J468" s="99"/>
      <c r="K468" s="82">
        <f>F468*G468*I468</f>
        <v>18</v>
      </c>
      <c r="L468" s="82"/>
      <c r="M468" s="82"/>
      <c r="N468" s="86"/>
    </row>
    <row r="469" spans="2:14" x14ac:dyDescent="0.25">
      <c r="B469" s="49"/>
      <c r="C469" s="57"/>
      <c r="D469" s="302" t="s">
        <v>892</v>
      </c>
      <c r="E469" s="99"/>
      <c r="F469" s="328">
        <v>-1</v>
      </c>
      <c r="G469" s="326">
        <v>0.7</v>
      </c>
      <c r="H469" s="64"/>
      <c r="I469" s="105">
        <v>0.6</v>
      </c>
      <c r="J469" s="99"/>
      <c r="K469" s="82">
        <f t="shared" ref="K469:K476" si="23">F469*G469*I469</f>
        <v>-0.42</v>
      </c>
      <c r="L469" s="82"/>
      <c r="M469" s="82"/>
      <c r="N469" s="86"/>
    </row>
    <row r="470" spans="2:14" x14ac:dyDescent="0.25">
      <c r="B470" s="49"/>
      <c r="C470" s="57"/>
      <c r="D470" s="302" t="s">
        <v>921</v>
      </c>
      <c r="E470" s="99"/>
      <c r="F470" s="328">
        <v>1</v>
      </c>
      <c r="G470" s="326">
        <v>11.15</v>
      </c>
      <c r="H470" s="64"/>
      <c r="I470" s="105">
        <v>1.5</v>
      </c>
      <c r="J470" s="99"/>
      <c r="K470" s="82">
        <f t="shared" si="23"/>
        <v>16.725000000000001</v>
      </c>
      <c r="L470" s="82"/>
      <c r="M470" s="82"/>
      <c r="N470" s="86"/>
    </row>
    <row r="471" spans="2:14" x14ac:dyDescent="0.25">
      <c r="B471" s="49"/>
      <c r="C471" s="57"/>
      <c r="D471" s="302" t="s">
        <v>892</v>
      </c>
      <c r="E471" s="99"/>
      <c r="F471" s="328">
        <v>-1</v>
      </c>
      <c r="G471" s="326">
        <v>0.7</v>
      </c>
      <c r="H471" s="64"/>
      <c r="I471" s="105">
        <v>0.6</v>
      </c>
      <c r="J471" s="99"/>
      <c r="K471" s="82">
        <f t="shared" si="23"/>
        <v>-0.42</v>
      </c>
      <c r="L471" s="82"/>
      <c r="M471" s="82"/>
      <c r="N471" s="86"/>
    </row>
    <row r="472" spans="2:14" x14ac:dyDescent="0.25">
      <c r="B472" s="49"/>
      <c r="C472" s="57"/>
      <c r="D472" s="302" t="s">
        <v>922</v>
      </c>
      <c r="E472" s="99"/>
      <c r="F472" s="329">
        <v>1</v>
      </c>
      <c r="G472" s="325">
        <v>10</v>
      </c>
      <c r="H472" s="64"/>
      <c r="I472" s="318">
        <v>1.5</v>
      </c>
      <c r="J472" s="99"/>
      <c r="K472" s="82">
        <f t="shared" si="23"/>
        <v>15</v>
      </c>
      <c r="L472" s="82"/>
      <c r="M472" s="82"/>
      <c r="N472" s="86"/>
    </row>
    <row r="473" spans="2:14" ht="15.6" customHeight="1" x14ac:dyDescent="0.25">
      <c r="B473" s="49"/>
      <c r="C473" s="57"/>
      <c r="D473" s="302" t="s">
        <v>951</v>
      </c>
      <c r="E473" s="99"/>
      <c r="F473" s="329">
        <v>-4</v>
      </c>
      <c r="G473" s="320">
        <v>2.2000000000000002</v>
      </c>
      <c r="H473" s="72"/>
      <c r="I473" s="321">
        <v>1</v>
      </c>
      <c r="J473" s="99"/>
      <c r="K473" s="82">
        <f t="shared" si="23"/>
        <v>-8.8000000000000007</v>
      </c>
      <c r="L473" s="82"/>
      <c r="M473" s="82"/>
      <c r="N473" s="86"/>
    </row>
    <row r="474" spans="2:14" x14ac:dyDescent="0.25">
      <c r="B474" s="49"/>
      <c r="C474" s="57"/>
      <c r="D474" s="302" t="s">
        <v>923</v>
      </c>
      <c r="E474" s="99"/>
      <c r="F474" s="329">
        <v>1</v>
      </c>
      <c r="G474" s="320">
        <v>15.5</v>
      </c>
      <c r="H474" s="72"/>
      <c r="I474" s="321">
        <v>3</v>
      </c>
      <c r="J474" s="99"/>
      <c r="K474" s="82">
        <f t="shared" si="23"/>
        <v>46.5</v>
      </c>
      <c r="L474" s="82"/>
      <c r="M474" s="82"/>
      <c r="N474" s="86"/>
    </row>
    <row r="475" spans="2:14" x14ac:dyDescent="0.25">
      <c r="B475" s="49"/>
      <c r="C475" s="57"/>
      <c r="D475" s="302" t="s">
        <v>892</v>
      </c>
      <c r="E475" s="99"/>
      <c r="F475" s="329">
        <v>-1</v>
      </c>
      <c r="G475" s="320">
        <v>0.7</v>
      </c>
      <c r="H475" s="72"/>
      <c r="I475" s="321">
        <v>2.1</v>
      </c>
      <c r="J475" s="99"/>
      <c r="K475" s="82">
        <f t="shared" si="23"/>
        <v>-1.47</v>
      </c>
      <c r="L475" s="82"/>
      <c r="M475" s="82"/>
      <c r="N475" s="86"/>
    </row>
    <row r="476" spans="2:14" x14ac:dyDescent="0.25">
      <c r="B476" s="49"/>
      <c r="C476" s="57"/>
      <c r="D476" s="302" t="s">
        <v>904</v>
      </c>
      <c r="E476" s="99"/>
      <c r="F476" s="329">
        <v>-1</v>
      </c>
      <c r="G476" s="320">
        <v>2.6</v>
      </c>
      <c r="H476" s="72"/>
      <c r="I476" s="321">
        <v>0.5</v>
      </c>
      <c r="J476" s="99"/>
      <c r="K476" s="82">
        <f t="shared" si="23"/>
        <v>-1.3</v>
      </c>
      <c r="L476" s="82"/>
      <c r="M476" s="82"/>
      <c r="N476" s="86"/>
    </row>
    <row r="477" spans="2:14" hidden="1" x14ac:dyDescent="0.25">
      <c r="B477" s="49"/>
      <c r="C477" s="57"/>
      <c r="D477" s="322" t="s">
        <v>923</v>
      </c>
      <c r="E477" s="99"/>
      <c r="F477" s="300">
        <v>0</v>
      </c>
      <c r="G477" s="299">
        <v>15.5</v>
      </c>
      <c r="H477" s="64"/>
      <c r="I477" s="105">
        <v>1.5</v>
      </c>
      <c r="J477" s="99"/>
      <c r="K477" s="82">
        <f t="shared" ref="K477:K478" si="24">F477*G477*I477</f>
        <v>0</v>
      </c>
      <c r="L477" s="82"/>
      <c r="M477" s="82"/>
      <c r="N477" s="86"/>
    </row>
    <row r="478" spans="2:14" hidden="1" x14ac:dyDescent="0.25">
      <c r="B478" s="49"/>
      <c r="C478" s="57"/>
      <c r="D478" s="322" t="s">
        <v>892</v>
      </c>
      <c r="E478" s="99"/>
      <c r="F478" s="300">
        <v>0</v>
      </c>
      <c r="G478" s="299">
        <v>0.7</v>
      </c>
      <c r="H478" s="64"/>
      <c r="I478" s="105">
        <v>1.5</v>
      </c>
      <c r="J478" s="99"/>
      <c r="K478" s="82">
        <f t="shared" si="24"/>
        <v>0</v>
      </c>
      <c r="L478" s="82"/>
      <c r="M478" s="82"/>
      <c r="N478" s="86"/>
    </row>
    <row r="479" spans="2:14" ht="31.15" customHeight="1" x14ac:dyDescent="0.25">
      <c r="B479" s="49" t="s">
        <v>138</v>
      </c>
      <c r="C479" s="57">
        <v>93189</v>
      </c>
      <c r="D479" s="296" t="s">
        <v>140</v>
      </c>
      <c r="E479" s="64" t="s">
        <v>37</v>
      </c>
      <c r="F479" s="307"/>
      <c r="G479" s="99"/>
      <c r="H479" s="43"/>
      <c r="I479" s="105"/>
      <c r="J479" s="99">
        <f>'BOLETIM DE MEDIÇÃO 05'!O57-'MEMORIAL DE CALCULO 05'!K479</f>
        <v>10.200000000000003</v>
      </c>
      <c r="K479" s="82">
        <f>SUM(K480:K485)</f>
        <v>53.900000000000006</v>
      </c>
      <c r="L479" s="82">
        <f t="shared" si="0"/>
        <v>64.100000000000009</v>
      </c>
      <c r="M479" s="82">
        <f>'BOLETIM DE MEDIÇÃO 05'!G57</f>
        <v>64.099999999999994</v>
      </c>
      <c r="N479" s="86">
        <f t="shared" si="1"/>
        <v>0</v>
      </c>
    </row>
    <row r="480" spans="2:14" ht="16.149999999999999" customHeight="1" x14ac:dyDescent="0.25">
      <c r="B480" s="49"/>
      <c r="C480" s="57"/>
      <c r="D480" s="308" t="s">
        <v>926</v>
      </c>
      <c r="E480" s="64"/>
      <c r="F480" s="105">
        <v>14</v>
      </c>
      <c r="G480" s="506">
        <v>1.5</v>
      </c>
      <c r="H480" s="507"/>
      <c r="I480" s="508"/>
      <c r="J480" s="99"/>
      <c r="K480" s="82">
        <f>F480*G480</f>
        <v>21</v>
      </c>
      <c r="L480" s="82"/>
      <c r="M480" s="82"/>
      <c r="N480" s="86"/>
    </row>
    <row r="481" spans="2:14" ht="15" customHeight="1" x14ac:dyDescent="0.25">
      <c r="B481" s="49"/>
      <c r="C481" s="57"/>
      <c r="D481" s="308" t="s">
        <v>939</v>
      </c>
      <c r="E481" s="64"/>
      <c r="F481" s="105">
        <v>1</v>
      </c>
      <c r="G481" s="506">
        <v>2.1</v>
      </c>
      <c r="H481" s="507"/>
      <c r="I481" s="508"/>
      <c r="J481" s="99"/>
      <c r="K481" s="82">
        <f t="shared" ref="K481:K485" si="25">F481*G481</f>
        <v>2.1</v>
      </c>
      <c r="L481" s="82"/>
      <c r="M481" s="82"/>
      <c r="N481" s="86"/>
    </row>
    <row r="482" spans="2:14" ht="15" customHeight="1" x14ac:dyDescent="0.25">
      <c r="B482" s="49"/>
      <c r="C482" s="57"/>
      <c r="D482" s="308" t="s">
        <v>928</v>
      </c>
      <c r="E482" s="64"/>
      <c r="F482" s="105">
        <v>2</v>
      </c>
      <c r="G482" s="506">
        <v>1.4</v>
      </c>
      <c r="H482" s="507"/>
      <c r="I482" s="508"/>
      <c r="J482" s="99"/>
      <c r="K482" s="82">
        <f t="shared" si="25"/>
        <v>2.8</v>
      </c>
      <c r="L482" s="82"/>
      <c r="M482" s="82"/>
      <c r="N482" s="86"/>
    </row>
    <row r="483" spans="2:14" ht="15.6" customHeight="1" x14ac:dyDescent="0.25">
      <c r="B483" s="49"/>
      <c r="C483" s="57"/>
      <c r="D483" s="308" t="s">
        <v>940</v>
      </c>
      <c r="E483" s="64"/>
      <c r="F483" s="105">
        <v>8</v>
      </c>
      <c r="G483" s="506">
        <v>1.4</v>
      </c>
      <c r="H483" s="507"/>
      <c r="I483" s="508"/>
      <c r="J483" s="99"/>
      <c r="K483" s="82">
        <f t="shared" si="25"/>
        <v>11.2</v>
      </c>
      <c r="L483" s="82"/>
      <c r="M483" s="82"/>
      <c r="N483" s="86"/>
    </row>
    <row r="484" spans="2:14" ht="16.149999999999999" customHeight="1" x14ac:dyDescent="0.25">
      <c r="B484" s="49"/>
      <c r="C484" s="57"/>
      <c r="D484" s="308" t="s">
        <v>941</v>
      </c>
      <c r="E484" s="64"/>
      <c r="F484" s="105">
        <v>2</v>
      </c>
      <c r="G484" s="506">
        <v>3.6</v>
      </c>
      <c r="H484" s="507"/>
      <c r="I484" s="508"/>
      <c r="J484" s="99"/>
      <c r="K484" s="82">
        <f t="shared" si="25"/>
        <v>7.2</v>
      </c>
      <c r="L484" s="82"/>
      <c r="M484" s="82"/>
      <c r="N484" s="86"/>
    </row>
    <row r="485" spans="2:14" ht="15.6" customHeight="1" x14ac:dyDescent="0.25">
      <c r="B485" s="49"/>
      <c r="C485" s="57"/>
      <c r="D485" s="308" t="s">
        <v>942</v>
      </c>
      <c r="E485" s="64"/>
      <c r="F485" s="105">
        <v>3</v>
      </c>
      <c r="G485" s="506">
        <v>3.2</v>
      </c>
      <c r="H485" s="507"/>
      <c r="I485" s="508"/>
      <c r="J485" s="99"/>
      <c r="K485" s="82">
        <f t="shared" si="25"/>
        <v>9.6000000000000014</v>
      </c>
      <c r="L485" s="82"/>
      <c r="M485" s="82"/>
      <c r="N485" s="86"/>
    </row>
    <row r="486" spans="2:14" ht="33.75" x14ac:dyDescent="0.25">
      <c r="B486" s="49" t="s">
        <v>141</v>
      </c>
      <c r="C486" s="57">
        <v>93191</v>
      </c>
      <c r="D486" s="52" t="s">
        <v>143</v>
      </c>
      <c r="E486" s="64" t="s">
        <v>37</v>
      </c>
      <c r="F486" s="105"/>
      <c r="G486" s="99"/>
      <c r="H486" s="64"/>
      <c r="I486" s="105"/>
      <c r="J486" s="99">
        <f>'BOLETIM DE MEDIÇÃO 05'!O58-'MEMORIAL DE CALCULO 05'!K486</f>
        <v>11.599999999999994</v>
      </c>
      <c r="K486" s="82">
        <f>SUM(K487:K492)</f>
        <v>60.600000000000009</v>
      </c>
      <c r="L486" s="82">
        <f t="shared" si="0"/>
        <v>72.2</v>
      </c>
      <c r="M486" s="82">
        <f>'BOLETIM DE MEDIÇÃO 05'!G58</f>
        <v>72.2</v>
      </c>
      <c r="N486" s="86">
        <f t="shared" si="1"/>
        <v>0</v>
      </c>
    </row>
    <row r="487" spans="2:14" x14ac:dyDescent="0.25">
      <c r="B487" s="49"/>
      <c r="C487" s="57"/>
      <c r="D487" s="309" t="s">
        <v>929</v>
      </c>
      <c r="E487" s="64"/>
      <c r="F487" s="105">
        <v>6</v>
      </c>
      <c r="G487" s="549">
        <v>1.6</v>
      </c>
      <c r="H487" s="550"/>
      <c r="I487" s="551"/>
      <c r="J487" s="99"/>
      <c r="K487" s="82">
        <f>F487*G487</f>
        <v>9.6000000000000014</v>
      </c>
      <c r="L487" s="82"/>
      <c r="M487" s="82"/>
      <c r="N487" s="86"/>
    </row>
    <row r="488" spans="2:14" x14ac:dyDescent="0.25">
      <c r="B488" s="49"/>
      <c r="C488" s="57"/>
      <c r="D488" s="309" t="s">
        <v>943</v>
      </c>
      <c r="E488" s="64"/>
      <c r="F488" s="105">
        <v>1</v>
      </c>
      <c r="G488" s="549">
        <v>1.8</v>
      </c>
      <c r="H488" s="550"/>
      <c r="I488" s="551"/>
      <c r="J488" s="99"/>
      <c r="K488" s="82">
        <f t="shared" ref="K488:K492" si="26">F488*G488</f>
        <v>1.8</v>
      </c>
      <c r="L488" s="82"/>
      <c r="M488" s="82"/>
      <c r="N488" s="86"/>
    </row>
    <row r="489" spans="2:14" x14ac:dyDescent="0.25">
      <c r="B489" s="49"/>
      <c r="C489" s="57"/>
      <c r="D489" s="309" t="s">
        <v>931</v>
      </c>
      <c r="E489" s="64"/>
      <c r="F489" s="105">
        <v>12</v>
      </c>
      <c r="G489" s="549">
        <v>3.1</v>
      </c>
      <c r="H489" s="550"/>
      <c r="I489" s="551"/>
      <c r="J489" s="99"/>
      <c r="K489" s="82">
        <f t="shared" si="26"/>
        <v>37.200000000000003</v>
      </c>
      <c r="L489" s="82"/>
      <c r="M489" s="82"/>
      <c r="N489" s="86"/>
    </row>
    <row r="490" spans="2:14" x14ac:dyDescent="0.25">
      <c r="B490" s="49"/>
      <c r="C490" s="57"/>
      <c r="D490" s="309" t="s">
        <v>944</v>
      </c>
      <c r="E490" s="64"/>
      <c r="F490" s="105">
        <v>1</v>
      </c>
      <c r="G490" s="549">
        <v>1.8</v>
      </c>
      <c r="H490" s="550"/>
      <c r="I490" s="551"/>
      <c r="J490" s="99"/>
      <c r="K490" s="82">
        <f t="shared" si="26"/>
        <v>1.8</v>
      </c>
      <c r="L490" s="82"/>
      <c r="M490" s="82"/>
      <c r="N490" s="86"/>
    </row>
    <row r="491" spans="2:14" x14ac:dyDescent="0.25">
      <c r="B491" s="49"/>
      <c r="C491" s="57"/>
      <c r="D491" s="309" t="s">
        <v>945</v>
      </c>
      <c r="E491" s="64"/>
      <c r="F491" s="105">
        <v>2</v>
      </c>
      <c r="G491" s="549">
        <v>2.2999999999999998</v>
      </c>
      <c r="H491" s="550"/>
      <c r="I491" s="551"/>
      <c r="J491" s="99"/>
      <c r="K491" s="82">
        <f t="shared" si="26"/>
        <v>4.5999999999999996</v>
      </c>
      <c r="L491" s="82"/>
      <c r="M491" s="82"/>
      <c r="N491" s="86"/>
    </row>
    <row r="492" spans="2:14" x14ac:dyDescent="0.25">
      <c r="B492" s="49"/>
      <c r="C492" s="57"/>
      <c r="D492" s="309" t="s">
        <v>946</v>
      </c>
      <c r="E492" s="64"/>
      <c r="F492" s="105">
        <v>2</v>
      </c>
      <c r="G492" s="549">
        <v>2.8</v>
      </c>
      <c r="H492" s="550"/>
      <c r="I492" s="551"/>
      <c r="J492" s="99"/>
      <c r="K492" s="82">
        <f t="shared" si="26"/>
        <v>5.6</v>
      </c>
      <c r="L492" s="82"/>
      <c r="M492" s="82"/>
      <c r="N492" s="86"/>
    </row>
    <row r="493" spans="2:14" ht="37.9" customHeight="1" x14ac:dyDescent="0.25">
      <c r="B493" s="49" t="s">
        <v>144</v>
      </c>
      <c r="C493" s="57">
        <v>93197</v>
      </c>
      <c r="D493" s="52" t="s">
        <v>146</v>
      </c>
      <c r="E493" s="64" t="s">
        <v>37</v>
      </c>
      <c r="F493" s="105"/>
      <c r="G493" s="104"/>
      <c r="H493" s="64"/>
      <c r="I493" s="105"/>
      <c r="J493" s="99">
        <f>'BOLETIM DE MEDIÇÃO 05'!O59-'MEMORIAL DE CALCULO 05'!K493</f>
        <v>11.599999999999994</v>
      </c>
      <c r="K493" s="82">
        <f>SUM(K494:K499)</f>
        <v>60.600000000000009</v>
      </c>
      <c r="L493" s="82">
        <f t="shared" si="0"/>
        <v>72.2</v>
      </c>
      <c r="M493" s="82">
        <f>'BOLETIM DE MEDIÇÃO 05'!G59</f>
        <v>72.2</v>
      </c>
      <c r="N493" s="86">
        <f t="shared" si="1"/>
        <v>0</v>
      </c>
    </row>
    <row r="494" spans="2:14" ht="19.899999999999999" customHeight="1" x14ac:dyDescent="0.25">
      <c r="B494" s="49"/>
      <c r="C494" s="57"/>
      <c r="D494" s="309" t="s">
        <v>929</v>
      </c>
      <c r="E494" s="64"/>
      <c r="F494" s="105">
        <v>6</v>
      </c>
      <c r="G494" s="549">
        <v>1.6</v>
      </c>
      <c r="H494" s="550"/>
      <c r="I494" s="551"/>
      <c r="J494" s="99"/>
      <c r="K494" s="82">
        <f>F494*G494</f>
        <v>9.6000000000000014</v>
      </c>
      <c r="L494" s="82"/>
      <c r="M494" s="82"/>
      <c r="N494" s="86"/>
    </row>
    <row r="495" spans="2:14" ht="19.899999999999999" customHeight="1" x14ac:dyDescent="0.25">
      <c r="B495" s="49"/>
      <c r="C495" s="57"/>
      <c r="D495" s="309" t="s">
        <v>943</v>
      </c>
      <c r="E495" s="64"/>
      <c r="F495" s="105">
        <v>1</v>
      </c>
      <c r="G495" s="549">
        <v>1.8</v>
      </c>
      <c r="H495" s="550"/>
      <c r="I495" s="551"/>
      <c r="J495" s="99"/>
      <c r="K495" s="82">
        <f t="shared" ref="K495:K499" si="27">F495*G495</f>
        <v>1.8</v>
      </c>
      <c r="L495" s="82"/>
      <c r="M495" s="82"/>
      <c r="N495" s="86"/>
    </row>
    <row r="496" spans="2:14" ht="19.899999999999999" customHeight="1" x14ac:dyDescent="0.25">
      <c r="B496" s="49"/>
      <c r="C496" s="57"/>
      <c r="D496" s="309" t="s">
        <v>931</v>
      </c>
      <c r="E496" s="64"/>
      <c r="F496" s="105">
        <v>12</v>
      </c>
      <c r="G496" s="549">
        <v>3.1</v>
      </c>
      <c r="H496" s="550"/>
      <c r="I496" s="551"/>
      <c r="J496" s="99"/>
      <c r="K496" s="82">
        <f t="shared" si="27"/>
        <v>37.200000000000003</v>
      </c>
      <c r="L496" s="82"/>
      <c r="M496" s="82"/>
      <c r="N496" s="86"/>
    </row>
    <row r="497" spans="2:14" ht="19.899999999999999" customHeight="1" x14ac:dyDescent="0.25">
      <c r="B497" s="49"/>
      <c r="C497" s="57"/>
      <c r="D497" s="309" t="s">
        <v>944</v>
      </c>
      <c r="E497" s="64"/>
      <c r="F497" s="105">
        <v>1</v>
      </c>
      <c r="G497" s="549">
        <v>1.8</v>
      </c>
      <c r="H497" s="550"/>
      <c r="I497" s="551"/>
      <c r="J497" s="99"/>
      <c r="K497" s="82">
        <f t="shared" si="27"/>
        <v>1.8</v>
      </c>
      <c r="L497" s="82"/>
      <c r="M497" s="82"/>
      <c r="N497" s="86"/>
    </row>
    <row r="498" spans="2:14" ht="19.899999999999999" customHeight="1" x14ac:dyDescent="0.25">
      <c r="B498" s="49"/>
      <c r="C498" s="57"/>
      <c r="D498" s="309" t="s">
        <v>945</v>
      </c>
      <c r="E498" s="64"/>
      <c r="F498" s="105">
        <v>2</v>
      </c>
      <c r="G498" s="549">
        <v>2.2999999999999998</v>
      </c>
      <c r="H498" s="550"/>
      <c r="I498" s="551"/>
      <c r="J498" s="99"/>
      <c r="K498" s="82">
        <f t="shared" si="27"/>
        <v>4.5999999999999996</v>
      </c>
      <c r="L498" s="82"/>
      <c r="M498" s="82"/>
      <c r="N498" s="86"/>
    </row>
    <row r="499" spans="2:14" ht="19.899999999999999" customHeight="1" x14ac:dyDescent="0.25">
      <c r="B499" s="49"/>
      <c r="C499" s="57"/>
      <c r="D499" s="309" t="s">
        <v>946</v>
      </c>
      <c r="E499" s="64"/>
      <c r="F499" s="105">
        <v>2</v>
      </c>
      <c r="G499" s="549">
        <v>2.8</v>
      </c>
      <c r="H499" s="550"/>
      <c r="I499" s="551"/>
      <c r="J499" s="99"/>
      <c r="K499" s="82">
        <f t="shared" si="27"/>
        <v>5.6</v>
      </c>
      <c r="L499" s="82"/>
      <c r="M499" s="82"/>
      <c r="N499" s="86"/>
    </row>
    <row r="500" spans="2:14" ht="14.45" customHeight="1" x14ac:dyDescent="0.25">
      <c r="B500" s="56">
        <v>1.6</v>
      </c>
      <c r="C500" s="60" t="s">
        <v>148</v>
      </c>
      <c r="D500" s="52"/>
      <c r="E500" s="64"/>
      <c r="F500" s="105"/>
      <c r="G500" s="99"/>
      <c r="H500" s="64"/>
      <c r="I500" s="105"/>
      <c r="J500" s="99"/>
      <c r="K500" s="82">
        <f t="shared" si="17"/>
        <v>0</v>
      </c>
      <c r="L500" s="82"/>
      <c r="M500" s="82"/>
      <c r="N500" s="86"/>
    </row>
    <row r="501" spans="2:14" ht="45" x14ac:dyDescent="0.25">
      <c r="B501" s="49" t="s">
        <v>149</v>
      </c>
      <c r="C501" s="57">
        <v>87893</v>
      </c>
      <c r="D501" s="52" t="s">
        <v>151</v>
      </c>
      <c r="E501" s="64" t="s">
        <v>17</v>
      </c>
      <c r="F501" s="105">
        <v>2</v>
      </c>
      <c r="G501" s="506">
        <f>K413+J413</f>
        <v>846.84500000000003</v>
      </c>
      <c r="H501" s="507"/>
      <c r="I501" s="508"/>
      <c r="J501" s="99">
        <f>'BOLETIM DE MEDIÇÃO 05'!O61-'MEMORIAL DE CALCULO 05'!K501</f>
        <v>0</v>
      </c>
      <c r="K501" s="82">
        <v>1348.98</v>
      </c>
      <c r="L501" s="82">
        <f t="shared" si="0"/>
        <v>1348.98</v>
      </c>
      <c r="M501" s="82">
        <f>'BOLETIM DE MEDIÇÃO 05'!G61</f>
        <v>1348.98</v>
      </c>
      <c r="N501" s="86">
        <f t="shared" si="1"/>
        <v>0</v>
      </c>
    </row>
    <row r="502" spans="2:14" x14ac:dyDescent="0.25">
      <c r="B502" s="49"/>
      <c r="C502" s="57"/>
      <c r="D502" s="294" t="s">
        <v>952</v>
      </c>
      <c r="E502" s="64"/>
      <c r="F502" s="105"/>
      <c r="G502" s="99"/>
      <c r="H502" s="64"/>
      <c r="I502" s="105"/>
      <c r="J502" s="99"/>
      <c r="K502" s="82">
        <f>F501*G501</f>
        <v>1693.69</v>
      </c>
      <c r="L502" s="82"/>
      <c r="M502" s="82"/>
      <c r="N502" s="86"/>
    </row>
    <row r="503" spans="2:14" ht="56.25" hidden="1" x14ac:dyDescent="0.25">
      <c r="B503" s="49" t="s">
        <v>152</v>
      </c>
      <c r="C503" s="57">
        <v>87548</v>
      </c>
      <c r="D503" s="52" t="s">
        <v>154</v>
      </c>
      <c r="E503" s="64" t="s">
        <v>17</v>
      </c>
      <c r="F503" s="105"/>
      <c r="G503" s="99"/>
      <c r="H503" s="64"/>
      <c r="I503" s="105"/>
      <c r="J503" s="99">
        <f>'BOLETIM DE MEDIÇÃO 05'!O62-'MEMORIAL DE CALCULO 05'!K503</f>
        <v>0</v>
      </c>
      <c r="K503" s="82">
        <f t="shared" si="17"/>
        <v>0</v>
      </c>
      <c r="L503" s="82">
        <f t="shared" si="0"/>
        <v>0</v>
      </c>
      <c r="M503" s="82">
        <f>'BOLETIM DE MEDIÇÃO 05'!G62</f>
        <v>997.11</v>
      </c>
      <c r="N503" s="86">
        <f t="shared" si="1"/>
        <v>997.11</v>
      </c>
    </row>
    <row r="504" spans="2:14" ht="56.25" hidden="1" x14ac:dyDescent="0.25">
      <c r="B504" s="49" t="s">
        <v>155</v>
      </c>
      <c r="C504" s="57">
        <v>87536</v>
      </c>
      <c r="D504" s="52" t="s">
        <v>157</v>
      </c>
      <c r="E504" s="64" t="s">
        <v>17</v>
      </c>
      <c r="F504" s="105"/>
      <c r="G504" s="99"/>
      <c r="H504" s="64"/>
      <c r="I504" s="105"/>
      <c r="J504" s="99">
        <f>'BOLETIM DE MEDIÇÃO 05'!O63-'MEMORIAL DE CALCULO 05'!K504</f>
        <v>0</v>
      </c>
      <c r="K504" s="82">
        <f t="shared" si="17"/>
        <v>0</v>
      </c>
      <c r="L504" s="82">
        <f t="shared" si="0"/>
        <v>0</v>
      </c>
      <c r="M504" s="82">
        <f>'BOLETIM DE MEDIÇÃO 05'!G63</f>
        <v>351.87</v>
      </c>
      <c r="N504" s="86">
        <f t="shared" si="1"/>
        <v>351.87</v>
      </c>
    </row>
    <row r="505" spans="2:14" ht="45" hidden="1" x14ac:dyDescent="0.25">
      <c r="B505" s="49" t="s">
        <v>158</v>
      </c>
      <c r="C505" s="57">
        <v>87275</v>
      </c>
      <c r="D505" s="52" t="s">
        <v>160</v>
      </c>
      <c r="E505" s="64" t="s">
        <v>17</v>
      </c>
      <c r="F505" s="105"/>
      <c r="G505" s="99"/>
      <c r="H505" s="64"/>
      <c r="I505" s="105"/>
      <c r="J505" s="99">
        <f>'BOLETIM DE MEDIÇÃO 05'!O64-'MEMORIAL DE CALCULO 05'!K505</f>
        <v>0</v>
      </c>
      <c r="K505" s="82">
        <f t="shared" si="17"/>
        <v>0</v>
      </c>
      <c r="L505" s="82">
        <f t="shared" si="0"/>
        <v>0</v>
      </c>
      <c r="M505" s="82">
        <f>'BOLETIM DE MEDIÇÃO 05'!G64</f>
        <v>351.87</v>
      </c>
      <c r="N505" s="86">
        <f t="shared" si="1"/>
        <v>351.87</v>
      </c>
    </row>
    <row r="506" spans="2:14" hidden="1" x14ac:dyDescent="0.25">
      <c r="B506" s="56">
        <v>1.7</v>
      </c>
      <c r="C506" s="60" t="s">
        <v>162</v>
      </c>
      <c r="D506" s="52"/>
      <c r="E506" s="64"/>
      <c r="F506" s="105"/>
      <c r="G506" s="99"/>
      <c r="H506" s="64"/>
      <c r="I506" s="105"/>
      <c r="J506" s="99"/>
      <c r="K506" s="82">
        <f t="shared" si="17"/>
        <v>0</v>
      </c>
      <c r="L506" s="82"/>
      <c r="M506" s="82"/>
      <c r="N506" s="86"/>
    </row>
    <row r="507" spans="2:14" ht="67.5" hidden="1" x14ac:dyDescent="0.25">
      <c r="B507" s="49" t="s">
        <v>163</v>
      </c>
      <c r="C507" s="63">
        <v>91315</v>
      </c>
      <c r="D507" s="61" t="s">
        <v>165</v>
      </c>
      <c r="E507" s="64" t="s">
        <v>166</v>
      </c>
      <c r="F507" s="105"/>
      <c r="G507" s="99"/>
      <c r="H507" s="43"/>
      <c r="I507" s="105"/>
      <c r="J507" s="99">
        <f>'BOLETIM DE MEDIÇÃO 05'!O66-'MEMORIAL DE CALCULO 05'!K507</f>
        <v>0</v>
      </c>
      <c r="K507" s="82">
        <f t="shared" si="17"/>
        <v>0</v>
      </c>
      <c r="L507" s="82">
        <f t="shared" si="0"/>
        <v>0</v>
      </c>
      <c r="M507" s="82">
        <f>'BOLETIM DE MEDIÇÃO 05'!G66</f>
        <v>18</v>
      </c>
      <c r="N507" s="86">
        <f t="shared" si="1"/>
        <v>18</v>
      </c>
    </row>
    <row r="508" spans="2:14" ht="56.25" hidden="1" x14ac:dyDescent="0.25">
      <c r="B508" s="49" t="s">
        <v>167</v>
      </c>
      <c r="C508" s="57">
        <v>94570</v>
      </c>
      <c r="D508" s="52" t="s">
        <v>169</v>
      </c>
      <c r="E508" s="64" t="s">
        <v>17</v>
      </c>
      <c r="F508" s="105"/>
      <c r="G508" s="99"/>
      <c r="H508" s="64"/>
      <c r="I508" s="105"/>
      <c r="J508" s="99">
        <f>'BOLETIM DE MEDIÇÃO 05'!O67-'MEMORIAL DE CALCULO 05'!K508</f>
        <v>0</v>
      </c>
      <c r="K508" s="82">
        <f t="shared" si="17"/>
        <v>0</v>
      </c>
      <c r="L508" s="82">
        <f t="shared" si="0"/>
        <v>0</v>
      </c>
      <c r="M508" s="82">
        <f>'BOLETIM DE MEDIÇÃO 05'!G67</f>
        <v>49.7</v>
      </c>
      <c r="N508" s="86">
        <f t="shared" si="1"/>
        <v>49.7</v>
      </c>
    </row>
    <row r="509" spans="2:14" ht="56.25" hidden="1" x14ac:dyDescent="0.25">
      <c r="B509" s="49" t="s">
        <v>170</v>
      </c>
      <c r="C509" s="57">
        <v>100689</v>
      </c>
      <c r="D509" s="52" t="s">
        <v>172</v>
      </c>
      <c r="E509" s="64" t="s">
        <v>166</v>
      </c>
      <c r="F509" s="105"/>
      <c r="G509" s="99"/>
      <c r="H509" s="64"/>
      <c r="I509" s="105"/>
      <c r="J509" s="99">
        <f>'BOLETIM DE MEDIÇÃO 05'!O68-'MEMORIAL DE CALCULO 05'!K509</f>
        <v>0</v>
      </c>
      <c r="K509" s="82">
        <f t="shared" si="17"/>
        <v>0</v>
      </c>
      <c r="L509" s="82">
        <f t="shared" si="0"/>
        <v>0</v>
      </c>
      <c r="M509" s="82">
        <f>'BOLETIM DE MEDIÇÃO 05'!G68</f>
        <v>5</v>
      </c>
      <c r="N509" s="86">
        <f t="shared" si="1"/>
        <v>5</v>
      </c>
    </row>
    <row r="510" spans="2:14" ht="33.75" hidden="1" x14ac:dyDescent="0.25">
      <c r="B510" s="49" t="s">
        <v>173</v>
      </c>
      <c r="C510" s="58" t="s">
        <v>174</v>
      </c>
      <c r="D510" s="52" t="s">
        <v>175</v>
      </c>
      <c r="E510" s="64" t="s">
        <v>5</v>
      </c>
      <c r="F510" s="105"/>
      <c r="G510" s="99"/>
      <c r="H510" s="64"/>
      <c r="I510" s="105"/>
      <c r="J510" s="99">
        <f>'BOLETIM DE MEDIÇÃO 05'!O69-'MEMORIAL DE CALCULO 05'!K510</f>
        <v>0</v>
      </c>
      <c r="K510" s="82">
        <f t="shared" si="17"/>
        <v>0</v>
      </c>
      <c r="L510" s="82">
        <f t="shared" si="0"/>
        <v>0</v>
      </c>
      <c r="M510" s="82">
        <f>'BOLETIM DE MEDIÇÃO 05'!G69</f>
        <v>1</v>
      </c>
      <c r="N510" s="86">
        <f t="shared" si="1"/>
        <v>1</v>
      </c>
    </row>
    <row r="511" spans="2:14" ht="33.75" hidden="1" x14ac:dyDescent="0.25">
      <c r="B511" s="49" t="s">
        <v>176</v>
      </c>
      <c r="C511" s="58" t="s">
        <v>177</v>
      </c>
      <c r="D511" s="52" t="s">
        <v>178</v>
      </c>
      <c r="E511" s="64" t="s">
        <v>5</v>
      </c>
      <c r="F511" s="105"/>
      <c r="G511" s="99"/>
      <c r="H511" s="64"/>
      <c r="I511" s="105"/>
      <c r="J511" s="99">
        <f>'BOLETIM DE MEDIÇÃO 05'!O70-'MEMORIAL DE CALCULO 05'!K511</f>
        <v>0</v>
      </c>
      <c r="K511" s="82">
        <f t="shared" si="17"/>
        <v>0</v>
      </c>
      <c r="L511" s="82">
        <f t="shared" si="0"/>
        <v>0</v>
      </c>
      <c r="M511" s="82">
        <f>'BOLETIM DE MEDIÇÃO 05'!G70</f>
        <v>3</v>
      </c>
      <c r="N511" s="86">
        <f t="shared" si="1"/>
        <v>3</v>
      </c>
    </row>
    <row r="512" spans="2:14" ht="33.75" hidden="1" x14ac:dyDescent="0.25">
      <c r="B512" s="49" t="s">
        <v>179</v>
      </c>
      <c r="C512" s="57">
        <v>91341</v>
      </c>
      <c r="D512" s="52" t="s">
        <v>181</v>
      </c>
      <c r="E512" s="64" t="s">
        <v>17</v>
      </c>
      <c r="F512" s="105"/>
      <c r="G512" s="99"/>
      <c r="H512" s="64"/>
      <c r="I512" s="105"/>
      <c r="J512" s="99">
        <f>'BOLETIM DE MEDIÇÃO 05'!O71-'MEMORIAL DE CALCULO 05'!K512</f>
        <v>0</v>
      </c>
      <c r="K512" s="82">
        <f t="shared" si="17"/>
        <v>0</v>
      </c>
      <c r="L512" s="82">
        <f t="shared" si="0"/>
        <v>0</v>
      </c>
      <c r="M512" s="82">
        <f>'BOLETIM DE MEDIÇÃO 05'!G71</f>
        <v>12.96</v>
      </c>
      <c r="N512" s="86">
        <f t="shared" si="1"/>
        <v>12.96</v>
      </c>
    </row>
    <row r="513" spans="2:14" ht="33.75" hidden="1" x14ac:dyDescent="0.25">
      <c r="B513" s="49" t="s">
        <v>182</v>
      </c>
      <c r="C513" s="57">
        <v>100702</v>
      </c>
      <c r="D513" s="52" t="s">
        <v>184</v>
      </c>
      <c r="E513" s="64" t="s">
        <v>17</v>
      </c>
      <c r="F513" s="105"/>
      <c r="G513" s="99"/>
      <c r="H513" s="64"/>
      <c r="I513" s="105"/>
      <c r="J513" s="99">
        <f>'BOLETIM DE MEDIÇÃO 05'!O72-'MEMORIAL DE CALCULO 05'!K513</f>
        <v>0</v>
      </c>
      <c r="K513" s="82">
        <f t="shared" si="17"/>
        <v>0</v>
      </c>
      <c r="L513" s="82">
        <f t="shared" si="0"/>
        <v>0</v>
      </c>
      <c r="M513" s="82">
        <f>'BOLETIM DE MEDIÇÃO 05'!G72</f>
        <v>19.96</v>
      </c>
      <c r="N513" s="86">
        <f t="shared" si="1"/>
        <v>19.96</v>
      </c>
    </row>
    <row r="514" spans="2:14" ht="45" hidden="1" x14ac:dyDescent="0.25">
      <c r="B514" s="49" t="s">
        <v>185</v>
      </c>
      <c r="C514" s="57">
        <v>90831</v>
      </c>
      <c r="D514" s="52" t="s">
        <v>187</v>
      </c>
      <c r="E514" s="64" t="s">
        <v>166</v>
      </c>
      <c r="F514" s="105"/>
      <c r="G514" s="99"/>
      <c r="H514" s="64"/>
      <c r="I514" s="105"/>
      <c r="J514" s="99">
        <f>'BOLETIM DE MEDIÇÃO 05'!O73-'MEMORIAL DE CALCULO 05'!K514</f>
        <v>0</v>
      </c>
      <c r="K514" s="82">
        <f t="shared" ref="K514:K577" si="28">(F514*G514*I514)</f>
        <v>0</v>
      </c>
      <c r="L514" s="82">
        <f t="shared" si="0"/>
        <v>0</v>
      </c>
      <c r="M514" s="82">
        <f>'BOLETIM DE MEDIÇÃO 05'!G73</f>
        <v>8</v>
      </c>
      <c r="N514" s="86">
        <f t="shared" si="1"/>
        <v>8</v>
      </c>
    </row>
    <row r="515" spans="2:14" hidden="1" x14ac:dyDescent="0.25">
      <c r="B515" s="56">
        <v>1.8</v>
      </c>
      <c r="C515" s="60" t="s">
        <v>189</v>
      </c>
      <c r="D515" s="52"/>
      <c r="E515" s="43"/>
      <c r="F515" s="105"/>
      <c r="G515" s="99"/>
      <c r="H515" s="64"/>
      <c r="I515" s="105"/>
      <c r="J515" s="99"/>
      <c r="K515" s="82">
        <f t="shared" si="28"/>
        <v>0</v>
      </c>
      <c r="L515" s="82"/>
      <c r="M515" s="82"/>
      <c r="N515" s="86"/>
    </row>
    <row r="516" spans="2:14" ht="22.5" hidden="1" x14ac:dyDescent="0.25">
      <c r="B516" s="49" t="s">
        <v>190</v>
      </c>
      <c r="C516" s="57">
        <v>88485</v>
      </c>
      <c r="D516" s="52" t="s">
        <v>192</v>
      </c>
      <c r="E516" s="43" t="s">
        <v>17</v>
      </c>
      <c r="F516" s="105"/>
      <c r="G516" s="99"/>
      <c r="H516" s="64"/>
      <c r="I516" s="105"/>
      <c r="J516" s="99">
        <f>'BOLETIM DE MEDIÇÃO 05'!O75-'MEMORIAL DE CALCULO 05'!K516</f>
        <v>0</v>
      </c>
      <c r="K516" s="82">
        <f t="shared" si="28"/>
        <v>0</v>
      </c>
      <c r="L516" s="82">
        <f t="shared" si="0"/>
        <v>0</v>
      </c>
      <c r="M516" s="82">
        <f>'BOLETIM DE MEDIÇÃO 05'!G75</f>
        <v>997.11</v>
      </c>
      <c r="N516" s="86">
        <f t="shared" si="1"/>
        <v>997.11</v>
      </c>
    </row>
    <row r="517" spans="2:14" ht="22.5" hidden="1" x14ac:dyDescent="0.25">
      <c r="B517" s="49" t="s">
        <v>193</v>
      </c>
      <c r="C517" s="57">
        <v>88495</v>
      </c>
      <c r="D517" s="52" t="s">
        <v>195</v>
      </c>
      <c r="E517" s="43" t="s">
        <v>17</v>
      </c>
      <c r="F517" s="105"/>
      <c r="G517" s="99"/>
      <c r="H517" s="64"/>
      <c r="I517" s="105"/>
      <c r="J517" s="99">
        <f>'BOLETIM DE MEDIÇÃO 05'!O76-'MEMORIAL DE CALCULO 05'!K517</f>
        <v>0</v>
      </c>
      <c r="K517" s="82">
        <f t="shared" si="28"/>
        <v>0</v>
      </c>
      <c r="L517" s="82">
        <f t="shared" si="0"/>
        <v>0</v>
      </c>
      <c r="M517" s="82">
        <f>'BOLETIM DE MEDIÇÃO 05'!G76</f>
        <v>997.11</v>
      </c>
      <c r="N517" s="86">
        <f t="shared" si="1"/>
        <v>997.11</v>
      </c>
    </row>
    <row r="518" spans="2:14" ht="22.5" hidden="1" x14ac:dyDescent="0.25">
      <c r="B518" s="49" t="s">
        <v>196</v>
      </c>
      <c r="C518" s="57">
        <v>88489</v>
      </c>
      <c r="D518" s="52" t="s">
        <v>198</v>
      </c>
      <c r="E518" s="43" t="s">
        <v>17</v>
      </c>
      <c r="F518" s="105"/>
      <c r="G518" s="99"/>
      <c r="H518" s="64"/>
      <c r="I518" s="105"/>
      <c r="J518" s="99">
        <f>'BOLETIM DE MEDIÇÃO 05'!O77-'MEMORIAL DE CALCULO 05'!K518</f>
        <v>0</v>
      </c>
      <c r="K518" s="82">
        <f t="shared" si="28"/>
        <v>0</v>
      </c>
      <c r="L518" s="82">
        <f t="shared" si="0"/>
        <v>0</v>
      </c>
      <c r="M518" s="82">
        <f>'BOLETIM DE MEDIÇÃO 05'!G77</f>
        <v>997.11</v>
      </c>
      <c r="N518" s="86">
        <f t="shared" si="1"/>
        <v>997.11</v>
      </c>
    </row>
    <row r="519" spans="2:14" ht="22.5" hidden="1" x14ac:dyDescent="0.25">
      <c r="B519" s="49" t="s">
        <v>199</v>
      </c>
      <c r="C519" s="57">
        <v>88484</v>
      </c>
      <c r="D519" s="52" t="s">
        <v>201</v>
      </c>
      <c r="E519" s="43" t="s">
        <v>17</v>
      </c>
      <c r="F519" s="105"/>
      <c r="G519" s="99"/>
      <c r="H519" s="64"/>
      <c r="I519" s="105"/>
      <c r="J519" s="99">
        <f>'BOLETIM DE MEDIÇÃO 05'!O78-'MEMORIAL DE CALCULO 05'!K519</f>
        <v>0</v>
      </c>
      <c r="K519" s="82">
        <f t="shared" si="28"/>
        <v>0</v>
      </c>
      <c r="L519" s="82">
        <f t="shared" si="0"/>
        <v>0</v>
      </c>
      <c r="M519" s="82">
        <f>'BOLETIM DE MEDIÇÃO 05'!G78</f>
        <v>634.5</v>
      </c>
      <c r="N519" s="86">
        <f t="shared" si="1"/>
        <v>634.5</v>
      </c>
    </row>
    <row r="520" spans="2:14" ht="22.5" hidden="1" x14ac:dyDescent="0.25">
      <c r="B520" s="49" t="s">
        <v>202</v>
      </c>
      <c r="C520" s="57">
        <v>88494</v>
      </c>
      <c r="D520" s="52" t="s">
        <v>204</v>
      </c>
      <c r="E520" s="43" t="s">
        <v>17</v>
      </c>
      <c r="F520" s="105"/>
      <c r="G520" s="99"/>
      <c r="H520" s="64"/>
      <c r="I520" s="105"/>
      <c r="J520" s="99">
        <f>'BOLETIM DE MEDIÇÃO 05'!O79-'MEMORIAL DE CALCULO 05'!K520</f>
        <v>0</v>
      </c>
      <c r="K520" s="82">
        <f t="shared" si="28"/>
        <v>0</v>
      </c>
      <c r="L520" s="82">
        <f t="shared" ref="L520:L583" si="29">J520+K520</f>
        <v>0</v>
      </c>
      <c r="M520" s="82">
        <f>'BOLETIM DE MEDIÇÃO 05'!G79</f>
        <v>634.5</v>
      </c>
      <c r="N520" s="86">
        <f t="shared" ref="N520:N583" si="30">M520-L520</f>
        <v>634.5</v>
      </c>
    </row>
    <row r="521" spans="2:14" ht="22.5" hidden="1" x14ac:dyDescent="0.25">
      <c r="B521" s="49" t="s">
        <v>205</v>
      </c>
      <c r="C521" s="57">
        <v>88488</v>
      </c>
      <c r="D521" s="52" t="s">
        <v>207</v>
      </c>
      <c r="E521" s="43" t="s">
        <v>17</v>
      </c>
      <c r="F521" s="105"/>
      <c r="G521" s="99"/>
      <c r="H521" s="64"/>
      <c r="I521" s="105"/>
      <c r="J521" s="99">
        <f>'BOLETIM DE MEDIÇÃO 05'!O80-'MEMORIAL DE CALCULO 05'!K521</f>
        <v>0</v>
      </c>
      <c r="K521" s="82">
        <f t="shared" si="28"/>
        <v>0</v>
      </c>
      <c r="L521" s="82">
        <f t="shared" si="29"/>
        <v>0</v>
      </c>
      <c r="M521" s="82">
        <f>'BOLETIM DE MEDIÇÃO 05'!G80</f>
        <v>634.5</v>
      </c>
      <c r="N521" s="86">
        <f t="shared" si="30"/>
        <v>634.5</v>
      </c>
    </row>
    <row r="522" spans="2:14" ht="14.45" hidden="1" customHeight="1" x14ac:dyDescent="0.25">
      <c r="B522" s="51" t="s">
        <v>208</v>
      </c>
      <c r="C522" s="65" t="s">
        <v>209</v>
      </c>
      <c r="D522" s="53"/>
      <c r="E522" s="44"/>
      <c r="F522" s="130"/>
      <c r="G522" s="121"/>
      <c r="H522" s="70"/>
      <c r="I522" s="105"/>
      <c r="J522" s="99"/>
      <c r="K522" s="82">
        <f t="shared" si="28"/>
        <v>0</v>
      </c>
      <c r="L522" s="82"/>
      <c r="M522" s="82"/>
      <c r="N522" s="86"/>
    </row>
    <row r="523" spans="2:14" ht="45" hidden="1" x14ac:dyDescent="0.25">
      <c r="B523" s="49" t="s">
        <v>210</v>
      </c>
      <c r="C523" s="57">
        <v>87894</v>
      </c>
      <c r="D523" s="52" t="s">
        <v>212</v>
      </c>
      <c r="E523" s="43" t="s">
        <v>17</v>
      </c>
      <c r="F523" s="105"/>
      <c r="G523" s="99"/>
      <c r="H523" s="64"/>
      <c r="I523" s="105"/>
      <c r="J523" s="99">
        <f>'BOLETIM DE MEDIÇÃO 05'!O82-'MEMORIAL DE CALCULO 05'!K523</f>
        <v>0</v>
      </c>
      <c r="K523" s="82">
        <f t="shared" si="28"/>
        <v>0</v>
      </c>
      <c r="L523" s="82">
        <f t="shared" si="29"/>
        <v>0</v>
      </c>
      <c r="M523" s="82">
        <f>'BOLETIM DE MEDIÇÃO 05'!G82</f>
        <v>466.37</v>
      </c>
      <c r="N523" s="86">
        <f t="shared" si="30"/>
        <v>466.37</v>
      </c>
    </row>
    <row r="524" spans="2:14" ht="56.25" hidden="1" x14ac:dyDescent="0.25">
      <c r="B524" s="49" t="s">
        <v>213</v>
      </c>
      <c r="C524" s="57">
        <v>104233</v>
      </c>
      <c r="D524" s="52" t="s">
        <v>215</v>
      </c>
      <c r="E524" s="43" t="s">
        <v>17</v>
      </c>
      <c r="F524" s="105"/>
      <c r="G524" s="99"/>
      <c r="H524" s="64"/>
      <c r="I524" s="105"/>
      <c r="J524" s="99">
        <f>'BOLETIM DE MEDIÇÃO 05'!O83-'MEMORIAL DE CALCULO 05'!K524</f>
        <v>0</v>
      </c>
      <c r="K524" s="82">
        <f t="shared" si="28"/>
        <v>0</v>
      </c>
      <c r="L524" s="82">
        <f t="shared" si="29"/>
        <v>0</v>
      </c>
      <c r="M524" s="82">
        <f>'BOLETIM DE MEDIÇÃO 05'!G83</f>
        <v>466.37</v>
      </c>
      <c r="N524" s="86">
        <f t="shared" si="30"/>
        <v>466.37</v>
      </c>
    </row>
    <row r="525" spans="2:14" ht="33.75" hidden="1" x14ac:dyDescent="0.25">
      <c r="B525" s="49" t="s">
        <v>216</v>
      </c>
      <c r="C525" s="62" t="s">
        <v>217</v>
      </c>
      <c r="D525" s="61" t="s">
        <v>218</v>
      </c>
      <c r="E525" s="43" t="s">
        <v>17</v>
      </c>
      <c r="F525" s="311"/>
      <c r="G525" s="99"/>
      <c r="H525" s="43"/>
      <c r="I525" s="105"/>
      <c r="J525" s="99">
        <f>'BOLETIM DE MEDIÇÃO 05'!O84-'MEMORIAL DE CALCULO 05'!K525</f>
        <v>0</v>
      </c>
      <c r="K525" s="82">
        <f t="shared" si="28"/>
        <v>0</v>
      </c>
      <c r="L525" s="82">
        <f t="shared" si="29"/>
        <v>0</v>
      </c>
      <c r="M525" s="82">
        <f>'BOLETIM DE MEDIÇÃO 05'!G84</f>
        <v>32.5</v>
      </c>
      <c r="N525" s="86">
        <f t="shared" si="30"/>
        <v>32.5</v>
      </c>
    </row>
    <row r="526" spans="2:14" ht="33.75" hidden="1" x14ac:dyDescent="0.25">
      <c r="B526" s="50" t="s">
        <v>219</v>
      </c>
      <c r="C526" s="59" t="s">
        <v>220</v>
      </c>
      <c r="D526" s="53" t="s">
        <v>221</v>
      </c>
      <c r="E526" s="44" t="s">
        <v>222</v>
      </c>
      <c r="F526" s="130"/>
      <c r="G526" s="121"/>
      <c r="H526" s="70"/>
      <c r="I526" s="105"/>
      <c r="J526" s="99">
        <f>'BOLETIM DE MEDIÇÃO 05'!O85-'MEMORIAL DE CALCULO 05'!K526</f>
        <v>0</v>
      </c>
      <c r="K526" s="82">
        <f t="shared" si="28"/>
        <v>0</v>
      </c>
      <c r="L526" s="82">
        <f t="shared" si="29"/>
        <v>0</v>
      </c>
      <c r="M526" s="82">
        <f>'BOLETIM DE MEDIÇÃO 05'!G85</f>
        <v>29.5</v>
      </c>
      <c r="N526" s="86">
        <f t="shared" si="30"/>
        <v>29.5</v>
      </c>
    </row>
    <row r="527" spans="2:14" ht="22.5" hidden="1" x14ac:dyDescent="0.25">
      <c r="B527" s="50" t="s">
        <v>223</v>
      </c>
      <c r="C527" s="66">
        <v>88485</v>
      </c>
      <c r="D527" s="53" t="s">
        <v>192</v>
      </c>
      <c r="E527" s="44" t="s">
        <v>17</v>
      </c>
      <c r="F527" s="130"/>
      <c r="G527" s="121"/>
      <c r="H527" s="70"/>
      <c r="I527" s="105"/>
      <c r="J527" s="99">
        <f>'BOLETIM DE MEDIÇÃO 05'!O86-'MEMORIAL DE CALCULO 05'!K527</f>
        <v>0</v>
      </c>
      <c r="K527" s="82">
        <f t="shared" si="28"/>
        <v>0</v>
      </c>
      <c r="L527" s="82">
        <f t="shared" si="29"/>
        <v>0</v>
      </c>
      <c r="M527" s="82">
        <f>'BOLETIM DE MEDIÇÃO 05'!G86</f>
        <v>404.37</v>
      </c>
      <c r="N527" s="86">
        <f t="shared" si="30"/>
        <v>404.37</v>
      </c>
    </row>
    <row r="528" spans="2:14" ht="22.5" hidden="1" x14ac:dyDescent="0.25">
      <c r="B528" s="50" t="s">
        <v>224</v>
      </c>
      <c r="C528" s="66">
        <v>96130</v>
      </c>
      <c r="D528" s="53" t="s">
        <v>226</v>
      </c>
      <c r="E528" s="44" t="s">
        <v>17</v>
      </c>
      <c r="F528" s="130"/>
      <c r="G528" s="121"/>
      <c r="H528" s="70"/>
      <c r="I528" s="105"/>
      <c r="J528" s="99">
        <f>'BOLETIM DE MEDIÇÃO 05'!O87-'MEMORIAL DE CALCULO 05'!K528</f>
        <v>0</v>
      </c>
      <c r="K528" s="82">
        <f t="shared" si="28"/>
        <v>0</v>
      </c>
      <c r="L528" s="82">
        <f t="shared" si="29"/>
        <v>0</v>
      </c>
      <c r="M528" s="82">
        <f>'BOLETIM DE MEDIÇÃO 05'!G87</f>
        <v>404.37</v>
      </c>
      <c r="N528" s="86">
        <f t="shared" si="30"/>
        <v>404.37</v>
      </c>
    </row>
    <row r="529" spans="2:14" ht="22.5" hidden="1" x14ac:dyDescent="0.25">
      <c r="B529" s="50" t="s">
        <v>227</v>
      </c>
      <c r="C529" s="66">
        <v>88489</v>
      </c>
      <c r="D529" s="53" t="s">
        <v>198</v>
      </c>
      <c r="E529" s="44" t="s">
        <v>17</v>
      </c>
      <c r="F529" s="130"/>
      <c r="G529" s="121"/>
      <c r="H529" s="70"/>
      <c r="I529" s="105"/>
      <c r="J529" s="99">
        <f>'BOLETIM DE MEDIÇÃO 05'!O88-'MEMORIAL DE CALCULO 05'!K529</f>
        <v>0</v>
      </c>
      <c r="K529" s="82">
        <f t="shared" si="28"/>
        <v>0</v>
      </c>
      <c r="L529" s="82">
        <f t="shared" si="29"/>
        <v>0</v>
      </c>
      <c r="M529" s="82">
        <f>'BOLETIM DE MEDIÇÃO 05'!G88</f>
        <v>404.37</v>
      </c>
      <c r="N529" s="86">
        <f t="shared" si="30"/>
        <v>404.37</v>
      </c>
    </row>
    <row r="530" spans="2:14" ht="14.45" hidden="1" customHeight="1" x14ac:dyDescent="0.25">
      <c r="B530" s="65">
        <v>1.1000000000000001</v>
      </c>
      <c r="C530" s="65" t="s">
        <v>229</v>
      </c>
      <c r="D530" s="53"/>
      <c r="E530" s="44"/>
      <c r="F530" s="130"/>
      <c r="G530" s="121"/>
      <c r="H530" s="70"/>
      <c r="I530" s="105"/>
      <c r="J530" s="99"/>
      <c r="K530" s="82">
        <f t="shared" si="28"/>
        <v>0</v>
      </c>
      <c r="L530" s="82"/>
      <c r="M530" s="82"/>
      <c r="N530" s="86"/>
    </row>
    <row r="531" spans="2:14" ht="33.75" hidden="1" x14ac:dyDescent="0.25">
      <c r="B531" s="50" t="s">
        <v>230</v>
      </c>
      <c r="C531" s="66">
        <v>92868</v>
      </c>
      <c r="D531" s="53" t="s">
        <v>232</v>
      </c>
      <c r="E531" s="69" t="s">
        <v>166</v>
      </c>
      <c r="F531" s="312"/>
      <c r="G531" s="121"/>
      <c r="H531" s="70"/>
      <c r="I531" s="105"/>
      <c r="J531" s="99">
        <f>'BOLETIM DE MEDIÇÃO 05'!O90-'MEMORIAL DE CALCULO 05'!K531</f>
        <v>0</v>
      </c>
      <c r="K531" s="82">
        <f t="shared" si="28"/>
        <v>0</v>
      </c>
      <c r="L531" s="82">
        <f t="shared" si="29"/>
        <v>0</v>
      </c>
      <c r="M531" s="82">
        <f>'BOLETIM DE MEDIÇÃO 05'!G90</f>
        <v>117</v>
      </c>
      <c r="N531" s="86">
        <f t="shared" si="30"/>
        <v>117</v>
      </c>
    </row>
    <row r="532" spans="2:14" ht="22.5" hidden="1" x14ac:dyDescent="0.25">
      <c r="B532" s="50" t="s">
        <v>233</v>
      </c>
      <c r="C532" s="66">
        <v>91937</v>
      </c>
      <c r="D532" s="53" t="s">
        <v>235</v>
      </c>
      <c r="E532" s="69" t="s">
        <v>166</v>
      </c>
      <c r="F532" s="312"/>
      <c r="G532" s="121"/>
      <c r="H532" s="70"/>
      <c r="I532" s="105"/>
      <c r="J532" s="99">
        <f>'BOLETIM DE MEDIÇÃO 05'!O91-'MEMORIAL DE CALCULO 05'!K532</f>
        <v>0</v>
      </c>
      <c r="K532" s="82">
        <f t="shared" si="28"/>
        <v>0</v>
      </c>
      <c r="L532" s="82">
        <f t="shared" si="29"/>
        <v>0</v>
      </c>
      <c r="M532" s="82">
        <f>'BOLETIM DE MEDIÇÃO 05'!G91</f>
        <v>76</v>
      </c>
      <c r="N532" s="86">
        <f t="shared" si="30"/>
        <v>76</v>
      </c>
    </row>
    <row r="533" spans="2:14" ht="33.75" hidden="1" x14ac:dyDescent="0.25">
      <c r="B533" s="50" t="s">
        <v>236</v>
      </c>
      <c r="C533" s="66">
        <v>91924</v>
      </c>
      <c r="D533" s="53" t="s">
        <v>238</v>
      </c>
      <c r="E533" s="69" t="s">
        <v>37</v>
      </c>
      <c r="F533" s="312"/>
      <c r="G533" s="121"/>
      <c r="H533" s="70"/>
      <c r="I533" s="105"/>
      <c r="J533" s="99">
        <f>'BOLETIM DE MEDIÇÃO 05'!O92-'MEMORIAL DE CALCULO 05'!K533</f>
        <v>0</v>
      </c>
      <c r="K533" s="82">
        <f t="shared" si="28"/>
        <v>0</v>
      </c>
      <c r="L533" s="82">
        <f t="shared" si="29"/>
        <v>0</v>
      </c>
      <c r="M533" s="82">
        <f>'BOLETIM DE MEDIÇÃO 05'!G92</f>
        <v>1253.8</v>
      </c>
      <c r="N533" s="86">
        <f t="shared" si="30"/>
        <v>1253.8</v>
      </c>
    </row>
    <row r="534" spans="2:14" ht="33.75" hidden="1" x14ac:dyDescent="0.25">
      <c r="B534" s="50" t="s">
        <v>239</v>
      </c>
      <c r="C534" s="66">
        <v>91926</v>
      </c>
      <c r="D534" s="53" t="s">
        <v>241</v>
      </c>
      <c r="E534" s="69" t="s">
        <v>37</v>
      </c>
      <c r="F534" s="312"/>
      <c r="G534" s="121"/>
      <c r="H534" s="70"/>
      <c r="I534" s="105"/>
      <c r="J534" s="99">
        <f>'BOLETIM DE MEDIÇÃO 05'!O93-'MEMORIAL DE CALCULO 05'!K534</f>
        <v>0</v>
      </c>
      <c r="K534" s="82">
        <f t="shared" si="28"/>
        <v>0</v>
      </c>
      <c r="L534" s="82">
        <f t="shared" si="29"/>
        <v>0</v>
      </c>
      <c r="M534" s="82">
        <f>'BOLETIM DE MEDIÇÃO 05'!G93</f>
        <v>1496.3</v>
      </c>
      <c r="N534" s="86">
        <f t="shared" si="30"/>
        <v>1496.3</v>
      </c>
    </row>
    <row r="535" spans="2:14" ht="33.75" hidden="1" x14ac:dyDescent="0.25">
      <c r="B535" s="50" t="s">
        <v>242</v>
      </c>
      <c r="C535" s="68">
        <v>91928</v>
      </c>
      <c r="D535" s="67" t="s">
        <v>244</v>
      </c>
      <c r="E535" s="69" t="s">
        <v>37</v>
      </c>
      <c r="F535" s="312"/>
      <c r="G535" s="121"/>
      <c r="H535" s="44"/>
      <c r="I535" s="105"/>
      <c r="J535" s="99">
        <f>'BOLETIM DE MEDIÇÃO 05'!O94-'MEMORIAL DE CALCULO 05'!K535</f>
        <v>0</v>
      </c>
      <c r="K535" s="82">
        <f t="shared" si="28"/>
        <v>0</v>
      </c>
      <c r="L535" s="82">
        <f t="shared" si="29"/>
        <v>0</v>
      </c>
      <c r="M535" s="82">
        <f>'BOLETIM DE MEDIÇÃO 05'!G94</f>
        <v>284.60000000000002</v>
      </c>
      <c r="N535" s="86">
        <f t="shared" si="30"/>
        <v>284.60000000000002</v>
      </c>
    </row>
    <row r="536" spans="2:14" ht="33.75" hidden="1" x14ac:dyDescent="0.25">
      <c r="B536" s="50" t="s">
        <v>245</v>
      </c>
      <c r="C536" s="66">
        <v>91931</v>
      </c>
      <c r="D536" s="53" t="s">
        <v>247</v>
      </c>
      <c r="E536" s="69" t="s">
        <v>37</v>
      </c>
      <c r="F536" s="312"/>
      <c r="G536" s="121"/>
      <c r="H536" s="70"/>
      <c r="I536" s="105"/>
      <c r="J536" s="99">
        <f>'BOLETIM DE MEDIÇÃO 05'!O95-'MEMORIAL DE CALCULO 05'!K536</f>
        <v>0</v>
      </c>
      <c r="K536" s="82">
        <f t="shared" si="28"/>
        <v>0</v>
      </c>
      <c r="L536" s="82">
        <f t="shared" si="29"/>
        <v>0</v>
      </c>
      <c r="M536" s="82">
        <f>'BOLETIM DE MEDIÇÃO 05'!G95</f>
        <v>224</v>
      </c>
      <c r="N536" s="86">
        <f t="shared" si="30"/>
        <v>224</v>
      </c>
    </row>
    <row r="537" spans="2:14" ht="22.5" hidden="1" x14ac:dyDescent="0.25">
      <c r="B537" s="50" t="s">
        <v>248</v>
      </c>
      <c r="C537" s="66">
        <v>39773</v>
      </c>
      <c r="D537" s="53" t="s">
        <v>250</v>
      </c>
      <c r="E537" s="69" t="s">
        <v>166</v>
      </c>
      <c r="F537" s="312"/>
      <c r="G537" s="121"/>
      <c r="H537" s="70"/>
      <c r="I537" s="105"/>
      <c r="J537" s="99">
        <f>'BOLETIM DE MEDIÇÃO 05'!O96-'MEMORIAL DE CALCULO 05'!K537</f>
        <v>0</v>
      </c>
      <c r="K537" s="82">
        <f t="shared" si="28"/>
        <v>0</v>
      </c>
      <c r="L537" s="82">
        <f t="shared" si="29"/>
        <v>0</v>
      </c>
      <c r="M537" s="82">
        <f>'BOLETIM DE MEDIÇÃO 05'!G96</f>
        <v>2</v>
      </c>
      <c r="N537" s="86">
        <f t="shared" si="30"/>
        <v>2</v>
      </c>
    </row>
    <row r="538" spans="2:14" ht="33.75" hidden="1" x14ac:dyDescent="0.25">
      <c r="B538" s="50" t="s">
        <v>251</v>
      </c>
      <c r="C538" s="66">
        <v>101890</v>
      </c>
      <c r="D538" s="53" t="s">
        <v>253</v>
      </c>
      <c r="E538" s="69" t="s">
        <v>166</v>
      </c>
      <c r="F538" s="312"/>
      <c r="G538" s="121"/>
      <c r="H538" s="70"/>
      <c r="I538" s="105"/>
      <c r="J538" s="99">
        <f>'BOLETIM DE MEDIÇÃO 05'!O97-'MEMORIAL DE CALCULO 05'!K538</f>
        <v>0</v>
      </c>
      <c r="K538" s="82">
        <f t="shared" si="28"/>
        <v>0</v>
      </c>
      <c r="L538" s="82">
        <f t="shared" si="29"/>
        <v>0</v>
      </c>
      <c r="M538" s="82">
        <f>'BOLETIM DE MEDIÇÃO 05'!G97</f>
        <v>19</v>
      </c>
      <c r="N538" s="86">
        <f t="shared" si="30"/>
        <v>19</v>
      </c>
    </row>
    <row r="539" spans="2:14" ht="22.5" hidden="1" x14ac:dyDescent="0.25">
      <c r="B539" s="50" t="s">
        <v>254</v>
      </c>
      <c r="C539" s="66">
        <v>93670</v>
      </c>
      <c r="D539" s="53" t="s">
        <v>256</v>
      </c>
      <c r="E539" s="69" t="s">
        <v>166</v>
      </c>
      <c r="F539" s="312"/>
      <c r="G539" s="121"/>
      <c r="H539" s="70"/>
      <c r="I539" s="105"/>
      <c r="J539" s="99">
        <f>'BOLETIM DE MEDIÇÃO 05'!O98-'MEMORIAL DE CALCULO 05'!K539</f>
        <v>0</v>
      </c>
      <c r="K539" s="82">
        <f t="shared" si="28"/>
        <v>0</v>
      </c>
      <c r="L539" s="82">
        <f t="shared" si="29"/>
        <v>0</v>
      </c>
      <c r="M539" s="82">
        <f>'BOLETIM DE MEDIÇÃO 05'!G98</f>
        <v>1</v>
      </c>
      <c r="N539" s="86">
        <f t="shared" si="30"/>
        <v>1</v>
      </c>
    </row>
    <row r="540" spans="2:14" ht="22.5" hidden="1" x14ac:dyDescent="0.25">
      <c r="B540" s="50" t="s">
        <v>257</v>
      </c>
      <c r="C540" s="66">
        <v>93671</v>
      </c>
      <c r="D540" s="53" t="s">
        <v>259</v>
      </c>
      <c r="E540" s="69" t="s">
        <v>166</v>
      </c>
      <c r="F540" s="312"/>
      <c r="G540" s="121"/>
      <c r="H540" s="70"/>
      <c r="I540" s="105"/>
      <c r="J540" s="99">
        <f>'BOLETIM DE MEDIÇÃO 05'!O99-'MEMORIAL DE CALCULO 05'!K540</f>
        <v>0</v>
      </c>
      <c r="K540" s="82">
        <f t="shared" si="28"/>
        <v>0</v>
      </c>
      <c r="L540" s="82">
        <f t="shared" si="29"/>
        <v>0</v>
      </c>
      <c r="M540" s="82">
        <f>'BOLETIM DE MEDIÇÃO 05'!G99</f>
        <v>1</v>
      </c>
      <c r="N540" s="86">
        <f t="shared" si="30"/>
        <v>1</v>
      </c>
    </row>
    <row r="541" spans="2:14" ht="22.5" hidden="1" x14ac:dyDescent="0.25">
      <c r="B541" s="50" t="s">
        <v>260</v>
      </c>
      <c r="C541" s="66">
        <v>39466</v>
      </c>
      <c r="D541" s="53" t="s">
        <v>262</v>
      </c>
      <c r="E541" s="69" t="s">
        <v>166</v>
      </c>
      <c r="F541" s="312"/>
      <c r="G541" s="121"/>
      <c r="H541" s="70"/>
      <c r="I541" s="105"/>
      <c r="J541" s="99">
        <f>'BOLETIM DE MEDIÇÃO 05'!O100-'MEMORIAL DE CALCULO 05'!K541</f>
        <v>0</v>
      </c>
      <c r="K541" s="82">
        <f t="shared" si="28"/>
        <v>0</v>
      </c>
      <c r="L541" s="82">
        <f t="shared" si="29"/>
        <v>0</v>
      </c>
      <c r="M541" s="82">
        <f>'BOLETIM DE MEDIÇÃO 05'!G100</f>
        <v>6</v>
      </c>
      <c r="N541" s="86">
        <f t="shared" si="30"/>
        <v>6</v>
      </c>
    </row>
    <row r="542" spans="2:14" ht="22.5" hidden="1" x14ac:dyDescent="0.25">
      <c r="B542" s="50" t="s">
        <v>263</v>
      </c>
      <c r="C542" s="66">
        <v>39445</v>
      </c>
      <c r="D542" s="53" t="s">
        <v>265</v>
      </c>
      <c r="E542" s="69" t="s">
        <v>166</v>
      </c>
      <c r="F542" s="312"/>
      <c r="G542" s="121"/>
      <c r="H542" s="70"/>
      <c r="I542" s="105"/>
      <c r="J542" s="99">
        <f>'BOLETIM DE MEDIÇÃO 05'!O101-'MEMORIAL DE CALCULO 05'!K542</f>
        <v>0</v>
      </c>
      <c r="K542" s="82">
        <f t="shared" si="28"/>
        <v>0</v>
      </c>
      <c r="L542" s="82">
        <f t="shared" si="29"/>
        <v>0</v>
      </c>
      <c r="M542" s="82">
        <f>'BOLETIM DE MEDIÇÃO 05'!G101</f>
        <v>1</v>
      </c>
      <c r="N542" s="86">
        <f t="shared" si="30"/>
        <v>1</v>
      </c>
    </row>
    <row r="543" spans="2:14" ht="22.5" hidden="1" x14ac:dyDescent="0.25">
      <c r="B543" s="50" t="s">
        <v>266</v>
      </c>
      <c r="C543" s="66">
        <v>39446</v>
      </c>
      <c r="D543" s="53" t="s">
        <v>268</v>
      </c>
      <c r="E543" s="69" t="s">
        <v>166</v>
      </c>
      <c r="F543" s="312"/>
      <c r="G543" s="121"/>
      <c r="H543" s="70"/>
      <c r="I543" s="105"/>
      <c r="J543" s="99">
        <f>'BOLETIM DE MEDIÇÃO 05'!O102-'MEMORIAL DE CALCULO 05'!K543</f>
        <v>0</v>
      </c>
      <c r="K543" s="82">
        <f t="shared" si="28"/>
        <v>0</v>
      </c>
      <c r="L543" s="82">
        <f t="shared" si="29"/>
        <v>0</v>
      </c>
      <c r="M543" s="82">
        <f>'BOLETIM DE MEDIÇÃO 05'!G102</f>
        <v>1</v>
      </c>
      <c r="N543" s="86">
        <f t="shared" si="30"/>
        <v>1</v>
      </c>
    </row>
    <row r="544" spans="2:14" ht="33.75" hidden="1" x14ac:dyDescent="0.25">
      <c r="B544" s="50" t="s">
        <v>269</v>
      </c>
      <c r="C544" s="66">
        <v>91953</v>
      </c>
      <c r="D544" s="53" t="s">
        <v>271</v>
      </c>
      <c r="E544" s="69" t="s">
        <v>166</v>
      </c>
      <c r="F544" s="312"/>
      <c r="G544" s="121"/>
      <c r="H544" s="70"/>
      <c r="I544" s="105"/>
      <c r="J544" s="99">
        <f>'BOLETIM DE MEDIÇÃO 05'!O103-'MEMORIAL DE CALCULO 05'!K544</f>
        <v>0</v>
      </c>
      <c r="K544" s="82">
        <f t="shared" si="28"/>
        <v>0</v>
      </c>
      <c r="L544" s="82">
        <f t="shared" si="29"/>
        <v>0</v>
      </c>
      <c r="M544" s="82">
        <f>'BOLETIM DE MEDIÇÃO 05'!G103</f>
        <v>23</v>
      </c>
      <c r="N544" s="86">
        <f t="shared" si="30"/>
        <v>23</v>
      </c>
    </row>
    <row r="545" spans="2:14" ht="33.75" hidden="1" x14ac:dyDescent="0.25">
      <c r="B545" s="50" t="s">
        <v>272</v>
      </c>
      <c r="C545" s="66">
        <v>91967</v>
      </c>
      <c r="D545" s="53" t="s">
        <v>274</v>
      </c>
      <c r="E545" s="69" t="s">
        <v>166</v>
      </c>
      <c r="F545" s="312"/>
      <c r="G545" s="121"/>
      <c r="H545" s="70"/>
      <c r="I545" s="105"/>
      <c r="J545" s="99">
        <f>'BOLETIM DE MEDIÇÃO 05'!O104-'MEMORIAL DE CALCULO 05'!K545</f>
        <v>0</v>
      </c>
      <c r="K545" s="82">
        <f t="shared" si="28"/>
        <v>0</v>
      </c>
      <c r="L545" s="82">
        <f t="shared" si="29"/>
        <v>0</v>
      </c>
      <c r="M545" s="82">
        <f>'BOLETIM DE MEDIÇÃO 05'!G104</f>
        <v>1</v>
      </c>
      <c r="N545" s="86">
        <f t="shared" si="30"/>
        <v>1</v>
      </c>
    </row>
    <row r="546" spans="2:14" ht="33.75" hidden="1" x14ac:dyDescent="0.25">
      <c r="B546" s="50" t="s">
        <v>275</v>
      </c>
      <c r="C546" s="66">
        <v>92000</v>
      </c>
      <c r="D546" s="53" t="s">
        <v>277</v>
      </c>
      <c r="E546" s="69" t="s">
        <v>166</v>
      </c>
      <c r="F546" s="312"/>
      <c r="G546" s="121"/>
      <c r="H546" s="70"/>
      <c r="I546" s="105"/>
      <c r="J546" s="99">
        <f>'BOLETIM DE MEDIÇÃO 05'!O105-'MEMORIAL DE CALCULO 05'!K546</f>
        <v>0</v>
      </c>
      <c r="K546" s="82">
        <f t="shared" si="28"/>
        <v>0</v>
      </c>
      <c r="L546" s="82">
        <f t="shared" si="29"/>
        <v>0</v>
      </c>
      <c r="M546" s="82">
        <f>'BOLETIM DE MEDIÇÃO 05'!G105</f>
        <v>54</v>
      </c>
      <c r="N546" s="86">
        <f t="shared" si="30"/>
        <v>54</v>
      </c>
    </row>
    <row r="547" spans="2:14" ht="33.75" hidden="1" x14ac:dyDescent="0.25">
      <c r="B547" s="50" t="s">
        <v>278</v>
      </c>
      <c r="C547" s="66">
        <v>92008</v>
      </c>
      <c r="D547" s="53" t="s">
        <v>280</v>
      </c>
      <c r="E547" s="69" t="s">
        <v>166</v>
      </c>
      <c r="F547" s="312"/>
      <c r="G547" s="121"/>
      <c r="H547" s="70"/>
      <c r="I547" s="105"/>
      <c r="J547" s="99">
        <f>'BOLETIM DE MEDIÇÃO 05'!O106-'MEMORIAL DE CALCULO 05'!K547</f>
        <v>0</v>
      </c>
      <c r="K547" s="82">
        <f t="shared" si="28"/>
        <v>0</v>
      </c>
      <c r="L547" s="82">
        <f t="shared" si="29"/>
        <v>0</v>
      </c>
      <c r="M547" s="82">
        <f>'BOLETIM DE MEDIÇÃO 05'!G106</f>
        <v>8</v>
      </c>
      <c r="N547" s="86">
        <f t="shared" si="30"/>
        <v>8</v>
      </c>
    </row>
    <row r="548" spans="2:14" ht="33.75" hidden="1" x14ac:dyDescent="0.25">
      <c r="B548" s="50" t="s">
        <v>281</v>
      </c>
      <c r="C548" s="68">
        <v>91959</v>
      </c>
      <c r="D548" s="67" t="s">
        <v>283</v>
      </c>
      <c r="E548" s="69" t="s">
        <v>166</v>
      </c>
      <c r="F548" s="312"/>
      <c r="G548" s="121"/>
      <c r="H548" s="44"/>
      <c r="I548" s="105"/>
      <c r="J548" s="99">
        <f>'BOLETIM DE MEDIÇÃO 05'!O107-'MEMORIAL DE CALCULO 05'!K548</f>
        <v>0</v>
      </c>
      <c r="K548" s="82">
        <f t="shared" si="28"/>
        <v>0</v>
      </c>
      <c r="L548" s="82">
        <f t="shared" si="29"/>
        <v>0</v>
      </c>
      <c r="M548" s="82">
        <f>'BOLETIM DE MEDIÇÃO 05'!G107</f>
        <v>2</v>
      </c>
      <c r="N548" s="86">
        <f t="shared" si="30"/>
        <v>2</v>
      </c>
    </row>
    <row r="549" spans="2:14" ht="33.75" hidden="1" x14ac:dyDescent="0.25">
      <c r="B549" s="50" t="s">
        <v>284</v>
      </c>
      <c r="C549" s="68">
        <v>91834</v>
      </c>
      <c r="D549" s="67" t="s">
        <v>286</v>
      </c>
      <c r="E549" s="69" t="s">
        <v>37</v>
      </c>
      <c r="F549" s="312"/>
      <c r="G549" s="121"/>
      <c r="H549" s="44"/>
      <c r="I549" s="105"/>
      <c r="J549" s="99">
        <f>'BOLETIM DE MEDIÇÃO 05'!O108-'MEMORIAL DE CALCULO 05'!K549</f>
        <v>0</v>
      </c>
      <c r="K549" s="82">
        <f t="shared" si="28"/>
        <v>0</v>
      </c>
      <c r="L549" s="82">
        <f t="shared" si="29"/>
        <v>0</v>
      </c>
      <c r="M549" s="82">
        <f>'BOLETIM DE MEDIÇÃO 05'!G108</f>
        <v>830.48</v>
      </c>
      <c r="N549" s="86">
        <f t="shared" si="30"/>
        <v>830.48</v>
      </c>
    </row>
    <row r="550" spans="2:14" ht="33.75" hidden="1" x14ac:dyDescent="0.25">
      <c r="B550" s="50" t="s">
        <v>287</v>
      </c>
      <c r="C550" s="66">
        <v>91868</v>
      </c>
      <c r="D550" s="53" t="s">
        <v>289</v>
      </c>
      <c r="E550" s="69" t="s">
        <v>37</v>
      </c>
      <c r="F550" s="312"/>
      <c r="G550" s="121"/>
      <c r="H550" s="70"/>
      <c r="I550" s="105"/>
      <c r="J550" s="99">
        <f>'BOLETIM DE MEDIÇÃO 05'!O109-'MEMORIAL DE CALCULO 05'!K550</f>
        <v>0</v>
      </c>
      <c r="K550" s="82">
        <f t="shared" si="28"/>
        <v>0</v>
      </c>
      <c r="L550" s="82">
        <f t="shared" si="29"/>
        <v>0</v>
      </c>
      <c r="M550" s="82">
        <f>'BOLETIM DE MEDIÇÃO 05'!G109</f>
        <v>55.97</v>
      </c>
      <c r="N550" s="86">
        <f t="shared" si="30"/>
        <v>55.97</v>
      </c>
    </row>
    <row r="551" spans="2:14" ht="33.75" hidden="1" x14ac:dyDescent="0.25">
      <c r="B551" s="50" t="s">
        <v>290</v>
      </c>
      <c r="C551" s="66">
        <v>91867</v>
      </c>
      <c r="D551" s="53" t="s">
        <v>292</v>
      </c>
      <c r="E551" s="69" t="s">
        <v>37</v>
      </c>
      <c r="F551" s="312"/>
      <c r="G551" s="121"/>
      <c r="H551" s="70"/>
      <c r="I551" s="105"/>
      <c r="J551" s="99">
        <f>'BOLETIM DE MEDIÇÃO 05'!O110-'MEMORIAL DE CALCULO 05'!K551</f>
        <v>0</v>
      </c>
      <c r="K551" s="82">
        <f t="shared" si="28"/>
        <v>0</v>
      </c>
      <c r="L551" s="82">
        <f t="shared" si="29"/>
        <v>0</v>
      </c>
      <c r="M551" s="82">
        <f>'BOLETIM DE MEDIÇÃO 05'!G110</f>
        <v>36.19</v>
      </c>
      <c r="N551" s="86">
        <f t="shared" si="30"/>
        <v>36.19</v>
      </c>
    </row>
    <row r="552" spans="2:14" ht="22.5" hidden="1" x14ac:dyDescent="0.25">
      <c r="B552" s="50" t="s">
        <v>293</v>
      </c>
      <c r="C552" s="66">
        <v>101654</v>
      </c>
      <c r="D552" s="53" t="s">
        <v>295</v>
      </c>
      <c r="E552" s="69" t="s">
        <v>166</v>
      </c>
      <c r="F552" s="312"/>
      <c r="G552" s="121"/>
      <c r="H552" s="70"/>
      <c r="I552" s="105"/>
      <c r="J552" s="99">
        <f>'BOLETIM DE MEDIÇÃO 05'!O111-'MEMORIAL DE CALCULO 05'!K552</f>
        <v>0</v>
      </c>
      <c r="K552" s="82">
        <f t="shared" si="28"/>
        <v>0</v>
      </c>
      <c r="L552" s="82">
        <f t="shared" si="29"/>
        <v>0</v>
      </c>
      <c r="M552" s="82">
        <f>'BOLETIM DE MEDIÇÃO 05'!G111</f>
        <v>15</v>
      </c>
      <c r="N552" s="86">
        <f t="shared" si="30"/>
        <v>15</v>
      </c>
    </row>
    <row r="553" spans="2:14" ht="33.75" hidden="1" x14ac:dyDescent="0.25">
      <c r="B553" s="50" t="s">
        <v>296</v>
      </c>
      <c r="C553" s="66">
        <v>103782</v>
      </c>
      <c r="D553" s="53" t="s">
        <v>298</v>
      </c>
      <c r="E553" s="69" t="s">
        <v>166</v>
      </c>
      <c r="F553" s="312"/>
      <c r="G553" s="121"/>
      <c r="H553" s="70"/>
      <c r="I553" s="105"/>
      <c r="J553" s="99">
        <f>'BOLETIM DE MEDIÇÃO 05'!O112-'MEMORIAL DE CALCULO 05'!K553</f>
        <v>0</v>
      </c>
      <c r="K553" s="82">
        <f t="shared" si="28"/>
        <v>0</v>
      </c>
      <c r="L553" s="82">
        <f t="shared" si="29"/>
        <v>0</v>
      </c>
      <c r="M553" s="82">
        <f>'BOLETIM DE MEDIÇÃO 05'!G112</f>
        <v>76</v>
      </c>
      <c r="N553" s="86">
        <f t="shared" si="30"/>
        <v>76</v>
      </c>
    </row>
    <row r="554" spans="2:14" ht="33.75" hidden="1" x14ac:dyDescent="0.25">
      <c r="B554" s="50" t="s">
        <v>299</v>
      </c>
      <c r="C554" s="66">
        <v>101509</v>
      </c>
      <c r="D554" s="53" t="s">
        <v>301</v>
      </c>
      <c r="E554" s="69" t="s">
        <v>166</v>
      </c>
      <c r="F554" s="312"/>
      <c r="G554" s="121"/>
      <c r="H554" s="70"/>
      <c r="I554" s="105"/>
      <c r="J554" s="99">
        <f>'BOLETIM DE MEDIÇÃO 05'!O113-'MEMORIAL DE CALCULO 05'!K554</f>
        <v>0</v>
      </c>
      <c r="K554" s="82">
        <f t="shared" si="28"/>
        <v>0</v>
      </c>
      <c r="L554" s="82">
        <f t="shared" si="29"/>
        <v>0</v>
      </c>
      <c r="M554" s="82">
        <f>'BOLETIM DE MEDIÇÃO 05'!G113</f>
        <v>1</v>
      </c>
      <c r="N554" s="86">
        <f t="shared" si="30"/>
        <v>1</v>
      </c>
    </row>
    <row r="555" spans="2:14" ht="33.75" hidden="1" x14ac:dyDescent="0.25">
      <c r="B555" s="50" t="s">
        <v>302</v>
      </c>
      <c r="C555" s="66">
        <v>5044</v>
      </c>
      <c r="D555" s="53" t="s">
        <v>304</v>
      </c>
      <c r="E555" s="69" t="s">
        <v>166</v>
      </c>
      <c r="F555" s="312"/>
      <c r="G555" s="121"/>
      <c r="H555" s="70"/>
      <c r="I555" s="105"/>
      <c r="J555" s="99">
        <f>'BOLETIM DE MEDIÇÃO 05'!O114-'MEMORIAL DE CALCULO 05'!K555</f>
        <v>0</v>
      </c>
      <c r="K555" s="82">
        <f t="shared" si="28"/>
        <v>0</v>
      </c>
      <c r="L555" s="82">
        <f t="shared" si="29"/>
        <v>0</v>
      </c>
      <c r="M555" s="82">
        <f>'BOLETIM DE MEDIÇÃO 05'!G114</f>
        <v>1</v>
      </c>
      <c r="N555" s="86">
        <f t="shared" si="30"/>
        <v>1</v>
      </c>
    </row>
    <row r="556" spans="2:14" ht="45" hidden="1" x14ac:dyDescent="0.25">
      <c r="B556" s="50" t="s">
        <v>305</v>
      </c>
      <c r="C556" s="66">
        <v>101879</v>
      </c>
      <c r="D556" s="53" t="s">
        <v>307</v>
      </c>
      <c r="E556" s="69" t="s">
        <v>166</v>
      </c>
      <c r="F556" s="312"/>
      <c r="G556" s="121"/>
      <c r="H556" s="70"/>
      <c r="I556" s="105"/>
      <c r="J556" s="99">
        <f>'BOLETIM DE MEDIÇÃO 05'!O115-'MEMORIAL DE CALCULO 05'!K556</f>
        <v>0</v>
      </c>
      <c r="K556" s="82">
        <f t="shared" si="28"/>
        <v>0</v>
      </c>
      <c r="L556" s="82">
        <f t="shared" si="29"/>
        <v>0</v>
      </c>
      <c r="M556" s="82">
        <f>'BOLETIM DE MEDIÇÃO 05'!G115</f>
        <v>1</v>
      </c>
      <c r="N556" s="86">
        <f t="shared" si="30"/>
        <v>1</v>
      </c>
    </row>
    <row r="557" spans="2:14" ht="33.75" hidden="1" x14ac:dyDescent="0.25">
      <c r="B557" s="50" t="s">
        <v>308</v>
      </c>
      <c r="C557" s="66">
        <v>5044</v>
      </c>
      <c r="D557" s="53" t="s">
        <v>304</v>
      </c>
      <c r="E557" s="69" t="s">
        <v>166</v>
      </c>
      <c r="F557" s="312"/>
      <c r="G557" s="121"/>
      <c r="H557" s="70"/>
      <c r="I557" s="105"/>
      <c r="J557" s="99">
        <f>'BOLETIM DE MEDIÇÃO 05'!O116-'MEMORIAL DE CALCULO 05'!K557</f>
        <v>0</v>
      </c>
      <c r="K557" s="82">
        <f t="shared" si="28"/>
        <v>0</v>
      </c>
      <c r="L557" s="82">
        <f t="shared" si="29"/>
        <v>0</v>
      </c>
      <c r="M557" s="82">
        <f>'BOLETIM DE MEDIÇÃO 05'!G116</f>
        <v>1</v>
      </c>
      <c r="N557" s="86">
        <f t="shared" si="30"/>
        <v>1</v>
      </c>
    </row>
    <row r="558" spans="2:14" ht="33.75" hidden="1" x14ac:dyDescent="0.25">
      <c r="B558" s="50" t="s">
        <v>309</v>
      </c>
      <c r="C558" s="66">
        <v>92023</v>
      </c>
      <c r="D558" s="53" t="s">
        <v>311</v>
      </c>
      <c r="E558" s="69" t="s">
        <v>166</v>
      </c>
      <c r="F558" s="312"/>
      <c r="G558" s="121"/>
      <c r="H558" s="70"/>
      <c r="I558" s="105"/>
      <c r="J558" s="99">
        <f>'BOLETIM DE MEDIÇÃO 05'!O117-'MEMORIAL DE CALCULO 05'!K558</f>
        <v>0</v>
      </c>
      <c r="K558" s="82">
        <f t="shared" si="28"/>
        <v>0</v>
      </c>
      <c r="L558" s="82">
        <f t="shared" si="29"/>
        <v>0</v>
      </c>
      <c r="M558" s="82">
        <f>'BOLETIM DE MEDIÇÃO 05'!G117</f>
        <v>5</v>
      </c>
      <c r="N558" s="86">
        <f t="shared" si="30"/>
        <v>5</v>
      </c>
    </row>
    <row r="559" spans="2:14" hidden="1" x14ac:dyDescent="0.25">
      <c r="B559" s="51" t="s">
        <v>312</v>
      </c>
      <c r="C559" s="71" t="s">
        <v>313</v>
      </c>
      <c r="D559" s="53"/>
      <c r="E559" s="69"/>
      <c r="F559" s="312"/>
      <c r="G559" s="121"/>
      <c r="H559" s="70"/>
      <c r="I559" s="105"/>
      <c r="J559" s="99"/>
      <c r="K559" s="82">
        <f t="shared" si="28"/>
        <v>0</v>
      </c>
      <c r="L559" s="82"/>
      <c r="M559" s="82"/>
      <c r="N559" s="86"/>
    </row>
    <row r="560" spans="2:14" ht="22.5" hidden="1" x14ac:dyDescent="0.25">
      <c r="B560" s="50" t="s">
        <v>314</v>
      </c>
      <c r="C560" s="66">
        <v>96620</v>
      </c>
      <c r="D560" s="53" t="s">
        <v>316</v>
      </c>
      <c r="E560" s="44" t="s">
        <v>41</v>
      </c>
      <c r="F560" s="312"/>
      <c r="G560" s="121"/>
      <c r="H560" s="70"/>
      <c r="I560" s="105"/>
      <c r="J560" s="99">
        <f>'BOLETIM DE MEDIÇÃO 05'!O119-'MEMORIAL DE CALCULO 05'!K560</f>
        <v>0</v>
      </c>
      <c r="K560" s="82">
        <f t="shared" si="28"/>
        <v>0</v>
      </c>
      <c r="L560" s="82">
        <f t="shared" si="29"/>
        <v>0</v>
      </c>
      <c r="M560" s="82">
        <f>'BOLETIM DE MEDIÇÃO 05'!G119</f>
        <v>31.73</v>
      </c>
      <c r="N560" s="86">
        <f t="shared" si="30"/>
        <v>31.73</v>
      </c>
    </row>
    <row r="561" spans="2:14" ht="67.5" hidden="1" x14ac:dyDescent="0.25">
      <c r="B561" s="50" t="s">
        <v>317</v>
      </c>
      <c r="C561" s="66">
        <v>94439</v>
      </c>
      <c r="D561" s="53" t="s">
        <v>319</v>
      </c>
      <c r="E561" s="44" t="s">
        <v>17</v>
      </c>
      <c r="F561" s="312"/>
      <c r="G561" s="121"/>
      <c r="H561" s="70"/>
      <c r="I561" s="105"/>
      <c r="J561" s="99">
        <f>'BOLETIM DE MEDIÇÃO 05'!O120-'MEMORIAL DE CALCULO 05'!K561</f>
        <v>0</v>
      </c>
      <c r="K561" s="82">
        <f t="shared" si="28"/>
        <v>0</v>
      </c>
      <c r="L561" s="82">
        <f t="shared" si="29"/>
        <v>0</v>
      </c>
      <c r="M561" s="82">
        <f>'BOLETIM DE MEDIÇÃO 05'!G120</f>
        <v>634.5</v>
      </c>
      <c r="N561" s="86">
        <f t="shared" si="30"/>
        <v>634.5</v>
      </c>
    </row>
    <row r="562" spans="2:14" ht="33.75" hidden="1" x14ac:dyDescent="0.25">
      <c r="B562" s="50" t="s">
        <v>320</v>
      </c>
      <c r="C562" s="66">
        <v>87257</v>
      </c>
      <c r="D562" s="53" t="s">
        <v>322</v>
      </c>
      <c r="E562" s="44" t="s">
        <v>17</v>
      </c>
      <c r="F562" s="312"/>
      <c r="G562" s="121"/>
      <c r="H562" s="70"/>
      <c r="I562" s="105"/>
      <c r="J562" s="99">
        <f>'BOLETIM DE MEDIÇÃO 05'!O121-'MEMORIAL DE CALCULO 05'!K562</f>
        <v>0</v>
      </c>
      <c r="K562" s="82">
        <f t="shared" si="28"/>
        <v>0</v>
      </c>
      <c r="L562" s="82">
        <f t="shared" si="29"/>
        <v>0</v>
      </c>
      <c r="M562" s="82">
        <f>'BOLETIM DE MEDIÇÃO 05'!G121</f>
        <v>634.5</v>
      </c>
      <c r="N562" s="86">
        <f t="shared" si="30"/>
        <v>634.5</v>
      </c>
    </row>
    <row r="563" spans="2:14" ht="33.75" hidden="1" x14ac:dyDescent="0.25">
      <c r="B563" s="50" t="s">
        <v>323</v>
      </c>
      <c r="C563" s="66">
        <v>92403</v>
      </c>
      <c r="D563" s="53" t="s">
        <v>325</v>
      </c>
      <c r="E563" s="44" t="s">
        <v>17</v>
      </c>
      <c r="F563" s="312"/>
      <c r="G563" s="121"/>
      <c r="H563" s="70"/>
      <c r="I563" s="105"/>
      <c r="J563" s="99">
        <f>'BOLETIM DE MEDIÇÃO 05'!O122-'MEMORIAL DE CALCULO 05'!K563</f>
        <v>0</v>
      </c>
      <c r="K563" s="82">
        <f t="shared" si="28"/>
        <v>0</v>
      </c>
      <c r="L563" s="82">
        <f t="shared" si="29"/>
        <v>0</v>
      </c>
      <c r="M563" s="82">
        <f>'BOLETIM DE MEDIÇÃO 05'!G122</f>
        <v>629.38</v>
      </c>
      <c r="N563" s="86">
        <f t="shared" si="30"/>
        <v>629.38</v>
      </c>
    </row>
    <row r="564" spans="2:14" ht="56.25" hidden="1" x14ac:dyDescent="0.25">
      <c r="B564" s="50" t="s">
        <v>326</v>
      </c>
      <c r="C564" s="66">
        <v>94273</v>
      </c>
      <c r="D564" s="53" t="s">
        <v>328</v>
      </c>
      <c r="E564" s="44" t="s">
        <v>37</v>
      </c>
      <c r="F564" s="312"/>
      <c r="G564" s="121"/>
      <c r="H564" s="70"/>
      <c r="I564" s="105"/>
      <c r="J564" s="99">
        <f>'BOLETIM DE MEDIÇÃO 05'!O123-'MEMORIAL DE CALCULO 05'!K564</f>
        <v>0</v>
      </c>
      <c r="K564" s="82">
        <f t="shared" si="28"/>
        <v>0</v>
      </c>
      <c r="L564" s="82">
        <f t="shared" si="29"/>
        <v>0</v>
      </c>
      <c r="M564" s="82">
        <f>'BOLETIM DE MEDIÇÃO 05'!G123</f>
        <v>126.37</v>
      </c>
      <c r="N564" s="86">
        <f t="shared" si="30"/>
        <v>126.37</v>
      </c>
    </row>
    <row r="565" spans="2:14" ht="22.5" hidden="1" x14ac:dyDescent="0.25">
      <c r="B565" s="50" t="s">
        <v>329</v>
      </c>
      <c r="C565" s="66">
        <v>368</v>
      </c>
      <c r="D565" s="53" t="s">
        <v>331</v>
      </c>
      <c r="E565" s="44" t="s">
        <v>41</v>
      </c>
      <c r="F565" s="312"/>
      <c r="G565" s="121"/>
      <c r="H565" s="70"/>
      <c r="I565" s="105"/>
      <c r="J565" s="99">
        <f>'BOLETIM DE MEDIÇÃO 05'!O124-'MEMORIAL DE CALCULO 05'!K565</f>
        <v>0</v>
      </c>
      <c r="K565" s="82">
        <f t="shared" si="28"/>
        <v>0</v>
      </c>
      <c r="L565" s="82">
        <f t="shared" si="29"/>
        <v>0</v>
      </c>
      <c r="M565" s="82">
        <f>'BOLETIM DE MEDIÇÃO 05'!G124</f>
        <v>7.46</v>
      </c>
      <c r="N565" s="86">
        <f t="shared" si="30"/>
        <v>7.46</v>
      </c>
    </row>
    <row r="566" spans="2:14" hidden="1" x14ac:dyDescent="0.25">
      <c r="B566" s="50" t="s">
        <v>332</v>
      </c>
      <c r="C566" s="66">
        <v>98504</v>
      </c>
      <c r="D566" s="53" t="s">
        <v>334</v>
      </c>
      <c r="E566" s="44" t="s">
        <v>17</v>
      </c>
      <c r="F566" s="312"/>
      <c r="G566" s="121"/>
      <c r="H566" s="70"/>
      <c r="I566" s="105"/>
      <c r="J566" s="99">
        <f>'BOLETIM DE MEDIÇÃO 05'!O125-'MEMORIAL DE CALCULO 05'!K566</f>
        <v>0</v>
      </c>
      <c r="K566" s="82">
        <f t="shared" si="28"/>
        <v>0</v>
      </c>
      <c r="L566" s="82">
        <f t="shared" si="29"/>
        <v>0</v>
      </c>
      <c r="M566" s="82">
        <f>'BOLETIM DE MEDIÇÃO 05'!G125</f>
        <v>25.6</v>
      </c>
      <c r="N566" s="86">
        <f t="shared" si="30"/>
        <v>25.6</v>
      </c>
    </row>
    <row r="567" spans="2:14" ht="22.5" hidden="1" x14ac:dyDescent="0.25">
      <c r="B567" s="50" t="s">
        <v>335</v>
      </c>
      <c r="C567" s="66">
        <v>103913</v>
      </c>
      <c r="D567" s="53" t="s">
        <v>337</v>
      </c>
      <c r="E567" s="44" t="s">
        <v>17</v>
      </c>
      <c r="F567" s="312"/>
      <c r="G567" s="121"/>
      <c r="H567" s="70"/>
      <c r="I567" s="105"/>
      <c r="J567" s="99">
        <f>'BOLETIM DE MEDIÇÃO 05'!O126-'MEMORIAL DE CALCULO 05'!K567</f>
        <v>0</v>
      </c>
      <c r="K567" s="82">
        <f t="shared" si="28"/>
        <v>0</v>
      </c>
      <c r="L567" s="82">
        <f t="shared" si="29"/>
        <v>0</v>
      </c>
      <c r="M567" s="82">
        <f>'BOLETIM DE MEDIÇÃO 05'!G126</f>
        <v>39.6</v>
      </c>
      <c r="N567" s="86">
        <f t="shared" si="30"/>
        <v>39.6</v>
      </c>
    </row>
    <row r="568" spans="2:14" hidden="1" x14ac:dyDescent="0.25">
      <c r="B568" s="51" t="s">
        <v>338</v>
      </c>
      <c r="C568" s="71" t="s">
        <v>339</v>
      </c>
      <c r="D568" s="53"/>
      <c r="E568" s="44"/>
      <c r="F568" s="312"/>
      <c r="G568" s="121"/>
      <c r="H568" s="70"/>
      <c r="I568" s="105"/>
      <c r="J568" s="99"/>
      <c r="K568" s="82">
        <f t="shared" si="28"/>
        <v>0</v>
      </c>
      <c r="L568" s="82"/>
      <c r="M568" s="82"/>
      <c r="N568" s="86"/>
    </row>
    <row r="569" spans="2:14" ht="45" hidden="1" x14ac:dyDescent="0.25">
      <c r="B569" s="50" t="s">
        <v>340</v>
      </c>
      <c r="C569" s="66">
        <v>94207</v>
      </c>
      <c r="D569" s="53" t="s">
        <v>342</v>
      </c>
      <c r="E569" s="44" t="s">
        <v>17</v>
      </c>
      <c r="F569" s="312"/>
      <c r="G569" s="121"/>
      <c r="H569" s="70"/>
      <c r="I569" s="105"/>
      <c r="J569" s="99">
        <f>'BOLETIM DE MEDIÇÃO 05'!O128-'MEMORIAL DE CALCULO 05'!K569</f>
        <v>0</v>
      </c>
      <c r="K569" s="82">
        <f t="shared" si="28"/>
        <v>0</v>
      </c>
      <c r="L569" s="82">
        <f t="shared" si="29"/>
        <v>0</v>
      </c>
      <c r="M569" s="82">
        <f>'BOLETIM DE MEDIÇÃO 05'!G128</f>
        <v>610.20000000000005</v>
      </c>
      <c r="N569" s="86">
        <f t="shared" si="30"/>
        <v>610.20000000000005</v>
      </c>
    </row>
    <row r="570" spans="2:14" ht="33.75" hidden="1" x14ac:dyDescent="0.25">
      <c r="B570" s="50" t="s">
        <v>343</v>
      </c>
      <c r="C570" s="66">
        <v>98546</v>
      </c>
      <c r="D570" s="53" t="s">
        <v>345</v>
      </c>
      <c r="E570" s="44" t="s">
        <v>17</v>
      </c>
      <c r="F570" s="312"/>
      <c r="G570" s="121"/>
      <c r="H570" s="70"/>
      <c r="I570" s="105"/>
      <c r="J570" s="99">
        <f>'BOLETIM DE MEDIÇÃO 05'!O129-'MEMORIAL DE CALCULO 05'!K570</f>
        <v>0</v>
      </c>
      <c r="K570" s="82">
        <f t="shared" si="28"/>
        <v>0</v>
      </c>
      <c r="L570" s="82">
        <f t="shared" si="29"/>
        <v>0</v>
      </c>
      <c r="M570" s="82">
        <f>'BOLETIM DE MEDIÇÃO 05'!G129</f>
        <v>181.61</v>
      </c>
      <c r="N570" s="86">
        <f t="shared" si="30"/>
        <v>181.61</v>
      </c>
    </row>
    <row r="571" spans="2:14" ht="33.75" hidden="1" x14ac:dyDescent="0.25">
      <c r="B571" s="50" t="s">
        <v>346</v>
      </c>
      <c r="C571" s="66">
        <v>98565</v>
      </c>
      <c r="D571" s="53" t="s">
        <v>348</v>
      </c>
      <c r="E571" s="44" t="s">
        <v>17</v>
      </c>
      <c r="F571" s="312"/>
      <c r="G571" s="121"/>
      <c r="H571" s="70"/>
      <c r="I571" s="105"/>
      <c r="J571" s="99">
        <f>'BOLETIM DE MEDIÇÃO 05'!O130-'MEMORIAL DE CALCULO 05'!K571</f>
        <v>0</v>
      </c>
      <c r="K571" s="82">
        <f t="shared" si="28"/>
        <v>0</v>
      </c>
      <c r="L571" s="82">
        <f t="shared" si="29"/>
        <v>0</v>
      </c>
      <c r="M571" s="82">
        <f>'BOLETIM DE MEDIÇÃO 05'!G130</f>
        <v>181.61</v>
      </c>
      <c r="N571" s="86">
        <f t="shared" si="30"/>
        <v>181.61</v>
      </c>
    </row>
    <row r="572" spans="2:14" ht="45" hidden="1" x14ac:dyDescent="0.25">
      <c r="B572" s="50" t="s">
        <v>349</v>
      </c>
      <c r="C572" s="66">
        <v>100374</v>
      </c>
      <c r="D572" s="53" t="s">
        <v>351</v>
      </c>
      <c r="E572" s="44" t="s">
        <v>166</v>
      </c>
      <c r="F572" s="312"/>
      <c r="G572" s="121"/>
      <c r="H572" s="70"/>
      <c r="I572" s="105"/>
      <c r="J572" s="99">
        <f>'BOLETIM DE MEDIÇÃO 05'!O131-'MEMORIAL DE CALCULO 05'!K572</f>
        <v>0</v>
      </c>
      <c r="K572" s="82">
        <f t="shared" si="28"/>
        <v>0</v>
      </c>
      <c r="L572" s="82">
        <f t="shared" si="29"/>
        <v>0</v>
      </c>
      <c r="M572" s="82">
        <f>'BOLETIM DE MEDIÇÃO 05'!G131</f>
        <v>10</v>
      </c>
      <c r="N572" s="86">
        <f t="shared" si="30"/>
        <v>10</v>
      </c>
    </row>
    <row r="573" spans="2:14" ht="45" hidden="1" x14ac:dyDescent="0.25">
      <c r="B573" s="50" t="s">
        <v>352</v>
      </c>
      <c r="C573" s="66">
        <v>100375</v>
      </c>
      <c r="D573" s="53" t="s">
        <v>354</v>
      </c>
      <c r="E573" s="44" t="s">
        <v>166</v>
      </c>
      <c r="F573" s="312"/>
      <c r="G573" s="121"/>
      <c r="H573" s="70"/>
      <c r="I573" s="105"/>
      <c r="J573" s="99">
        <f>'BOLETIM DE MEDIÇÃO 05'!O132-'MEMORIAL DE CALCULO 05'!K573</f>
        <v>0</v>
      </c>
      <c r="K573" s="82">
        <f t="shared" si="28"/>
        <v>0</v>
      </c>
      <c r="L573" s="82">
        <f t="shared" si="29"/>
        <v>0</v>
      </c>
      <c r="M573" s="82">
        <f>'BOLETIM DE MEDIÇÃO 05'!G132</f>
        <v>10</v>
      </c>
      <c r="N573" s="86">
        <f t="shared" si="30"/>
        <v>10</v>
      </c>
    </row>
    <row r="574" spans="2:14" ht="45" hidden="1" x14ac:dyDescent="0.25">
      <c r="B574" s="50" t="s">
        <v>355</v>
      </c>
      <c r="C574" s="66">
        <v>92544</v>
      </c>
      <c r="D574" s="53" t="s">
        <v>357</v>
      </c>
      <c r="E574" s="44" t="s">
        <v>17</v>
      </c>
      <c r="F574" s="312"/>
      <c r="G574" s="121"/>
      <c r="H574" s="70"/>
      <c r="I574" s="105"/>
      <c r="J574" s="99">
        <f>'BOLETIM DE MEDIÇÃO 05'!O133-'MEMORIAL DE CALCULO 05'!K574</f>
        <v>0</v>
      </c>
      <c r="K574" s="82">
        <f t="shared" si="28"/>
        <v>0</v>
      </c>
      <c r="L574" s="82">
        <f t="shared" si="29"/>
        <v>0</v>
      </c>
      <c r="M574" s="82">
        <f>'BOLETIM DE MEDIÇÃO 05'!G133</f>
        <v>610.20000000000005</v>
      </c>
      <c r="N574" s="86">
        <f t="shared" si="30"/>
        <v>610.20000000000005</v>
      </c>
    </row>
    <row r="575" spans="2:14" ht="33.75" hidden="1" x14ac:dyDescent="0.25">
      <c r="B575" s="50" t="s">
        <v>358</v>
      </c>
      <c r="C575" s="66">
        <v>100435</v>
      </c>
      <c r="D575" s="53" t="s">
        <v>360</v>
      </c>
      <c r="E575" s="44" t="s">
        <v>37</v>
      </c>
      <c r="F575" s="312"/>
      <c r="G575" s="121"/>
      <c r="H575" s="70"/>
      <c r="I575" s="105"/>
      <c r="J575" s="99">
        <f>'BOLETIM DE MEDIÇÃO 05'!O134-'MEMORIAL DE CALCULO 05'!K575</f>
        <v>0</v>
      </c>
      <c r="K575" s="82">
        <f t="shared" si="28"/>
        <v>0</v>
      </c>
      <c r="L575" s="82">
        <f t="shared" si="29"/>
        <v>0</v>
      </c>
      <c r="M575" s="82">
        <f>'BOLETIM DE MEDIÇÃO 05'!G134</f>
        <v>113.1</v>
      </c>
      <c r="N575" s="86">
        <f t="shared" si="30"/>
        <v>113.1</v>
      </c>
    </row>
    <row r="576" spans="2:14" ht="33.75" hidden="1" x14ac:dyDescent="0.25">
      <c r="B576" s="50" t="s">
        <v>361</v>
      </c>
      <c r="C576" s="66">
        <v>94229</v>
      </c>
      <c r="D576" s="53" t="s">
        <v>363</v>
      </c>
      <c r="E576" s="44" t="s">
        <v>37</v>
      </c>
      <c r="F576" s="312"/>
      <c r="G576" s="121"/>
      <c r="H576" s="70"/>
      <c r="I576" s="105"/>
      <c r="J576" s="99">
        <f>'BOLETIM DE MEDIÇÃO 05'!O135-'MEMORIAL DE CALCULO 05'!K576</f>
        <v>0</v>
      </c>
      <c r="K576" s="82">
        <f t="shared" si="28"/>
        <v>0</v>
      </c>
      <c r="L576" s="82">
        <f t="shared" si="29"/>
        <v>0</v>
      </c>
      <c r="M576" s="82">
        <f>'BOLETIM DE MEDIÇÃO 05'!G135</f>
        <v>52.64</v>
      </c>
      <c r="N576" s="86">
        <f t="shared" si="30"/>
        <v>52.64</v>
      </c>
    </row>
    <row r="577" spans="2:14" ht="22.5" hidden="1" x14ac:dyDescent="0.25">
      <c r="B577" s="50" t="s">
        <v>364</v>
      </c>
      <c r="C577" s="66">
        <v>96113</v>
      </c>
      <c r="D577" s="53" t="s">
        <v>366</v>
      </c>
      <c r="E577" s="44" t="s">
        <v>17</v>
      </c>
      <c r="F577" s="312"/>
      <c r="G577" s="121"/>
      <c r="H577" s="70"/>
      <c r="I577" s="105"/>
      <c r="J577" s="99">
        <f>'BOLETIM DE MEDIÇÃO 05'!O136-'MEMORIAL DE CALCULO 05'!K577</f>
        <v>0</v>
      </c>
      <c r="K577" s="82">
        <f t="shared" si="28"/>
        <v>0</v>
      </c>
      <c r="L577" s="82">
        <f t="shared" si="29"/>
        <v>0</v>
      </c>
      <c r="M577" s="82">
        <f>'BOLETIM DE MEDIÇÃO 05'!G136</f>
        <v>634.5</v>
      </c>
      <c r="N577" s="86">
        <f t="shared" si="30"/>
        <v>634.5</v>
      </c>
    </row>
    <row r="578" spans="2:14" ht="14.45" hidden="1" customHeight="1" x14ac:dyDescent="0.25">
      <c r="B578" s="51">
        <v>1.1299999999999999</v>
      </c>
      <c r="C578" s="65" t="s">
        <v>368</v>
      </c>
      <c r="D578" s="53"/>
      <c r="E578" s="44"/>
      <c r="F578" s="312"/>
      <c r="G578" s="121"/>
      <c r="H578" s="70"/>
      <c r="I578" s="105"/>
      <c r="J578" s="99"/>
      <c r="K578" s="82">
        <f t="shared" ref="K578:K613" si="31">(F578*G578*I578)</f>
        <v>0</v>
      </c>
      <c r="L578" s="82"/>
      <c r="M578" s="82"/>
      <c r="N578" s="86"/>
    </row>
    <row r="579" spans="2:14" ht="56.25" hidden="1" x14ac:dyDescent="0.25">
      <c r="B579" s="50" t="s">
        <v>369</v>
      </c>
      <c r="C579" s="66">
        <v>91785</v>
      </c>
      <c r="D579" s="53" t="s">
        <v>371</v>
      </c>
      <c r="E579" s="44" t="s">
        <v>37</v>
      </c>
      <c r="F579" s="312"/>
      <c r="G579" s="121"/>
      <c r="H579" s="69"/>
      <c r="I579" s="105"/>
      <c r="J579" s="99">
        <f>'BOLETIM DE MEDIÇÃO 05'!O138-'MEMORIAL DE CALCULO 05'!K579</f>
        <v>0</v>
      </c>
      <c r="K579" s="82">
        <f t="shared" si="31"/>
        <v>0</v>
      </c>
      <c r="L579" s="82">
        <f t="shared" si="29"/>
        <v>0</v>
      </c>
      <c r="M579" s="82">
        <f>'BOLETIM DE MEDIÇÃO 05'!G138</f>
        <v>98.77</v>
      </c>
      <c r="N579" s="86">
        <f t="shared" si="30"/>
        <v>98.77</v>
      </c>
    </row>
    <row r="580" spans="2:14" ht="56.25" hidden="1" x14ac:dyDescent="0.25">
      <c r="B580" s="50" t="s">
        <v>372</v>
      </c>
      <c r="C580" s="66">
        <v>91784</v>
      </c>
      <c r="D580" s="53" t="s">
        <v>374</v>
      </c>
      <c r="E580" s="44" t="s">
        <v>37</v>
      </c>
      <c r="F580" s="312"/>
      <c r="G580" s="121"/>
      <c r="H580" s="69"/>
      <c r="I580" s="105"/>
      <c r="J580" s="99">
        <f>'BOLETIM DE MEDIÇÃO 05'!O139-'MEMORIAL DE CALCULO 05'!K580</f>
        <v>0</v>
      </c>
      <c r="K580" s="82">
        <f t="shared" si="31"/>
        <v>0</v>
      </c>
      <c r="L580" s="82">
        <f t="shared" si="29"/>
        <v>0</v>
      </c>
      <c r="M580" s="82">
        <f>'BOLETIM DE MEDIÇÃO 05'!G139</f>
        <v>62.17</v>
      </c>
      <c r="N580" s="86">
        <f t="shared" si="30"/>
        <v>62.17</v>
      </c>
    </row>
    <row r="581" spans="2:14" ht="56.25" hidden="1" x14ac:dyDescent="0.25">
      <c r="B581" s="50" t="s">
        <v>375</v>
      </c>
      <c r="C581" s="66">
        <v>91786</v>
      </c>
      <c r="D581" s="53" t="s">
        <v>377</v>
      </c>
      <c r="E581" s="44" t="s">
        <v>37</v>
      </c>
      <c r="F581" s="312"/>
      <c r="G581" s="121"/>
      <c r="H581" s="69"/>
      <c r="I581" s="105"/>
      <c r="J581" s="99">
        <f>'BOLETIM DE MEDIÇÃO 05'!O140-'MEMORIAL DE CALCULO 05'!K581</f>
        <v>0</v>
      </c>
      <c r="K581" s="82">
        <f t="shared" si="31"/>
        <v>0</v>
      </c>
      <c r="L581" s="82">
        <f t="shared" si="29"/>
        <v>0</v>
      </c>
      <c r="M581" s="82">
        <f>'BOLETIM DE MEDIÇÃO 05'!G140</f>
        <v>24.75</v>
      </c>
      <c r="N581" s="86">
        <f t="shared" si="30"/>
        <v>24.75</v>
      </c>
    </row>
    <row r="582" spans="2:14" ht="56.25" hidden="1" x14ac:dyDescent="0.25">
      <c r="B582" s="50" t="s">
        <v>378</v>
      </c>
      <c r="C582" s="66">
        <v>91787</v>
      </c>
      <c r="D582" s="53" t="s">
        <v>380</v>
      </c>
      <c r="E582" s="44" t="s">
        <v>37</v>
      </c>
      <c r="F582" s="312"/>
      <c r="G582" s="121"/>
      <c r="H582" s="69"/>
      <c r="I582" s="105"/>
      <c r="J582" s="99">
        <f>'BOLETIM DE MEDIÇÃO 05'!O141-'MEMORIAL DE CALCULO 05'!K582</f>
        <v>0</v>
      </c>
      <c r="K582" s="82">
        <f t="shared" si="31"/>
        <v>0</v>
      </c>
      <c r="L582" s="82">
        <f t="shared" si="29"/>
        <v>0</v>
      </c>
      <c r="M582" s="82">
        <f>'BOLETIM DE MEDIÇÃO 05'!G141</f>
        <v>25.92</v>
      </c>
      <c r="N582" s="86">
        <f t="shared" si="30"/>
        <v>25.92</v>
      </c>
    </row>
    <row r="583" spans="2:14" ht="33.75" hidden="1" x14ac:dyDescent="0.25">
      <c r="B583" s="50" t="s">
        <v>381</v>
      </c>
      <c r="C583" s="66">
        <v>89987</v>
      </c>
      <c r="D583" s="53" t="s">
        <v>383</v>
      </c>
      <c r="E583" s="44" t="s">
        <v>166</v>
      </c>
      <c r="F583" s="312"/>
      <c r="G583" s="121"/>
      <c r="H583" s="69"/>
      <c r="I583" s="105"/>
      <c r="J583" s="99">
        <f>'BOLETIM DE MEDIÇÃO 05'!O142-'MEMORIAL DE CALCULO 05'!K583</f>
        <v>0</v>
      </c>
      <c r="K583" s="82">
        <f t="shared" si="31"/>
        <v>0</v>
      </c>
      <c r="L583" s="82">
        <f t="shared" si="29"/>
        <v>0</v>
      </c>
      <c r="M583" s="82">
        <f>'BOLETIM DE MEDIÇÃO 05'!G142</f>
        <v>10</v>
      </c>
      <c r="N583" s="86">
        <f t="shared" si="30"/>
        <v>10</v>
      </c>
    </row>
    <row r="584" spans="2:14" ht="22.5" hidden="1" x14ac:dyDescent="0.25">
      <c r="B584" s="50" t="s">
        <v>384</v>
      </c>
      <c r="C584" s="66">
        <v>94490</v>
      </c>
      <c r="D584" s="53" t="s">
        <v>386</v>
      </c>
      <c r="E584" s="44" t="s">
        <v>166</v>
      </c>
      <c r="F584" s="312"/>
      <c r="G584" s="121"/>
      <c r="H584" s="69"/>
      <c r="I584" s="105"/>
      <c r="J584" s="99">
        <f>'BOLETIM DE MEDIÇÃO 05'!O143-'MEMORIAL DE CALCULO 05'!K584</f>
        <v>0</v>
      </c>
      <c r="K584" s="82">
        <f t="shared" si="31"/>
        <v>0</v>
      </c>
      <c r="L584" s="82">
        <f t="shared" ref="L584:L652" si="32">J584+K584</f>
        <v>0</v>
      </c>
      <c r="M584" s="82">
        <f>'BOLETIM DE MEDIÇÃO 05'!G143</f>
        <v>2</v>
      </c>
      <c r="N584" s="86">
        <f t="shared" ref="N584:N652" si="33">M584-L584</f>
        <v>2</v>
      </c>
    </row>
    <row r="585" spans="2:14" ht="33.75" hidden="1" x14ac:dyDescent="0.25">
      <c r="B585" s="50" t="s">
        <v>387</v>
      </c>
      <c r="C585" s="66">
        <v>89985</v>
      </c>
      <c r="D585" s="53" t="s">
        <v>389</v>
      </c>
      <c r="E585" s="44" t="s">
        <v>166</v>
      </c>
      <c r="F585" s="312"/>
      <c r="G585" s="121"/>
      <c r="H585" s="69"/>
      <c r="I585" s="105"/>
      <c r="J585" s="99">
        <f>'BOLETIM DE MEDIÇÃO 05'!O144-'MEMORIAL DE CALCULO 05'!K585</f>
        <v>0</v>
      </c>
      <c r="K585" s="82">
        <f t="shared" si="31"/>
        <v>0</v>
      </c>
      <c r="L585" s="82">
        <f t="shared" si="32"/>
        <v>0</v>
      </c>
      <c r="M585" s="82">
        <f>'BOLETIM DE MEDIÇÃO 05'!G144</f>
        <v>6</v>
      </c>
      <c r="N585" s="86">
        <f t="shared" si="33"/>
        <v>6</v>
      </c>
    </row>
    <row r="586" spans="2:14" ht="33.75" hidden="1" x14ac:dyDescent="0.25">
      <c r="B586" s="50" t="s">
        <v>390</v>
      </c>
      <c r="C586" s="66">
        <v>102613</v>
      </c>
      <c r="D586" s="53" t="s">
        <v>392</v>
      </c>
      <c r="E586" s="44" t="s">
        <v>166</v>
      </c>
      <c r="F586" s="312"/>
      <c r="G586" s="121"/>
      <c r="H586" s="69"/>
      <c r="I586" s="105"/>
      <c r="J586" s="99">
        <f>'BOLETIM DE MEDIÇÃO 05'!O145-'MEMORIAL DE CALCULO 05'!K586</f>
        <v>0</v>
      </c>
      <c r="K586" s="82">
        <f t="shared" si="31"/>
        <v>0</v>
      </c>
      <c r="L586" s="82">
        <f t="shared" si="32"/>
        <v>0</v>
      </c>
      <c r="M586" s="82">
        <f>'BOLETIM DE MEDIÇÃO 05'!G145</f>
        <v>2</v>
      </c>
      <c r="N586" s="86">
        <f t="shared" si="33"/>
        <v>2</v>
      </c>
    </row>
    <row r="587" spans="2:14" ht="22.5" hidden="1" x14ac:dyDescent="0.25">
      <c r="B587" s="50" t="s">
        <v>393</v>
      </c>
      <c r="C587" s="66">
        <v>102609</v>
      </c>
      <c r="D587" s="53" t="s">
        <v>395</v>
      </c>
      <c r="E587" s="44" t="s">
        <v>166</v>
      </c>
      <c r="F587" s="312"/>
      <c r="G587" s="121"/>
      <c r="H587" s="69"/>
      <c r="I587" s="105"/>
      <c r="J587" s="99">
        <f>'BOLETIM DE MEDIÇÃO 05'!O146-'MEMORIAL DE CALCULO 05'!K587</f>
        <v>0</v>
      </c>
      <c r="K587" s="82">
        <f t="shared" si="31"/>
        <v>0</v>
      </c>
      <c r="L587" s="82">
        <f t="shared" si="32"/>
        <v>0</v>
      </c>
      <c r="M587" s="82">
        <f>'BOLETIM DE MEDIÇÃO 05'!G146</f>
        <v>2</v>
      </c>
      <c r="N587" s="86">
        <f t="shared" si="33"/>
        <v>2</v>
      </c>
    </row>
    <row r="588" spans="2:14" ht="22.5" hidden="1" x14ac:dyDescent="0.25">
      <c r="B588" s="50" t="s">
        <v>396</v>
      </c>
      <c r="C588" s="66">
        <v>94796</v>
      </c>
      <c r="D588" s="53" t="s">
        <v>398</v>
      </c>
      <c r="E588" s="44" t="s">
        <v>166</v>
      </c>
      <c r="F588" s="312"/>
      <c r="G588" s="121"/>
      <c r="H588" s="69"/>
      <c r="I588" s="105"/>
      <c r="J588" s="99">
        <f>'BOLETIM DE MEDIÇÃO 05'!O147-'MEMORIAL DE CALCULO 05'!K588</f>
        <v>0</v>
      </c>
      <c r="K588" s="82">
        <f t="shared" si="31"/>
        <v>0</v>
      </c>
      <c r="L588" s="82">
        <f t="shared" si="32"/>
        <v>0</v>
      </c>
      <c r="M588" s="82">
        <f>'BOLETIM DE MEDIÇÃO 05'!G147</f>
        <v>4</v>
      </c>
      <c r="N588" s="86">
        <f t="shared" si="33"/>
        <v>4</v>
      </c>
    </row>
    <row r="589" spans="2:14" ht="22.5" hidden="1" x14ac:dyDescent="0.25">
      <c r="B589" s="50" t="s">
        <v>399</v>
      </c>
      <c r="C589" s="66">
        <v>94491</v>
      </c>
      <c r="D589" s="53" t="s">
        <v>401</v>
      </c>
      <c r="E589" s="44" t="s">
        <v>166</v>
      </c>
      <c r="F589" s="312"/>
      <c r="G589" s="121"/>
      <c r="H589" s="69"/>
      <c r="I589" s="105"/>
      <c r="J589" s="99">
        <f>'BOLETIM DE MEDIÇÃO 05'!O148-'MEMORIAL DE CALCULO 05'!K589</f>
        <v>0</v>
      </c>
      <c r="K589" s="82">
        <f t="shared" si="31"/>
        <v>0</v>
      </c>
      <c r="L589" s="82">
        <f t="shared" si="32"/>
        <v>0</v>
      </c>
      <c r="M589" s="82">
        <f>'BOLETIM DE MEDIÇÃO 05'!G148</f>
        <v>4</v>
      </c>
      <c r="N589" s="86">
        <f t="shared" si="33"/>
        <v>4</v>
      </c>
    </row>
    <row r="590" spans="2:14" ht="22.5" hidden="1" x14ac:dyDescent="0.25">
      <c r="B590" s="50" t="s">
        <v>402</v>
      </c>
      <c r="C590" s="66">
        <v>94492</v>
      </c>
      <c r="D590" s="53" t="s">
        <v>404</v>
      </c>
      <c r="E590" s="44" t="s">
        <v>166</v>
      </c>
      <c r="F590" s="312"/>
      <c r="G590" s="121"/>
      <c r="H590" s="69"/>
      <c r="I590" s="105"/>
      <c r="J590" s="99">
        <f>'BOLETIM DE MEDIÇÃO 05'!O149-'MEMORIAL DE CALCULO 05'!K590</f>
        <v>0</v>
      </c>
      <c r="K590" s="82">
        <f t="shared" si="31"/>
        <v>0</v>
      </c>
      <c r="L590" s="82">
        <f t="shared" si="32"/>
        <v>0</v>
      </c>
      <c r="M590" s="82">
        <f>'BOLETIM DE MEDIÇÃO 05'!G149</f>
        <v>2</v>
      </c>
      <c r="N590" s="86">
        <f t="shared" si="33"/>
        <v>2</v>
      </c>
    </row>
    <row r="591" spans="2:14" ht="22.5" hidden="1" x14ac:dyDescent="0.25">
      <c r="B591" s="50" t="s">
        <v>405</v>
      </c>
      <c r="C591" s="66">
        <v>95675</v>
      </c>
      <c r="D591" s="53" t="s">
        <v>407</v>
      </c>
      <c r="E591" s="44" t="s">
        <v>166</v>
      </c>
      <c r="F591" s="312"/>
      <c r="G591" s="121"/>
      <c r="H591" s="69"/>
      <c r="I591" s="105"/>
      <c r="J591" s="99">
        <f>'BOLETIM DE MEDIÇÃO 05'!O150-'MEMORIAL DE CALCULO 05'!K591</f>
        <v>0</v>
      </c>
      <c r="K591" s="82">
        <f t="shared" si="31"/>
        <v>0</v>
      </c>
      <c r="L591" s="82">
        <f t="shared" si="32"/>
        <v>0</v>
      </c>
      <c r="M591" s="82">
        <f>'BOLETIM DE MEDIÇÃO 05'!G150</f>
        <v>1</v>
      </c>
      <c r="N591" s="86">
        <f t="shared" si="33"/>
        <v>1</v>
      </c>
    </row>
    <row r="592" spans="2:14" ht="45" hidden="1" x14ac:dyDescent="0.25">
      <c r="B592" s="50" t="s">
        <v>408</v>
      </c>
      <c r="C592" s="66">
        <v>97902</v>
      </c>
      <c r="D592" s="53" t="s">
        <v>410</v>
      </c>
      <c r="E592" s="44" t="s">
        <v>166</v>
      </c>
      <c r="F592" s="312"/>
      <c r="G592" s="121"/>
      <c r="H592" s="69"/>
      <c r="I592" s="105"/>
      <c r="J592" s="99">
        <f>'BOLETIM DE MEDIÇÃO 05'!O151-'MEMORIAL DE CALCULO 05'!K592</f>
        <v>0</v>
      </c>
      <c r="K592" s="82">
        <f t="shared" si="31"/>
        <v>0</v>
      </c>
      <c r="L592" s="82">
        <f t="shared" si="32"/>
        <v>0</v>
      </c>
      <c r="M592" s="82">
        <f>'BOLETIM DE MEDIÇÃO 05'!G151</f>
        <v>7</v>
      </c>
      <c r="N592" s="86">
        <f t="shared" si="33"/>
        <v>7</v>
      </c>
    </row>
    <row r="593" spans="2:14" ht="45" hidden="1" x14ac:dyDescent="0.25">
      <c r="B593" s="50" t="s">
        <v>411</v>
      </c>
      <c r="C593" s="66">
        <v>99258</v>
      </c>
      <c r="D593" s="53" t="s">
        <v>413</v>
      </c>
      <c r="E593" s="44" t="s">
        <v>166</v>
      </c>
      <c r="F593" s="312"/>
      <c r="G593" s="121"/>
      <c r="H593" s="69"/>
      <c r="I593" s="105"/>
      <c r="J593" s="99">
        <f>'BOLETIM DE MEDIÇÃO 05'!O152-'MEMORIAL DE CALCULO 05'!K593</f>
        <v>0</v>
      </c>
      <c r="K593" s="82">
        <f t="shared" si="31"/>
        <v>0</v>
      </c>
      <c r="L593" s="82">
        <f t="shared" si="32"/>
        <v>0</v>
      </c>
      <c r="M593" s="82">
        <f>'BOLETIM DE MEDIÇÃO 05'!G152</f>
        <v>1</v>
      </c>
      <c r="N593" s="86">
        <f t="shared" si="33"/>
        <v>1</v>
      </c>
    </row>
    <row r="594" spans="2:14" ht="33.75" hidden="1" x14ac:dyDescent="0.25">
      <c r="B594" s="50" t="s">
        <v>414</v>
      </c>
      <c r="C594" s="66">
        <v>89482</v>
      </c>
      <c r="D594" s="53" t="s">
        <v>416</v>
      </c>
      <c r="E594" s="44" t="s">
        <v>166</v>
      </c>
      <c r="F594" s="312"/>
      <c r="G594" s="121"/>
      <c r="H594" s="69"/>
      <c r="I594" s="105"/>
      <c r="J594" s="99">
        <f>'BOLETIM DE MEDIÇÃO 05'!O153-'MEMORIAL DE CALCULO 05'!K594</f>
        <v>0</v>
      </c>
      <c r="K594" s="82">
        <f t="shared" si="31"/>
        <v>0</v>
      </c>
      <c r="L594" s="82">
        <f t="shared" si="32"/>
        <v>0</v>
      </c>
      <c r="M594" s="82">
        <f>'BOLETIM DE MEDIÇÃO 05'!G153</f>
        <v>10</v>
      </c>
      <c r="N594" s="86">
        <f t="shared" si="33"/>
        <v>10</v>
      </c>
    </row>
    <row r="595" spans="2:14" ht="56.25" hidden="1" x14ac:dyDescent="0.25">
      <c r="B595" s="50" t="s">
        <v>417</v>
      </c>
      <c r="C595" s="66">
        <v>91792</v>
      </c>
      <c r="D595" s="53" t="s">
        <v>419</v>
      </c>
      <c r="E595" s="44" t="s">
        <v>37</v>
      </c>
      <c r="F595" s="312"/>
      <c r="G595" s="121"/>
      <c r="H595" s="69"/>
      <c r="I595" s="105"/>
      <c r="J595" s="99">
        <f>'BOLETIM DE MEDIÇÃO 05'!O154-'MEMORIAL DE CALCULO 05'!K595</f>
        <v>0</v>
      </c>
      <c r="K595" s="82">
        <f t="shared" si="31"/>
        <v>0</v>
      </c>
      <c r="L595" s="82">
        <f t="shared" si="32"/>
        <v>0</v>
      </c>
      <c r="M595" s="82">
        <f>'BOLETIM DE MEDIÇÃO 05'!G154</f>
        <v>38.85</v>
      </c>
      <c r="N595" s="86">
        <f t="shared" si="33"/>
        <v>38.85</v>
      </c>
    </row>
    <row r="596" spans="2:14" ht="56.25" hidden="1" x14ac:dyDescent="0.25">
      <c r="B596" s="50" t="s">
        <v>420</v>
      </c>
      <c r="C596" s="66">
        <v>91793</v>
      </c>
      <c r="D596" s="53" t="s">
        <v>422</v>
      </c>
      <c r="E596" s="44" t="s">
        <v>37</v>
      </c>
      <c r="F596" s="312"/>
      <c r="G596" s="121"/>
      <c r="H596" s="69"/>
      <c r="I596" s="105"/>
      <c r="J596" s="99">
        <f>'BOLETIM DE MEDIÇÃO 05'!O155-'MEMORIAL DE CALCULO 05'!K596</f>
        <v>0</v>
      </c>
      <c r="K596" s="82">
        <f t="shared" si="31"/>
        <v>0</v>
      </c>
      <c r="L596" s="82">
        <f t="shared" si="32"/>
        <v>0</v>
      </c>
      <c r="M596" s="82">
        <f>'BOLETIM DE MEDIÇÃO 05'!G155</f>
        <v>46.51</v>
      </c>
      <c r="N596" s="86">
        <f t="shared" si="33"/>
        <v>46.51</v>
      </c>
    </row>
    <row r="597" spans="2:14" ht="45" hidden="1" x14ac:dyDescent="0.25">
      <c r="B597" s="50" t="s">
        <v>423</v>
      </c>
      <c r="C597" s="66">
        <v>98107</v>
      </c>
      <c r="D597" s="53" t="s">
        <v>425</v>
      </c>
      <c r="E597" s="44" t="s">
        <v>166</v>
      </c>
      <c r="F597" s="312"/>
      <c r="G597" s="121"/>
      <c r="H597" s="69"/>
      <c r="I597" s="105"/>
      <c r="J597" s="99">
        <f>'BOLETIM DE MEDIÇÃO 05'!O156-'MEMORIAL DE CALCULO 05'!K597</f>
        <v>0</v>
      </c>
      <c r="K597" s="82">
        <f t="shared" si="31"/>
        <v>0</v>
      </c>
      <c r="L597" s="82">
        <f t="shared" si="32"/>
        <v>0</v>
      </c>
      <c r="M597" s="82">
        <f>'BOLETIM DE MEDIÇÃO 05'!G156</f>
        <v>1</v>
      </c>
      <c r="N597" s="86">
        <f t="shared" si="33"/>
        <v>1</v>
      </c>
    </row>
    <row r="598" spans="2:14" ht="56.25" hidden="1" x14ac:dyDescent="0.25">
      <c r="B598" s="50" t="s">
        <v>426</v>
      </c>
      <c r="C598" s="66">
        <v>91795</v>
      </c>
      <c r="D598" s="53" t="s">
        <v>428</v>
      </c>
      <c r="E598" s="44" t="s">
        <v>37</v>
      </c>
      <c r="F598" s="312"/>
      <c r="G598" s="121"/>
      <c r="H598" s="69"/>
      <c r="I598" s="105"/>
      <c r="J598" s="99">
        <f>'BOLETIM DE MEDIÇÃO 05'!O157-'MEMORIAL DE CALCULO 05'!K598</f>
        <v>0</v>
      </c>
      <c r="K598" s="82">
        <f t="shared" si="31"/>
        <v>0</v>
      </c>
      <c r="L598" s="82">
        <f t="shared" si="32"/>
        <v>0</v>
      </c>
      <c r="M598" s="82">
        <f>'BOLETIM DE MEDIÇÃO 05'!G157</f>
        <v>132.77000000000001</v>
      </c>
      <c r="N598" s="86">
        <f t="shared" si="33"/>
        <v>132.77000000000001</v>
      </c>
    </row>
    <row r="599" spans="2:14" ht="45" hidden="1" x14ac:dyDescent="0.25">
      <c r="B599" s="50" t="s">
        <v>429</v>
      </c>
      <c r="C599" s="68">
        <v>99251</v>
      </c>
      <c r="D599" s="67" t="s">
        <v>431</v>
      </c>
      <c r="E599" s="44" t="s">
        <v>166</v>
      </c>
      <c r="F599" s="312"/>
      <c r="G599" s="121"/>
      <c r="H599" s="69"/>
      <c r="I599" s="105"/>
      <c r="J599" s="99">
        <f>'BOLETIM DE MEDIÇÃO 05'!O158-'MEMORIAL DE CALCULO 05'!K599</f>
        <v>0</v>
      </c>
      <c r="K599" s="82">
        <f t="shared" si="31"/>
        <v>0</v>
      </c>
      <c r="L599" s="82">
        <f t="shared" si="32"/>
        <v>0</v>
      </c>
      <c r="M599" s="82">
        <f>'BOLETIM DE MEDIÇÃO 05'!G158</f>
        <v>2</v>
      </c>
      <c r="N599" s="86">
        <f t="shared" si="33"/>
        <v>2</v>
      </c>
    </row>
    <row r="600" spans="2:14" ht="56.25" hidden="1" x14ac:dyDescent="0.25">
      <c r="B600" s="50" t="s">
        <v>432</v>
      </c>
      <c r="C600" s="68">
        <v>91790</v>
      </c>
      <c r="D600" s="67" t="s">
        <v>434</v>
      </c>
      <c r="E600" s="44" t="s">
        <v>37</v>
      </c>
      <c r="F600" s="312"/>
      <c r="G600" s="121"/>
      <c r="H600" s="69"/>
      <c r="I600" s="105"/>
      <c r="J600" s="99">
        <f>'BOLETIM DE MEDIÇÃO 05'!O159-'MEMORIAL DE CALCULO 05'!K600</f>
        <v>0</v>
      </c>
      <c r="K600" s="82">
        <f t="shared" si="31"/>
        <v>0</v>
      </c>
      <c r="L600" s="82">
        <f t="shared" si="32"/>
        <v>0</v>
      </c>
      <c r="M600" s="82">
        <f>'BOLETIM DE MEDIÇÃO 05'!G159</f>
        <v>43.01</v>
      </c>
      <c r="N600" s="86">
        <f t="shared" si="33"/>
        <v>43.01</v>
      </c>
    </row>
    <row r="601" spans="2:14" ht="14.45" hidden="1" customHeight="1" x14ac:dyDescent="0.25">
      <c r="B601" s="51">
        <v>1.1399999999999999</v>
      </c>
      <c r="C601" s="65" t="s">
        <v>436</v>
      </c>
      <c r="D601" s="53"/>
      <c r="E601" s="44"/>
      <c r="F601" s="130"/>
      <c r="G601" s="121"/>
      <c r="H601" s="70"/>
      <c r="I601" s="105"/>
      <c r="J601" s="99"/>
      <c r="K601" s="82">
        <f t="shared" si="31"/>
        <v>0</v>
      </c>
      <c r="L601" s="82"/>
      <c r="M601" s="82"/>
      <c r="N601" s="86"/>
    </row>
    <row r="602" spans="2:14" ht="22.5" hidden="1" x14ac:dyDescent="0.25">
      <c r="B602" s="50" t="s">
        <v>437</v>
      </c>
      <c r="C602" s="59" t="s">
        <v>438</v>
      </c>
      <c r="D602" s="53" t="s">
        <v>439</v>
      </c>
      <c r="E602" s="44" t="s">
        <v>17</v>
      </c>
      <c r="F602" s="130"/>
      <c r="G602" s="121"/>
      <c r="H602" s="70"/>
      <c r="I602" s="105"/>
      <c r="J602" s="99">
        <f>'BOLETIM DE MEDIÇÃO 05'!O161-'MEMORIAL DE CALCULO 05'!K602</f>
        <v>0</v>
      </c>
      <c r="K602" s="82">
        <f t="shared" si="31"/>
        <v>0</v>
      </c>
      <c r="L602" s="82">
        <f t="shared" si="32"/>
        <v>0</v>
      </c>
      <c r="M602" s="82">
        <f>'BOLETIM DE MEDIÇÃO 05'!G161</f>
        <v>14.07</v>
      </c>
      <c r="N602" s="86">
        <f t="shared" si="33"/>
        <v>14.07</v>
      </c>
    </row>
    <row r="603" spans="2:14" ht="33.75" hidden="1" x14ac:dyDescent="0.25">
      <c r="B603" s="50" t="s">
        <v>440</v>
      </c>
      <c r="C603" s="68">
        <v>86906</v>
      </c>
      <c r="D603" s="67" t="s">
        <v>442</v>
      </c>
      <c r="E603" s="44" t="s">
        <v>166</v>
      </c>
      <c r="F603" s="313"/>
      <c r="G603" s="121"/>
      <c r="H603" s="44"/>
      <c r="I603" s="105"/>
      <c r="J603" s="99">
        <f>'BOLETIM DE MEDIÇÃO 05'!O162-'MEMORIAL DE CALCULO 05'!K603</f>
        <v>0</v>
      </c>
      <c r="K603" s="82">
        <f t="shared" si="31"/>
        <v>0</v>
      </c>
      <c r="L603" s="82">
        <f t="shared" si="32"/>
        <v>0</v>
      </c>
      <c r="M603" s="82">
        <f>'BOLETIM DE MEDIÇÃO 05'!G162</f>
        <v>10</v>
      </c>
      <c r="N603" s="86">
        <f t="shared" si="33"/>
        <v>10</v>
      </c>
    </row>
    <row r="604" spans="2:14" ht="33.75" hidden="1" x14ac:dyDescent="0.25">
      <c r="B604" s="50" t="s">
        <v>443</v>
      </c>
      <c r="C604" s="66">
        <v>86911</v>
      </c>
      <c r="D604" s="53" t="s">
        <v>445</v>
      </c>
      <c r="E604" s="44" t="s">
        <v>166</v>
      </c>
      <c r="F604" s="130"/>
      <c r="G604" s="121"/>
      <c r="H604" s="70"/>
      <c r="I604" s="105"/>
      <c r="J604" s="99">
        <f>'BOLETIM DE MEDIÇÃO 05'!O163-'MEMORIAL DE CALCULO 05'!K604</f>
        <v>0</v>
      </c>
      <c r="K604" s="82">
        <f t="shared" si="31"/>
        <v>0</v>
      </c>
      <c r="L604" s="82">
        <f t="shared" si="32"/>
        <v>0</v>
      </c>
      <c r="M604" s="82">
        <f>'BOLETIM DE MEDIÇÃO 05'!G163</f>
        <v>3</v>
      </c>
      <c r="N604" s="86">
        <f t="shared" si="33"/>
        <v>3</v>
      </c>
    </row>
    <row r="605" spans="2:14" ht="33.75" hidden="1" x14ac:dyDescent="0.25">
      <c r="B605" s="50" t="s">
        <v>446</v>
      </c>
      <c r="C605" s="66">
        <v>10428</v>
      </c>
      <c r="D605" s="53" t="s">
        <v>448</v>
      </c>
      <c r="E605" s="44" t="s">
        <v>166</v>
      </c>
      <c r="F605" s="130"/>
      <c r="G605" s="121"/>
      <c r="H605" s="70"/>
      <c r="I605" s="105"/>
      <c r="J605" s="99">
        <f>'BOLETIM DE MEDIÇÃO 05'!O164-'MEMORIAL DE CALCULO 05'!K605</f>
        <v>0</v>
      </c>
      <c r="K605" s="82">
        <f t="shared" si="31"/>
        <v>0</v>
      </c>
      <c r="L605" s="82">
        <f t="shared" si="32"/>
        <v>0</v>
      </c>
      <c r="M605" s="82">
        <f>'BOLETIM DE MEDIÇÃO 05'!G164</f>
        <v>8</v>
      </c>
      <c r="N605" s="86">
        <f t="shared" si="33"/>
        <v>8</v>
      </c>
    </row>
    <row r="606" spans="2:14" ht="45" hidden="1" x14ac:dyDescent="0.25">
      <c r="B606" s="50" t="s">
        <v>449</v>
      </c>
      <c r="C606" s="66">
        <v>86932</v>
      </c>
      <c r="D606" s="53" t="s">
        <v>451</v>
      </c>
      <c r="E606" s="44" t="s">
        <v>166</v>
      </c>
      <c r="F606" s="130"/>
      <c r="G606" s="121"/>
      <c r="H606" s="70"/>
      <c r="I606" s="105"/>
      <c r="J606" s="99">
        <f>'BOLETIM DE MEDIÇÃO 05'!O165-'MEMORIAL DE CALCULO 05'!K606</f>
        <v>0</v>
      </c>
      <c r="K606" s="82">
        <f t="shared" si="31"/>
        <v>0</v>
      </c>
      <c r="L606" s="82">
        <f t="shared" si="32"/>
        <v>0</v>
      </c>
      <c r="M606" s="82">
        <f>'BOLETIM DE MEDIÇÃO 05'!G165</f>
        <v>9</v>
      </c>
      <c r="N606" s="86">
        <f t="shared" si="33"/>
        <v>9</v>
      </c>
    </row>
    <row r="607" spans="2:14" ht="45" hidden="1" x14ac:dyDescent="0.25">
      <c r="B607" s="50" t="s">
        <v>452</v>
      </c>
      <c r="C607" s="66">
        <v>86935</v>
      </c>
      <c r="D607" s="53" t="s">
        <v>454</v>
      </c>
      <c r="E607" s="44" t="s">
        <v>166</v>
      </c>
      <c r="F607" s="130"/>
      <c r="G607" s="121"/>
      <c r="H607" s="70"/>
      <c r="I607" s="105"/>
      <c r="J607" s="99">
        <f>'BOLETIM DE MEDIÇÃO 05'!O166-'MEMORIAL DE CALCULO 05'!K607</f>
        <v>0</v>
      </c>
      <c r="K607" s="82">
        <f t="shared" si="31"/>
        <v>0</v>
      </c>
      <c r="L607" s="82">
        <f t="shared" si="32"/>
        <v>0</v>
      </c>
      <c r="M607" s="82">
        <f>'BOLETIM DE MEDIÇÃO 05'!G166</f>
        <v>2</v>
      </c>
      <c r="N607" s="86">
        <f t="shared" si="33"/>
        <v>2</v>
      </c>
    </row>
    <row r="608" spans="2:14" ht="33.75" hidden="1" x14ac:dyDescent="0.25">
      <c r="B608" s="50" t="s">
        <v>455</v>
      </c>
      <c r="C608" s="66">
        <v>100868</v>
      </c>
      <c r="D608" s="53" t="s">
        <v>457</v>
      </c>
      <c r="E608" s="44" t="s">
        <v>166</v>
      </c>
      <c r="F608" s="130"/>
      <c r="G608" s="121"/>
      <c r="H608" s="70"/>
      <c r="I608" s="105"/>
      <c r="J608" s="99">
        <f>'BOLETIM DE MEDIÇÃO 05'!O167-'MEMORIAL DE CALCULO 05'!K608</f>
        <v>0</v>
      </c>
      <c r="K608" s="82">
        <f t="shared" si="31"/>
        <v>0</v>
      </c>
      <c r="L608" s="82">
        <f t="shared" si="32"/>
        <v>0</v>
      </c>
      <c r="M608" s="82">
        <f>'BOLETIM DE MEDIÇÃO 05'!G167</f>
        <v>2</v>
      </c>
      <c r="N608" s="86">
        <f t="shared" si="33"/>
        <v>2</v>
      </c>
    </row>
    <row r="609" spans="2:14" ht="56.25" hidden="1" x14ac:dyDescent="0.25">
      <c r="B609" s="50" t="s">
        <v>458</v>
      </c>
      <c r="C609" s="66">
        <v>86942</v>
      </c>
      <c r="D609" s="53" t="s">
        <v>460</v>
      </c>
      <c r="E609" s="44" t="s">
        <v>166</v>
      </c>
      <c r="F609" s="130"/>
      <c r="G609" s="121"/>
      <c r="H609" s="70"/>
      <c r="I609" s="105"/>
      <c r="J609" s="99">
        <f>'BOLETIM DE MEDIÇÃO 05'!O168-'MEMORIAL DE CALCULO 05'!K609</f>
        <v>0</v>
      </c>
      <c r="K609" s="82">
        <f t="shared" si="31"/>
        <v>0</v>
      </c>
      <c r="L609" s="82">
        <f t="shared" si="32"/>
        <v>0</v>
      </c>
      <c r="M609" s="82">
        <f>'BOLETIM DE MEDIÇÃO 05'!G168</f>
        <v>1</v>
      </c>
      <c r="N609" s="86">
        <f t="shared" si="33"/>
        <v>1</v>
      </c>
    </row>
    <row r="610" spans="2:14" ht="56.25" hidden="1" x14ac:dyDescent="0.25">
      <c r="B610" s="50" t="s">
        <v>461</v>
      </c>
      <c r="C610" s="66">
        <v>86923</v>
      </c>
      <c r="D610" s="53" t="s">
        <v>463</v>
      </c>
      <c r="E610" s="44" t="s">
        <v>166</v>
      </c>
      <c r="F610" s="130"/>
      <c r="G610" s="121"/>
      <c r="H610" s="70"/>
      <c r="I610" s="105"/>
      <c r="J610" s="99">
        <f>'BOLETIM DE MEDIÇÃO 05'!O169-'MEMORIAL DE CALCULO 05'!K610</f>
        <v>0</v>
      </c>
      <c r="K610" s="82">
        <f t="shared" si="31"/>
        <v>0</v>
      </c>
      <c r="L610" s="82">
        <f t="shared" si="32"/>
        <v>0</v>
      </c>
      <c r="M610" s="82">
        <f>'BOLETIM DE MEDIÇÃO 05'!G169</f>
        <v>1</v>
      </c>
      <c r="N610" s="86">
        <f t="shared" si="33"/>
        <v>1</v>
      </c>
    </row>
    <row r="611" spans="2:14" ht="45" hidden="1" x14ac:dyDescent="0.25">
      <c r="B611" s="50" t="s">
        <v>464</v>
      </c>
      <c r="C611" s="66">
        <v>95472</v>
      </c>
      <c r="D611" s="53" t="s">
        <v>466</v>
      </c>
      <c r="E611" s="44" t="s">
        <v>166</v>
      </c>
      <c r="F611" s="130"/>
      <c r="G611" s="121"/>
      <c r="H611" s="70"/>
      <c r="I611" s="105"/>
      <c r="J611" s="99">
        <f>'BOLETIM DE MEDIÇÃO 05'!O170-'MEMORIAL DE CALCULO 05'!K611</f>
        <v>0</v>
      </c>
      <c r="K611" s="82">
        <f t="shared" si="31"/>
        <v>0</v>
      </c>
      <c r="L611" s="82">
        <f t="shared" si="32"/>
        <v>0</v>
      </c>
      <c r="M611" s="82">
        <f>'BOLETIM DE MEDIÇÃO 05'!G170</f>
        <v>1</v>
      </c>
      <c r="N611" s="86">
        <f t="shared" si="33"/>
        <v>1</v>
      </c>
    </row>
    <row r="612" spans="2:14" ht="33.75" hidden="1" x14ac:dyDescent="0.25">
      <c r="B612" s="50" t="s">
        <v>467</v>
      </c>
      <c r="C612" s="66">
        <v>102253</v>
      </c>
      <c r="D612" s="53" t="s">
        <v>469</v>
      </c>
      <c r="E612" s="44" t="s">
        <v>17</v>
      </c>
      <c r="F612" s="130"/>
      <c r="G612" s="121"/>
      <c r="H612" s="70"/>
      <c r="I612" s="105"/>
      <c r="J612" s="99">
        <f>'BOLETIM DE MEDIÇÃO 05'!O171-'MEMORIAL DE CALCULO 05'!K612</f>
        <v>0</v>
      </c>
      <c r="K612" s="82">
        <f t="shared" si="31"/>
        <v>0</v>
      </c>
      <c r="L612" s="82">
        <f t="shared" si="32"/>
        <v>0</v>
      </c>
      <c r="M612" s="82">
        <f>'BOLETIM DE MEDIÇÃO 05'!G171</f>
        <v>33.92</v>
      </c>
      <c r="N612" s="86">
        <f t="shared" si="33"/>
        <v>33.92</v>
      </c>
    </row>
    <row r="613" spans="2:14" ht="22.5" hidden="1" x14ac:dyDescent="0.25">
      <c r="B613" s="50" t="s">
        <v>470</v>
      </c>
      <c r="C613" s="66">
        <v>100860</v>
      </c>
      <c r="D613" s="53" t="s">
        <v>472</v>
      </c>
      <c r="E613" s="44" t="s">
        <v>166</v>
      </c>
      <c r="F613" s="130"/>
      <c r="G613" s="121"/>
      <c r="H613" s="70"/>
      <c r="I613" s="105"/>
      <c r="J613" s="99">
        <f>'BOLETIM DE MEDIÇÃO 05'!O172-'MEMORIAL DE CALCULO 05'!K613</f>
        <v>0</v>
      </c>
      <c r="K613" s="82">
        <f t="shared" si="31"/>
        <v>0</v>
      </c>
      <c r="L613" s="82">
        <f t="shared" si="32"/>
        <v>0</v>
      </c>
      <c r="M613" s="82">
        <f>'BOLETIM DE MEDIÇÃO 05'!G172</f>
        <v>4</v>
      </c>
      <c r="N613" s="86">
        <f t="shared" si="33"/>
        <v>4</v>
      </c>
    </row>
    <row r="614" spans="2:14" ht="14.45" customHeight="1" x14ac:dyDescent="0.25">
      <c r="B614" s="51">
        <v>1.1499999999999999</v>
      </c>
      <c r="C614" s="65" t="s">
        <v>474</v>
      </c>
      <c r="D614" s="53"/>
      <c r="E614" s="44"/>
      <c r="F614" s="130"/>
      <c r="G614" s="469"/>
      <c r="H614" s="469"/>
      <c r="I614" s="470"/>
      <c r="J614" s="99"/>
      <c r="K614" s="81"/>
      <c r="L614" s="82"/>
      <c r="M614" s="82"/>
      <c r="N614" s="86"/>
    </row>
    <row r="615" spans="2:14" ht="33.75" hidden="1" x14ac:dyDescent="0.25">
      <c r="B615" s="50" t="s">
        <v>475</v>
      </c>
      <c r="C615" s="66">
        <v>99059</v>
      </c>
      <c r="D615" s="53" t="s">
        <v>36</v>
      </c>
      <c r="E615" s="44" t="s">
        <v>37</v>
      </c>
      <c r="F615" s="95">
        <v>1</v>
      </c>
      <c r="G615" s="106">
        <v>130.85</v>
      </c>
      <c r="H615" s="70"/>
      <c r="I615" s="105"/>
      <c r="J615" s="99">
        <f>'BOLETIM DE MEDIÇÃO 05'!O174-'MEMORIAL DE CALCULO 05'!K615</f>
        <v>0</v>
      </c>
      <c r="K615" s="81">
        <f>F615*G615</f>
        <v>130.85</v>
      </c>
      <c r="L615" s="82">
        <f t="shared" si="32"/>
        <v>130.85</v>
      </c>
      <c r="M615" s="82">
        <f>'BOLETIM DE MEDIÇÃO 05'!G174</f>
        <v>130.85</v>
      </c>
      <c r="N615" s="86">
        <f t="shared" si="33"/>
        <v>0</v>
      </c>
    </row>
    <row r="616" spans="2:14" ht="22.5" hidden="1" x14ac:dyDescent="0.25">
      <c r="B616" s="50" t="s">
        <v>476</v>
      </c>
      <c r="C616" s="66">
        <v>93358</v>
      </c>
      <c r="D616" s="53" t="s">
        <v>40</v>
      </c>
      <c r="E616" s="44" t="s">
        <v>41</v>
      </c>
      <c r="F616" s="95"/>
      <c r="G616" s="106"/>
      <c r="H616" s="70"/>
      <c r="I616" s="105"/>
      <c r="J616" s="99">
        <f>'BOLETIM DE MEDIÇÃO 05'!O175-'MEMORIAL DE CALCULO 05'!K616</f>
        <v>3.9520000000052846E-3</v>
      </c>
      <c r="K616" s="81">
        <f>SUM(K617:K618)</f>
        <v>32.676047999999994</v>
      </c>
      <c r="L616" s="82">
        <f t="shared" si="32"/>
        <v>32.68</v>
      </c>
      <c r="M616" s="82">
        <f>'BOLETIM DE MEDIÇÃO 05'!G175</f>
        <v>32.68</v>
      </c>
      <c r="N616" s="86">
        <f t="shared" si="33"/>
        <v>0</v>
      </c>
    </row>
    <row r="617" spans="2:14" hidden="1" x14ac:dyDescent="0.25">
      <c r="B617" s="50"/>
      <c r="C617" s="66"/>
      <c r="D617" s="118" t="s">
        <v>577</v>
      </c>
      <c r="E617" s="44"/>
      <c r="F617" s="95">
        <v>43</v>
      </c>
      <c r="G617" s="106">
        <v>0.6</v>
      </c>
      <c r="H617" s="70">
        <v>0.6</v>
      </c>
      <c r="I617" s="105">
        <v>1.3501000000000001</v>
      </c>
      <c r="J617" s="99"/>
      <c r="K617" s="82">
        <f>F617*(G617*H617*I617)</f>
        <v>20.899547999999999</v>
      </c>
      <c r="L617" s="82"/>
      <c r="M617" s="82"/>
      <c r="N617" s="86"/>
    </row>
    <row r="618" spans="2:14" hidden="1" x14ac:dyDescent="0.25">
      <c r="B618" s="50"/>
      <c r="C618" s="66"/>
      <c r="D618" s="118" t="s">
        <v>578</v>
      </c>
      <c r="E618" s="44"/>
      <c r="F618" s="95">
        <v>1</v>
      </c>
      <c r="G618" s="106">
        <v>130.85</v>
      </c>
      <c r="H618" s="70">
        <v>0.3</v>
      </c>
      <c r="I618" s="105">
        <v>0.3</v>
      </c>
      <c r="J618" s="99"/>
      <c r="K618" s="82">
        <f>F618*(G618*H618*I618)</f>
        <v>11.776499999999999</v>
      </c>
      <c r="L618" s="82"/>
      <c r="M618" s="82"/>
      <c r="N618" s="86"/>
    </row>
    <row r="619" spans="2:14" ht="22.5" hidden="1" x14ac:dyDescent="0.25">
      <c r="B619" s="50" t="s">
        <v>477</v>
      </c>
      <c r="C619" s="66">
        <v>96995</v>
      </c>
      <c r="D619" s="53" t="s">
        <v>44</v>
      </c>
      <c r="E619" s="44" t="s">
        <v>41</v>
      </c>
      <c r="F619" s="95"/>
      <c r="G619" s="106"/>
      <c r="H619" s="70"/>
      <c r="I619" s="105"/>
      <c r="J619" s="99">
        <f>'BOLETIM DE MEDIÇÃO 05'!O176-'MEMORIAL DE CALCULO 05'!K619</f>
        <v>0</v>
      </c>
      <c r="K619" s="81">
        <f>G620</f>
        <v>11.01</v>
      </c>
      <c r="L619" s="82">
        <f t="shared" si="32"/>
        <v>11.01</v>
      </c>
      <c r="M619" s="82">
        <f>'BOLETIM DE MEDIÇÃO 05'!G176</f>
        <v>11.01</v>
      </c>
      <c r="N619" s="86">
        <f t="shared" si="33"/>
        <v>0</v>
      </c>
    </row>
    <row r="620" spans="2:14" hidden="1" x14ac:dyDescent="0.25">
      <c r="B620" s="50"/>
      <c r="C620" s="66"/>
      <c r="D620" s="118" t="s">
        <v>708</v>
      </c>
      <c r="E620" s="44"/>
      <c r="F620" s="95">
        <v>1</v>
      </c>
      <c r="G620" s="468">
        <v>11.01</v>
      </c>
      <c r="H620" s="469"/>
      <c r="I620" s="470"/>
      <c r="J620" s="99"/>
      <c r="K620" s="81"/>
      <c r="L620" s="82"/>
      <c r="M620" s="82"/>
      <c r="N620" s="86"/>
    </row>
    <row r="621" spans="2:14" hidden="1" x14ac:dyDescent="0.25">
      <c r="B621" s="50"/>
      <c r="C621" s="66"/>
      <c r="D621" s="118"/>
      <c r="E621" s="44"/>
      <c r="F621" s="95"/>
      <c r="G621" s="106"/>
      <c r="H621" s="70"/>
      <c r="I621" s="105"/>
      <c r="J621" s="99"/>
      <c r="K621" s="81"/>
      <c r="L621" s="82"/>
      <c r="M621" s="82"/>
      <c r="N621" s="86"/>
    </row>
    <row r="622" spans="2:14" ht="22.5" x14ac:dyDescent="0.25">
      <c r="B622" s="50" t="s">
        <v>478</v>
      </c>
      <c r="C622" s="166">
        <v>93205</v>
      </c>
      <c r="D622" s="53" t="s">
        <v>480</v>
      </c>
      <c r="E622" s="44" t="s">
        <v>37</v>
      </c>
      <c r="F622" s="95"/>
      <c r="G622" s="468"/>
      <c r="H622" s="469"/>
      <c r="I622" s="470"/>
      <c r="J622" s="99">
        <f>'BOLETIM DE MEDIÇÃO 05'!O177-K622</f>
        <v>110.07</v>
      </c>
      <c r="K622" s="81">
        <f>G624*F624</f>
        <v>134.43</v>
      </c>
      <c r="L622" s="82">
        <f t="shared" si="32"/>
        <v>244.5</v>
      </c>
      <c r="M622" s="82">
        <f>'BOLETIM DE MEDIÇÃO 05'!G177</f>
        <v>244.5</v>
      </c>
      <c r="N622" s="86">
        <f t="shared" si="33"/>
        <v>0</v>
      </c>
    </row>
    <row r="623" spans="2:14" hidden="1" x14ac:dyDescent="0.25">
      <c r="B623" s="50"/>
      <c r="C623" s="166"/>
      <c r="D623" s="187" t="s">
        <v>785</v>
      </c>
      <c r="E623" s="44"/>
      <c r="F623" s="95">
        <v>1</v>
      </c>
      <c r="G623" s="468">
        <v>67.27</v>
      </c>
      <c r="H623" s="469"/>
      <c r="I623" s="470"/>
      <c r="J623" s="99">
        <f>'BOLETIM DE MEDIÇÃO 05'!O175-'MEMORIAL DE CALCULO 05'!K623</f>
        <v>32.68</v>
      </c>
      <c r="K623" s="81"/>
      <c r="L623" s="82"/>
      <c r="M623" s="82"/>
      <c r="N623" s="86"/>
    </row>
    <row r="624" spans="2:14" x14ac:dyDescent="0.25">
      <c r="B624" s="50"/>
      <c r="C624" s="166"/>
      <c r="D624" s="187" t="s">
        <v>785</v>
      </c>
      <c r="E624" s="44"/>
      <c r="F624" s="95">
        <v>1</v>
      </c>
      <c r="G624" s="468">
        <v>134.43</v>
      </c>
      <c r="H624" s="469"/>
      <c r="I624" s="470"/>
      <c r="J624" s="99"/>
      <c r="K624" s="81"/>
      <c r="L624" s="82"/>
      <c r="M624" s="82"/>
      <c r="N624" s="86"/>
    </row>
    <row r="625" spans="1:14" ht="22.5" hidden="1" x14ac:dyDescent="0.25">
      <c r="B625" s="50" t="s">
        <v>481</v>
      </c>
      <c r="C625" s="166">
        <v>101616</v>
      </c>
      <c r="D625" s="53" t="s">
        <v>55</v>
      </c>
      <c r="E625" s="44" t="s">
        <v>17</v>
      </c>
      <c r="F625" s="95">
        <v>8</v>
      </c>
      <c r="G625" s="106">
        <v>0.6</v>
      </c>
      <c r="H625" s="70">
        <v>0.6</v>
      </c>
      <c r="I625" s="105"/>
      <c r="J625" s="99">
        <f>'BOLETIM DE MEDIÇÃO 05'!O177-'MEMORIAL DE CALCULO 05'!K625</f>
        <v>241.62</v>
      </c>
      <c r="K625" s="81">
        <f>(F625*G625*H625)</f>
        <v>2.88</v>
      </c>
      <c r="L625" s="82">
        <f t="shared" si="32"/>
        <v>244.5</v>
      </c>
      <c r="M625" s="82">
        <f>'BOLETIM DE MEDIÇÃO 05'!G178</f>
        <v>15.48</v>
      </c>
      <c r="N625" s="86">
        <f t="shared" si="33"/>
        <v>-229.02</v>
      </c>
    </row>
    <row r="626" spans="1:14" ht="33.75" hidden="1" x14ac:dyDescent="0.25">
      <c r="B626" s="50" t="s">
        <v>482</v>
      </c>
      <c r="C626" s="166">
        <v>96619</v>
      </c>
      <c r="D626" s="53" t="s">
        <v>58</v>
      </c>
      <c r="E626" s="44" t="s">
        <v>17</v>
      </c>
      <c r="F626" s="95">
        <v>8</v>
      </c>
      <c r="G626" s="106">
        <v>0.6</v>
      </c>
      <c r="H626" s="70">
        <v>0.6</v>
      </c>
      <c r="I626" s="105"/>
      <c r="J626" s="99">
        <f>'BOLETIM DE MEDIÇÃO 05'!O178-'MEMORIAL DE CALCULO 05'!K626</f>
        <v>12.600000000000001</v>
      </c>
      <c r="K626" s="81">
        <f>(F626*G626*H626)</f>
        <v>2.88</v>
      </c>
      <c r="L626" s="82">
        <f t="shared" si="32"/>
        <v>15.48</v>
      </c>
      <c r="M626" s="82">
        <f>'BOLETIM DE MEDIÇÃO 05'!G179</f>
        <v>15.48</v>
      </c>
      <c r="N626" s="86">
        <f t="shared" si="33"/>
        <v>0</v>
      </c>
    </row>
    <row r="627" spans="1:14" ht="22.5" hidden="1" x14ac:dyDescent="0.25">
      <c r="B627" s="50" t="s">
        <v>483</v>
      </c>
      <c r="C627" s="166">
        <v>96545</v>
      </c>
      <c r="D627" s="67" t="s">
        <v>61</v>
      </c>
      <c r="E627" s="44" t="s">
        <v>62</v>
      </c>
      <c r="F627" s="95"/>
      <c r="G627" s="106"/>
      <c r="H627" s="44"/>
      <c r="I627" s="105"/>
      <c r="J627" s="99">
        <f>'BOLETIM DE MEDIÇÃO 05'!O179-'MEMORIAL DE CALCULO 05'!K627</f>
        <v>-17.95</v>
      </c>
      <c r="K627" s="81">
        <f>G628</f>
        <v>33.43</v>
      </c>
      <c r="L627" s="82">
        <f t="shared" si="32"/>
        <v>15.48</v>
      </c>
      <c r="M627" s="82">
        <f>'BOLETIM DE MEDIÇÃO 05'!G180</f>
        <v>167.13</v>
      </c>
      <c r="N627" s="86">
        <f t="shared" si="33"/>
        <v>151.65</v>
      </c>
    </row>
    <row r="628" spans="1:14" ht="22.5" hidden="1" x14ac:dyDescent="0.25">
      <c r="B628" s="50"/>
      <c r="C628" s="166"/>
      <c r="D628" s="117" t="s">
        <v>709</v>
      </c>
      <c r="E628" s="44"/>
      <c r="F628" s="95">
        <v>1</v>
      </c>
      <c r="G628" s="106">
        <v>33.43</v>
      </c>
      <c r="H628" s="44"/>
      <c r="I628" s="105"/>
      <c r="J628" s="99">
        <f>'BOLETIM DE MEDIÇÃO 05'!O180-'MEMORIAL DE CALCULO 05'!K628</f>
        <v>167.13</v>
      </c>
      <c r="K628" s="81"/>
      <c r="L628" s="82"/>
      <c r="M628" s="82"/>
      <c r="N628" s="86"/>
    </row>
    <row r="629" spans="1:14" ht="33.75" x14ac:dyDescent="0.25">
      <c r="B629" s="50" t="s">
        <v>484</v>
      </c>
      <c r="C629" s="166">
        <v>94966</v>
      </c>
      <c r="D629" s="67" t="s">
        <v>65</v>
      </c>
      <c r="E629" s="44" t="s">
        <v>41</v>
      </c>
      <c r="F629" s="95"/>
      <c r="G629" s="352"/>
      <c r="H629" s="353"/>
      <c r="I629" s="246"/>
      <c r="J629" s="99">
        <f>'BOLETIM DE MEDIÇÃO 05'!O181-'MEMORIAL DE CALCULO 05'!K629</f>
        <v>9.474400000000001</v>
      </c>
      <c r="K629" s="81">
        <f>K630</f>
        <v>0.41560999999999998</v>
      </c>
      <c r="L629" s="82">
        <f t="shared" si="32"/>
        <v>9.8900100000000002</v>
      </c>
      <c r="M629" s="82">
        <f>'BOLETIM DE MEDIÇÃO 05'!G181</f>
        <v>9.89</v>
      </c>
      <c r="N629" s="86">
        <f>M629-L629</f>
        <v>-9.9999999996214228E-6</v>
      </c>
    </row>
    <row r="630" spans="1:14" x14ac:dyDescent="0.25">
      <c r="B630" s="50"/>
      <c r="C630" s="166"/>
      <c r="D630" s="319" t="s">
        <v>932</v>
      </c>
      <c r="E630" s="189"/>
      <c r="F630" s="190">
        <v>1</v>
      </c>
      <c r="G630" s="531">
        <v>0.41560999999999998</v>
      </c>
      <c r="H630" s="552"/>
      <c r="I630" s="553"/>
      <c r="J630" s="99"/>
      <c r="K630" s="81">
        <f>G630*F630</f>
        <v>0.41560999999999998</v>
      </c>
      <c r="L630" s="82"/>
      <c r="M630" s="82"/>
      <c r="N630" s="86"/>
    </row>
    <row r="631" spans="1:14" ht="45" hidden="1" x14ac:dyDescent="0.25">
      <c r="B631" s="50" t="s">
        <v>485</v>
      </c>
      <c r="C631" s="166">
        <v>103800</v>
      </c>
      <c r="D631" s="53" t="s">
        <v>487</v>
      </c>
      <c r="E631" s="44" t="s">
        <v>41</v>
      </c>
      <c r="F631" s="95">
        <v>1</v>
      </c>
      <c r="G631" s="352">
        <v>120.88</v>
      </c>
      <c r="H631" s="289">
        <v>0.3</v>
      </c>
      <c r="I631" s="246">
        <v>0.3</v>
      </c>
      <c r="J631" s="99">
        <f>'BOLETIM DE MEDIÇÃO 05'!O182-'MEMORIAL DE CALCULO 05'!K631</f>
        <v>0.90080000000000204</v>
      </c>
      <c r="K631" s="81">
        <f>F631*(G631*H631*I631)</f>
        <v>10.879199999999999</v>
      </c>
      <c r="L631" s="82">
        <f t="shared" si="32"/>
        <v>11.780000000000001</v>
      </c>
      <c r="M631" s="82">
        <f>'BOLETIM DE MEDIÇÃO 05'!G182</f>
        <v>11.78</v>
      </c>
      <c r="N631" s="86">
        <f t="shared" si="33"/>
        <v>0</v>
      </c>
    </row>
    <row r="632" spans="1:14" ht="33.75" x14ac:dyDescent="0.25">
      <c r="B632" s="50" t="s">
        <v>488</v>
      </c>
      <c r="C632" s="166">
        <v>103670</v>
      </c>
      <c r="D632" s="53" t="s">
        <v>71</v>
      </c>
      <c r="E632" s="44" t="s">
        <v>41</v>
      </c>
      <c r="F632" s="95"/>
      <c r="G632" s="352"/>
      <c r="H632" s="289"/>
      <c r="I632" s="246"/>
      <c r="J632" s="99">
        <f>'BOLETIM DE MEDIÇÃO 05'!O183-'MEMORIAL DE CALCULO 05'!K632</f>
        <v>9.474400000000001</v>
      </c>
      <c r="K632" s="81">
        <f>G633</f>
        <v>0.41563</v>
      </c>
      <c r="L632" s="82">
        <f t="shared" si="32"/>
        <v>9.8900300000000012</v>
      </c>
      <c r="M632" s="82">
        <f>'BOLETIM DE MEDIÇÃO 05'!G183</f>
        <v>9.89</v>
      </c>
      <c r="N632" s="86">
        <f t="shared" si="33"/>
        <v>-3.0000000000640625E-5</v>
      </c>
    </row>
    <row r="633" spans="1:14" x14ac:dyDescent="0.25">
      <c r="B633" s="50"/>
      <c r="C633" s="166"/>
      <c r="D633" s="118" t="s">
        <v>581</v>
      </c>
      <c r="E633" s="44"/>
      <c r="F633" s="95">
        <v>1</v>
      </c>
      <c r="G633" s="531">
        <v>0.41563</v>
      </c>
      <c r="H633" s="552"/>
      <c r="I633" s="553"/>
      <c r="J633" s="99"/>
      <c r="K633" s="81"/>
      <c r="L633" s="82"/>
      <c r="M633" s="82"/>
      <c r="N633" s="86"/>
    </row>
    <row r="634" spans="1:14" s="167" customFormat="1" ht="22.5" x14ac:dyDescent="0.25">
      <c r="B634" s="50" t="s">
        <v>489</v>
      </c>
      <c r="C634" s="166">
        <v>96543</v>
      </c>
      <c r="D634" s="53" t="s">
        <v>74</v>
      </c>
      <c r="E634" s="44" t="s">
        <v>62</v>
      </c>
      <c r="F634" s="95"/>
      <c r="G634" s="352"/>
      <c r="H634" s="289"/>
      <c r="I634" s="246"/>
      <c r="J634" s="99">
        <f>'BOLETIM DE MEDIÇÃO 05'!O184-'MEMORIAL DE CALCULO 05'!K634</f>
        <v>153.58235199999996</v>
      </c>
      <c r="K634" s="81">
        <f>K635</f>
        <v>8.4384999999999994</v>
      </c>
      <c r="L634" s="82">
        <f>J634+K634</f>
        <v>162.02085199999996</v>
      </c>
      <c r="M634" s="82">
        <f>'BOLETIM DE MEDIÇÃO 05'!G184</f>
        <v>162.02000000000001</v>
      </c>
      <c r="N634" s="86">
        <f t="shared" si="33"/>
        <v>-8.5199999995211328E-4</v>
      </c>
    </row>
    <row r="635" spans="1:14" s="167" customFormat="1" x14ac:dyDescent="0.25">
      <c r="B635" s="50"/>
      <c r="C635" s="166"/>
      <c r="D635" s="319" t="s">
        <v>932</v>
      </c>
      <c r="E635" s="44"/>
      <c r="F635" s="130">
        <v>1</v>
      </c>
      <c r="G635" s="557">
        <v>8.4384999999999994</v>
      </c>
      <c r="H635" s="557"/>
      <c r="I635" s="558"/>
      <c r="J635" s="99"/>
      <c r="K635" s="81">
        <f>F635*G635</f>
        <v>8.4384999999999994</v>
      </c>
      <c r="L635" s="82"/>
      <c r="M635" s="82"/>
      <c r="N635" s="86"/>
    </row>
    <row r="636" spans="1:14" s="167" customFormat="1" ht="19.899999999999999" customHeight="1" x14ac:dyDescent="0.25">
      <c r="B636" s="50" t="s">
        <v>490</v>
      </c>
      <c r="C636" s="166">
        <v>96546</v>
      </c>
      <c r="D636" s="67" t="s">
        <v>80</v>
      </c>
      <c r="E636" s="44" t="s">
        <v>62</v>
      </c>
      <c r="F636" s="130"/>
      <c r="G636" s="355"/>
      <c r="H636" s="356"/>
      <c r="I636" s="354"/>
      <c r="J636" s="99">
        <f>'BOLETIM DE MEDIÇÃO 05'!O185-'MEMORIAL DE CALCULO 05'!K636</f>
        <v>361.95687999999996</v>
      </c>
      <c r="K636" s="81">
        <f>K637</f>
        <v>15.84</v>
      </c>
      <c r="L636" s="82">
        <f>J636+K636</f>
        <v>377.79687999999993</v>
      </c>
      <c r="M636" s="82">
        <f>'BOLETIM DE MEDIÇÃO 05'!G185</f>
        <v>377.8</v>
      </c>
      <c r="N636" s="86">
        <f>M636-L636</f>
        <v>3.1200000000808359E-3</v>
      </c>
    </row>
    <row r="637" spans="1:14" s="167" customFormat="1" ht="19.899999999999999" customHeight="1" x14ac:dyDescent="0.25">
      <c r="B637" s="119"/>
      <c r="C637" s="193"/>
      <c r="D637" s="319" t="s">
        <v>932</v>
      </c>
      <c r="E637" s="189"/>
      <c r="F637" s="130">
        <v>1</v>
      </c>
      <c r="G637" s="357"/>
      <c r="H637" s="358">
        <v>15.84</v>
      </c>
      <c r="I637" s="359"/>
      <c r="J637" s="99"/>
      <c r="K637" s="81">
        <f>F637*H637</f>
        <v>15.84</v>
      </c>
      <c r="L637" s="82"/>
      <c r="M637" s="82"/>
      <c r="N637" s="86"/>
    </row>
    <row r="638" spans="1:14" s="167" customFormat="1" ht="33.75" x14ac:dyDescent="0.25">
      <c r="B638" s="119" t="s">
        <v>491</v>
      </c>
      <c r="C638" s="193">
        <v>96536</v>
      </c>
      <c r="D638" s="188" t="s">
        <v>86</v>
      </c>
      <c r="E638" s="189" t="s">
        <v>17</v>
      </c>
      <c r="F638" s="130"/>
      <c r="G638" s="531"/>
      <c r="H638" s="552"/>
      <c r="I638" s="553"/>
      <c r="J638" s="99">
        <f>'BOLETIM DE MEDIÇÃO 05'!O186-'MEMORIAL DE CALCULO 05'!K638</f>
        <v>143.048</v>
      </c>
      <c r="K638" s="81">
        <f>K639</f>
        <v>6.55</v>
      </c>
      <c r="L638" s="82">
        <f t="shared" si="32"/>
        <v>149.59800000000001</v>
      </c>
      <c r="M638" s="82">
        <f>'BOLETIM DE MEDIÇÃO 05'!G186</f>
        <v>149.6</v>
      </c>
      <c r="N638" s="86">
        <f t="shared" si="33"/>
        <v>1.999999999981128E-3</v>
      </c>
    </row>
    <row r="639" spans="1:14" s="167" customFormat="1" x14ac:dyDescent="0.25">
      <c r="B639" s="119"/>
      <c r="C639" s="193"/>
      <c r="D639" s="319" t="s">
        <v>932</v>
      </c>
      <c r="E639" s="44"/>
      <c r="F639" s="130">
        <v>1</v>
      </c>
      <c r="G639" s="531">
        <v>6.55</v>
      </c>
      <c r="H639" s="552"/>
      <c r="I639" s="553"/>
      <c r="J639" s="99"/>
      <c r="K639" s="81">
        <f>F639*G639</f>
        <v>6.55</v>
      </c>
      <c r="L639" s="82"/>
      <c r="M639" s="82"/>
      <c r="N639" s="86"/>
    </row>
    <row r="640" spans="1:14" s="167" customFormat="1" ht="38.450000000000003" hidden="1" customHeight="1" x14ac:dyDescent="0.25">
      <c r="A640" s="234"/>
      <c r="B640" s="264" t="s">
        <v>492</v>
      </c>
      <c r="C640" s="264"/>
      <c r="D640" s="262" t="s">
        <v>89</v>
      </c>
      <c r="E640" s="44"/>
      <c r="F640" s="130"/>
      <c r="G640" s="559"/>
      <c r="H640" s="560"/>
      <c r="I640" s="561"/>
      <c r="J640" s="192"/>
      <c r="K640" s="64"/>
      <c r="L640" s="82"/>
      <c r="M640" s="82"/>
      <c r="N640" s="86"/>
    </row>
    <row r="641" spans="1:14" s="167" customFormat="1" hidden="1" x14ac:dyDescent="0.25">
      <c r="A641" s="234"/>
      <c r="B641" s="264"/>
      <c r="C641" s="264"/>
      <c r="D641" s="319" t="s">
        <v>932</v>
      </c>
      <c r="E641" s="114" t="s">
        <v>17</v>
      </c>
      <c r="F641" s="283">
        <v>1</v>
      </c>
      <c r="G641" s="360">
        <v>63.6</v>
      </c>
      <c r="H641" s="361">
        <v>0.5</v>
      </c>
      <c r="I641" s="362"/>
      <c r="J641" s="253">
        <f>'BOLETIM DE MEDIÇÃO 05'!O187-'MEMORIAL DE CALCULO 05'!K641</f>
        <v>33.635000000000005</v>
      </c>
      <c r="K641" s="81">
        <f>TRUNC(F641*G641*H641,2)</f>
        <v>31.8</v>
      </c>
      <c r="L641" s="109">
        <f t="shared" si="32"/>
        <v>65.435000000000002</v>
      </c>
      <c r="M641" s="109">
        <f>'BOLETIM DE MEDIÇÃO 05'!G187</f>
        <v>65.430000000000007</v>
      </c>
      <c r="N641" s="110">
        <f t="shared" si="33"/>
        <v>-4.9999999999954525E-3</v>
      </c>
    </row>
    <row r="642" spans="1:14" ht="45" x14ac:dyDescent="0.25">
      <c r="A642" s="79"/>
      <c r="B642" s="265" t="s">
        <v>493</v>
      </c>
      <c r="C642" s="66">
        <v>103356</v>
      </c>
      <c r="D642" s="53" t="s">
        <v>137</v>
      </c>
      <c r="E642" s="44" t="s">
        <v>17</v>
      </c>
      <c r="F642" s="283"/>
      <c r="G642" s="531"/>
      <c r="H642" s="552"/>
      <c r="I642" s="553"/>
      <c r="J642" s="99">
        <f>'BOLETIM DE MEDIÇÃO 05'!O188-K642</f>
        <v>385.91900000000004</v>
      </c>
      <c r="K642" s="268">
        <f>K643</f>
        <v>19.721239000000001</v>
      </c>
      <c r="L642" s="82">
        <f t="shared" si="32"/>
        <v>405.64023900000007</v>
      </c>
      <c r="M642" s="82">
        <f>'BOLETIM DE MEDIÇÃO 05'!G188</f>
        <v>405.64</v>
      </c>
      <c r="N642" s="86">
        <f t="shared" si="33"/>
        <v>-2.3900000007870403E-4</v>
      </c>
    </row>
    <row r="643" spans="1:14" x14ac:dyDescent="0.25">
      <c r="A643" s="79"/>
      <c r="B643" s="265"/>
      <c r="C643" s="66"/>
      <c r="D643" s="319" t="s">
        <v>932</v>
      </c>
      <c r="E643" s="44"/>
      <c r="F643" s="283">
        <v>1</v>
      </c>
      <c r="G643" s="531">
        <v>6.3616900000000003</v>
      </c>
      <c r="H643" s="532"/>
      <c r="I643" s="246">
        <v>3.1</v>
      </c>
      <c r="J643" s="99"/>
      <c r="K643" s="268">
        <f>G643*I643*F643</f>
        <v>19.721239000000001</v>
      </c>
      <c r="L643" s="82"/>
      <c r="M643" s="82"/>
      <c r="N643" s="86"/>
    </row>
    <row r="644" spans="1:14" ht="45" x14ac:dyDescent="0.25">
      <c r="A644" s="79"/>
      <c r="B644" s="50" t="s">
        <v>494</v>
      </c>
      <c r="C644" s="66">
        <v>87893</v>
      </c>
      <c r="D644" s="53" t="s">
        <v>151</v>
      </c>
      <c r="E644" s="44" t="s">
        <v>17</v>
      </c>
      <c r="F644" s="259"/>
      <c r="G644" s="350"/>
      <c r="H644" s="289"/>
      <c r="I644" s="246"/>
      <c r="J644" s="99">
        <f>'BOLETIM DE MEDIÇÃO 05'!O189-'MEMORIAL DE CALCULO 05'!K644</f>
        <v>124.52700000000004</v>
      </c>
      <c r="K644" s="268">
        <f>K645</f>
        <v>686.74300000000005</v>
      </c>
      <c r="L644" s="82">
        <f t="shared" si="32"/>
        <v>811.2700000000001</v>
      </c>
      <c r="M644" s="82">
        <f>'BOLETIM DE MEDIÇÃO 05'!G189</f>
        <v>811.27</v>
      </c>
      <c r="N644" s="86">
        <f t="shared" si="33"/>
        <v>0</v>
      </c>
    </row>
    <row r="645" spans="1:14" x14ac:dyDescent="0.25">
      <c r="A645" s="79"/>
      <c r="B645" s="50"/>
      <c r="C645" s="66"/>
      <c r="D645" s="331" t="s">
        <v>952</v>
      </c>
      <c r="E645" s="44"/>
      <c r="F645" s="130">
        <v>2</v>
      </c>
      <c r="G645" s="468">
        <v>110.765</v>
      </c>
      <c r="H645" s="471"/>
      <c r="I645" s="316">
        <v>3.1</v>
      </c>
      <c r="J645" s="99"/>
      <c r="K645" s="268">
        <f>F645*G645*I645</f>
        <v>686.74300000000005</v>
      </c>
      <c r="L645" s="82"/>
      <c r="M645" s="82"/>
      <c r="N645" s="86"/>
    </row>
    <row r="646" spans="1:14" ht="56.25" x14ac:dyDescent="0.25">
      <c r="A646" s="79"/>
      <c r="B646" s="50" t="s">
        <v>495</v>
      </c>
      <c r="C646" s="66">
        <v>87548</v>
      </c>
      <c r="D646" s="53" t="s">
        <v>154</v>
      </c>
      <c r="E646" s="44" t="s">
        <v>17</v>
      </c>
      <c r="F646" s="259"/>
      <c r="G646" s="121"/>
      <c r="H646" s="70"/>
      <c r="I646" s="105"/>
      <c r="J646" s="99">
        <f>'BOLETIM DE MEDIÇÃO 05'!O190-'MEMORIAL DE CALCULO 05'!K646</f>
        <v>0</v>
      </c>
      <c r="K646" s="317">
        <f>K647</f>
        <v>405.66600000000005</v>
      </c>
      <c r="L646" s="82">
        <f t="shared" si="32"/>
        <v>405.66600000000005</v>
      </c>
      <c r="M646" s="82">
        <f>'BOLETIM DE MEDIÇÃO 05'!G190</f>
        <v>811.27</v>
      </c>
      <c r="N646" s="86">
        <f t="shared" si="33"/>
        <v>405.60399999999993</v>
      </c>
    </row>
    <row r="647" spans="1:14" x14ac:dyDescent="0.25">
      <c r="A647" s="79"/>
      <c r="B647" s="50"/>
      <c r="C647" s="66"/>
      <c r="D647" s="331" t="s">
        <v>952</v>
      </c>
      <c r="E647" s="44"/>
      <c r="F647" s="130">
        <v>2</v>
      </c>
      <c r="G647" s="468">
        <f>65.43</f>
        <v>65.430000000000007</v>
      </c>
      <c r="H647" s="471"/>
      <c r="I647" s="105">
        <v>3.1</v>
      </c>
      <c r="J647" s="99"/>
      <c r="K647" s="317">
        <f>F647*G647*I647</f>
        <v>405.66600000000005</v>
      </c>
      <c r="L647" s="82"/>
      <c r="M647" s="82"/>
      <c r="N647" s="86"/>
    </row>
    <row r="648" spans="1:14" ht="20.45" hidden="1" customHeight="1" x14ac:dyDescent="0.25">
      <c r="A648" s="79"/>
      <c r="B648" s="50" t="s">
        <v>496</v>
      </c>
      <c r="C648" s="66">
        <v>88489</v>
      </c>
      <c r="D648" s="53" t="s">
        <v>198</v>
      </c>
      <c r="E648" s="44" t="s">
        <v>17</v>
      </c>
      <c r="F648" s="259"/>
      <c r="G648" s="121"/>
      <c r="H648" s="70"/>
      <c r="I648" s="105"/>
      <c r="J648" s="99">
        <f>'BOLETIM DE MEDIÇÃO 05'!O191-'MEMORIAL DE CALCULO 05'!K648</f>
        <v>0</v>
      </c>
      <c r="K648" s="240">
        <f t="shared" ref="K648:K652" si="34">H648*I648*F648</f>
        <v>0</v>
      </c>
      <c r="L648" s="82">
        <f t="shared" si="32"/>
        <v>0</v>
      </c>
      <c r="M648" s="82">
        <f>'BOLETIM DE MEDIÇÃO 05'!G191</f>
        <v>811.27</v>
      </c>
      <c r="N648" s="86">
        <f t="shared" si="33"/>
        <v>811.27</v>
      </c>
    </row>
    <row r="649" spans="1:14" ht="20.45" hidden="1" customHeight="1" x14ac:dyDescent="0.25">
      <c r="A649" s="79"/>
      <c r="B649" s="50" t="s">
        <v>497</v>
      </c>
      <c r="C649" s="66">
        <v>95305</v>
      </c>
      <c r="D649" s="53" t="s">
        <v>499</v>
      </c>
      <c r="E649" s="44" t="s">
        <v>17</v>
      </c>
      <c r="F649" s="259"/>
      <c r="G649" s="121"/>
      <c r="H649" s="70"/>
      <c r="I649" s="105"/>
      <c r="J649" s="99">
        <f>'BOLETIM DE MEDIÇÃO 05'!O192-'MEMORIAL DE CALCULO 05'!K649</f>
        <v>0</v>
      </c>
      <c r="K649" s="240">
        <f t="shared" si="34"/>
        <v>0</v>
      </c>
      <c r="L649" s="82">
        <f t="shared" si="32"/>
        <v>0</v>
      </c>
      <c r="M649" s="82">
        <f>'BOLETIM DE MEDIÇÃO 05'!G192</f>
        <v>811.27</v>
      </c>
      <c r="N649" s="86">
        <f t="shared" si="33"/>
        <v>811.27</v>
      </c>
    </row>
    <row r="650" spans="1:14" ht="14.45" hidden="1" customHeight="1" x14ac:dyDescent="0.25">
      <c r="A650" s="79"/>
      <c r="B650" s="51">
        <v>1.1599999999999999</v>
      </c>
      <c r="C650" s="65" t="s">
        <v>501</v>
      </c>
      <c r="D650" s="53"/>
      <c r="E650" s="44"/>
      <c r="F650" s="259"/>
      <c r="G650" s="121"/>
      <c r="H650" s="271"/>
      <c r="I650" s="105"/>
      <c r="J650" s="99"/>
      <c r="K650" s="240">
        <f t="shared" si="34"/>
        <v>0</v>
      </c>
      <c r="L650" s="82"/>
      <c r="M650" s="82"/>
      <c r="N650" s="86"/>
    </row>
    <row r="651" spans="1:14" ht="30.6" hidden="1" customHeight="1" x14ac:dyDescent="0.25">
      <c r="A651" s="79"/>
      <c r="B651" s="50" t="s">
        <v>502</v>
      </c>
      <c r="C651" s="59" t="s">
        <v>503</v>
      </c>
      <c r="D651" s="53" t="s">
        <v>504</v>
      </c>
      <c r="E651" s="44" t="s">
        <v>166</v>
      </c>
      <c r="F651" s="259"/>
      <c r="G651" s="121"/>
      <c r="H651" s="70"/>
      <c r="I651" s="105"/>
      <c r="J651" s="99">
        <f>'BOLETIM DE MEDIÇÃO 05'!O194-'MEMORIAL DE CALCULO 05'!K651</f>
        <v>0</v>
      </c>
      <c r="K651" s="240">
        <f t="shared" si="34"/>
        <v>0</v>
      </c>
      <c r="L651" s="82">
        <f t="shared" si="32"/>
        <v>0</v>
      </c>
      <c r="M651" s="82">
        <f>'BOLETIM DE MEDIÇÃO 05'!G194</f>
        <v>2</v>
      </c>
      <c r="N651" s="86">
        <f t="shared" si="33"/>
        <v>2</v>
      </c>
    </row>
    <row r="652" spans="1:14" ht="40.9" hidden="1" customHeight="1" x14ac:dyDescent="0.25">
      <c r="A652" s="79"/>
      <c r="B652" s="119" t="s">
        <v>505</v>
      </c>
      <c r="C652" s="235" t="s">
        <v>506</v>
      </c>
      <c r="D652" s="188" t="s">
        <v>507</v>
      </c>
      <c r="E652" s="189" t="s">
        <v>166</v>
      </c>
      <c r="F652" s="260"/>
      <c r="G652" s="191"/>
      <c r="H652" s="134"/>
      <c r="I652" s="257"/>
      <c r="J652" s="254">
        <f>'BOLETIM DE MEDIÇÃO 05'!O195-'MEMORIAL DE CALCULO 05'!K652</f>
        <v>0</v>
      </c>
      <c r="K652" s="240">
        <f t="shared" si="34"/>
        <v>0</v>
      </c>
      <c r="L652" s="236">
        <f t="shared" si="32"/>
        <v>0</v>
      </c>
      <c r="M652" s="236">
        <f>'BOLETIM DE MEDIÇÃO 05'!G195</f>
        <v>1</v>
      </c>
      <c r="N652" s="237">
        <f t="shared" si="33"/>
        <v>1</v>
      </c>
    </row>
    <row r="653" spans="1:14" ht="14.45" hidden="1" customHeight="1" x14ac:dyDescent="0.25">
      <c r="A653" s="79"/>
      <c r="B653" s="266"/>
      <c r="C653" s="266"/>
      <c r="D653" s="255"/>
      <c r="E653" s="238"/>
      <c r="F653" s="261"/>
      <c r="G653" s="272"/>
      <c r="H653" s="273"/>
      <c r="I653" s="274"/>
      <c r="J653" s="255"/>
      <c r="K653" s="238"/>
      <c r="L653" s="238"/>
      <c r="M653" s="238"/>
      <c r="N653" s="258"/>
    </row>
    <row r="656" spans="1:14" ht="69.599999999999994" hidden="1" customHeight="1" x14ac:dyDescent="0.25">
      <c r="D656" s="278" t="s">
        <v>832</v>
      </c>
      <c r="E656" s="277" t="s">
        <v>41</v>
      </c>
      <c r="F656" s="279"/>
      <c r="G656" s="546" t="s">
        <v>836</v>
      </c>
      <c r="H656" s="547"/>
      <c r="I656" s="548"/>
      <c r="J656" s="279"/>
      <c r="K656" s="280">
        <f>SUM(K659:K663)</f>
        <v>16.472439999999999</v>
      </c>
      <c r="M656" s="282"/>
    </row>
    <row r="657" spans="4:11" ht="14.45" hidden="1" customHeight="1" x14ac:dyDescent="0.25">
      <c r="D657" s="239"/>
      <c r="E657" s="239"/>
      <c r="F657" s="239"/>
      <c r="G657" s="239"/>
      <c r="H657" s="239"/>
      <c r="I657" s="239"/>
      <c r="J657" s="239"/>
      <c r="K657" s="239"/>
    </row>
    <row r="658" spans="4:11" ht="36.6" hidden="1" customHeight="1" x14ac:dyDescent="0.25">
      <c r="D658" s="281"/>
      <c r="E658" s="239"/>
      <c r="F658" s="275" t="s">
        <v>556</v>
      </c>
      <c r="G658" s="276" t="s">
        <v>833</v>
      </c>
      <c r="H658" s="276" t="s">
        <v>834</v>
      </c>
      <c r="I658" s="276" t="s">
        <v>835</v>
      </c>
      <c r="J658" s="239"/>
      <c r="K658" s="239"/>
    </row>
    <row r="659" spans="4:11" ht="14.45" hidden="1" customHeight="1" x14ac:dyDescent="0.25">
      <c r="D659" s="288" t="s">
        <v>879</v>
      </c>
      <c r="E659" s="239"/>
      <c r="F659" s="245">
        <v>1</v>
      </c>
      <c r="G659" s="245">
        <v>12.5</v>
      </c>
      <c r="H659" s="245">
        <v>0.1</v>
      </c>
      <c r="I659" s="245">
        <v>0.36</v>
      </c>
      <c r="J659" s="277"/>
      <c r="K659" s="245">
        <f>((I659+H659/2)*G659)*0.2</f>
        <v>1.0250000000000001</v>
      </c>
    </row>
    <row r="660" spans="4:11" ht="20.45" hidden="1" customHeight="1" x14ac:dyDescent="0.25">
      <c r="D660" s="288" t="s">
        <v>876</v>
      </c>
      <c r="E660" s="239"/>
      <c r="F660" s="245">
        <v>1</v>
      </c>
      <c r="G660" s="245">
        <v>11.67</v>
      </c>
      <c r="H660" s="245">
        <v>0.36</v>
      </c>
      <c r="I660" s="245">
        <v>0.53</v>
      </c>
      <c r="J660" s="277"/>
      <c r="K660" s="245">
        <f t="shared" ref="K660:K663" si="35">((I660+H660/2)*G660)*0.2</f>
        <v>1.6571400000000001</v>
      </c>
    </row>
    <row r="661" spans="4:11" ht="20.45" hidden="1" customHeight="1" x14ac:dyDescent="0.25">
      <c r="D661" s="288" t="s">
        <v>880</v>
      </c>
      <c r="E661" s="239"/>
      <c r="F661" s="245">
        <v>1</v>
      </c>
      <c r="G661" s="245">
        <v>27.1</v>
      </c>
      <c r="H661" s="245">
        <v>0.53</v>
      </c>
      <c r="I661" s="245">
        <v>0.74</v>
      </c>
      <c r="J661" s="277"/>
      <c r="K661" s="245">
        <f t="shared" si="35"/>
        <v>5.4470999999999998</v>
      </c>
    </row>
    <row r="662" spans="4:11" ht="30.6" hidden="1" customHeight="1" x14ac:dyDescent="0.25">
      <c r="D662" s="288" t="s">
        <v>881</v>
      </c>
      <c r="E662" s="239"/>
      <c r="F662" s="245">
        <v>1</v>
      </c>
      <c r="G662" s="245">
        <v>33.9</v>
      </c>
      <c r="H662" s="245">
        <v>0.74</v>
      </c>
      <c r="I662" s="245">
        <v>0.61</v>
      </c>
      <c r="J662" s="277"/>
      <c r="K662" s="245">
        <f t="shared" si="35"/>
        <v>6.644400000000001</v>
      </c>
    </row>
    <row r="663" spans="4:11" ht="20.45" hidden="1" customHeight="1" x14ac:dyDescent="0.25">
      <c r="D663" s="288" t="s">
        <v>882</v>
      </c>
      <c r="E663" s="239"/>
      <c r="F663" s="245">
        <v>1</v>
      </c>
      <c r="G663" s="245">
        <v>12.4</v>
      </c>
      <c r="H663" s="245">
        <v>0.61</v>
      </c>
      <c r="I663" s="245">
        <v>0.38</v>
      </c>
      <c r="J663" s="277"/>
      <c r="K663" s="245">
        <f t="shared" si="35"/>
        <v>1.6988000000000003</v>
      </c>
    </row>
    <row r="666" spans="4:11" x14ac:dyDescent="0.25">
      <c r="G666" s="330"/>
    </row>
  </sheetData>
  <mergeCells count="290">
    <mergeCell ref="G643:H643"/>
    <mergeCell ref="G645:H645"/>
    <mergeCell ref="G647:H647"/>
    <mergeCell ref="G635:I635"/>
    <mergeCell ref="G494:I494"/>
    <mergeCell ref="G495:I495"/>
    <mergeCell ref="G496:I496"/>
    <mergeCell ref="G497:I497"/>
    <mergeCell ref="G498:I498"/>
    <mergeCell ref="G499:I499"/>
    <mergeCell ref="G639:I639"/>
    <mergeCell ref="G638:I638"/>
    <mergeCell ref="G640:I640"/>
    <mergeCell ref="G642:I642"/>
    <mergeCell ref="G487:I487"/>
    <mergeCell ref="G488:I488"/>
    <mergeCell ref="G489:I489"/>
    <mergeCell ref="G490:I490"/>
    <mergeCell ref="G491:I491"/>
    <mergeCell ref="G492:I492"/>
    <mergeCell ref="G624:I624"/>
    <mergeCell ref="G633:I633"/>
    <mergeCell ref="G501:I501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73:H373"/>
    <mergeCell ref="G374:H374"/>
    <mergeCell ref="G375:H375"/>
    <mergeCell ref="G376:H376"/>
    <mergeCell ref="G377:H377"/>
    <mergeCell ref="G378:H378"/>
    <mergeCell ref="G386:I386"/>
    <mergeCell ref="G390:I390"/>
    <mergeCell ref="G391:I391"/>
    <mergeCell ref="G656:I656"/>
    <mergeCell ref="G379:H379"/>
    <mergeCell ref="G380:H380"/>
    <mergeCell ref="G614:I614"/>
    <mergeCell ref="G620:I620"/>
    <mergeCell ref="G622:I622"/>
    <mergeCell ref="G623:I623"/>
    <mergeCell ref="G385:I385"/>
    <mergeCell ref="G398:I398"/>
    <mergeCell ref="G399:I399"/>
    <mergeCell ref="G402:I402"/>
    <mergeCell ref="G407:I407"/>
    <mergeCell ref="G409:I409"/>
    <mergeCell ref="G480:I480"/>
    <mergeCell ref="G481:I481"/>
    <mergeCell ref="G482:I482"/>
    <mergeCell ref="G483:I483"/>
    <mergeCell ref="G484:I484"/>
    <mergeCell ref="G485:I485"/>
    <mergeCell ref="G630:I630"/>
    <mergeCell ref="G392:I392"/>
    <mergeCell ref="G394:I394"/>
    <mergeCell ref="G396:I396"/>
    <mergeCell ref="G400:I400"/>
  </mergeCells>
  <phoneticPr fontId="20" type="noConversion"/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Z198"/>
  <sheetViews>
    <sheetView zoomScale="68" zoomScaleNormal="40" workbookViewId="0">
      <selection activeCell="O25" sqref="O25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885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v>45386</v>
      </c>
      <c r="C8" s="498"/>
      <c r="D8" s="23" t="s">
        <v>886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3"/>
      <c r="K8" s="503"/>
      <c r="L8" s="503"/>
      <c r="M8" s="503"/>
      <c r="N8" s="503"/>
      <c r="O8" s="503"/>
      <c r="P8" s="519"/>
      <c r="Q8" s="504" t="s">
        <v>887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4.45" customHeight="1" x14ac:dyDescent="0.25"/>
    <row r="17" spans="4:4" x14ac:dyDescent="0.25">
      <c r="D17" s="116"/>
    </row>
    <row r="20" spans="4:4" ht="14.45" customHeight="1" x14ac:dyDescent="0.25"/>
    <row r="60" ht="14.45" customHeight="1" x14ac:dyDescent="0.25"/>
    <row r="81" ht="14.45" customHeight="1" x14ac:dyDescent="0.25"/>
    <row r="89" ht="14.45" customHeight="1" x14ac:dyDescent="0.25"/>
    <row r="137" ht="14.45" customHeight="1" x14ac:dyDescent="0.25"/>
    <row r="160" ht="14.45" customHeight="1" x14ac:dyDescent="0.25"/>
    <row r="173" ht="14.45" customHeight="1" x14ac:dyDescent="0.25"/>
    <row r="193" ht="14.45" customHeight="1" x14ac:dyDescent="0.25"/>
    <row r="198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Z200"/>
  <sheetViews>
    <sheetView topLeftCell="A10" zoomScale="63" zoomScaleNormal="40" workbookViewId="0">
      <selection activeCell="H21" sqref="H21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935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v>45386</v>
      </c>
      <c r="C8" s="498"/>
      <c r="D8" s="23" t="s">
        <v>954</v>
      </c>
      <c r="E8" s="499">
        <f>'BOLETIM DE MEDIÇÃO 05'!E8</f>
        <v>103177.48903680005</v>
      </c>
      <c r="F8" s="500"/>
      <c r="G8" s="501"/>
      <c r="H8" s="502">
        <f>'BOLETIM DE MEDIÇÃO 05'!H8</f>
        <v>274592.67562904983</v>
      </c>
      <c r="I8" s="503"/>
      <c r="J8" s="503"/>
      <c r="K8" s="503"/>
      <c r="L8" s="503"/>
      <c r="M8" s="503"/>
      <c r="N8" s="503"/>
      <c r="O8" s="503"/>
      <c r="P8" s="519"/>
      <c r="Q8" s="504" t="s">
        <v>933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S225"/>
  <sheetViews>
    <sheetView tabSelected="1" view="pageBreakPreview" zoomScale="80" zoomScaleNormal="85" zoomScaleSheetLayoutView="80" workbookViewId="0">
      <selection activeCell="B2" sqref="B2:AJ2"/>
    </sheetView>
  </sheetViews>
  <sheetFormatPr defaultRowHeight="15" x14ac:dyDescent="0.25"/>
  <cols>
    <col min="2" max="2" width="6.28515625" customWidth="1"/>
    <col min="3" max="3" width="11.85546875" customWidth="1"/>
    <col min="4" max="4" width="47.5703125" customWidth="1"/>
    <col min="5" max="5" width="16.28515625" customWidth="1"/>
    <col min="7" max="7" width="25.28515625" customWidth="1"/>
    <col min="8" max="8" width="25.28515625" style="116" hidden="1" customWidth="1"/>
    <col min="9" max="9" width="15.28515625" hidden="1" customWidth="1"/>
    <col min="10" max="10" width="14" hidden="1" customWidth="1"/>
    <col min="11" max="11" width="13.5703125" hidden="1" customWidth="1"/>
    <col min="12" max="12" width="20.85546875" hidden="1" customWidth="1"/>
    <col min="13" max="13" width="15.28515625" hidden="1" customWidth="1"/>
    <col min="14" max="15" width="14.28515625" hidden="1" customWidth="1"/>
    <col min="16" max="18" width="17.28515625" hidden="1" customWidth="1"/>
    <col min="19" max="19" width="17.28515625" customWidth="1"/>
    <col min="20" max="20" width="23.5703125" bestFit="1" customWidth="1"/>
    <col min="21" max="21" width="10.85546875" style="167" bestFit="1" customWidth="1"/>
    <col min="22" max="22" width="22.42578125" bestFit="1" customWidth="1"/>
    <col min="23" max="23" width="19" hidden="1" customWidth="1"/>
    <col min="24" max="25" width="16.28515625" hidden="1" customWidth="1"/>
    <col min="26" max="26" width="17" hidden="1" customWidth="1"/>
    <col min="27" max="27" width="17.5703125" hidden="1" customWidth="1"/>
    <col min="28" max="28" width="15.42578125" hidden="1" customWidth="1"/>
    <col min="29" max="33" width="16.5703125" hidden="1" customWidth="1"/>
    <col min="34" max="34" width="16.5703125" customWidth="1"/>
    <col min="35" max="35" width="18.5703125" customWidth="1"/>
    <col min="36" max="36" width="17.28515625" bestFit="1" customWidth="1"/>
    <col min="38" max="38" width="17.140625" bestFit="1" customWidth="1"/>
  </cols>
  <sheetData>
    <row r="1" spans="2:36" ht="15.75" thickBot="1" x14ac:dyDescent="0.3"/>
    <row r="2" spans="2:36" ht="21" thickBot="1" x14ac:dyDescent="0.3">
      <c r="B2" s="483" t="s">
        <v>1098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4"/>
      <c r="AA2" s="484"/>
      <c r="AB2" s="484"/>
      <c r="AC2" s="484"/>
      <c r="AD2" s="484"/>
      <c r="AE2" s="484"/>
      <c r="AF2" s="484"/>
      <c r="AG2" s="484"/>
      <c r="AH2" s="484"/>
      <c r="AI2" s="484"/>
      <c r="AJ2" s="485"/>
    </row>
    <row r="3" spans="2:3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2"/>
      <c r="P3" s="12"/>
      <c r="Q3" s="12"/>
      <c r="R3" s="12"/>
      <c r="S3" s="12"/>
      <c r="T3" s="13" t="s">
        <v>512</v>
      </c>
      <c r="U3" s="345" t="s">
        <v>513</v>
      </c>
      <c r="V3" s="15" t="s">
        <v>514</v>
      </c>
      <c r="W3" s="15"/>
      <c r="X3" s="15"/>
      <c r="Y3" s="15"/>
      <c r="Z3" s="15"/>
      <c r="AA3" s="15"/>
      <c r="AB3" s="15"/>
      <c r="AC3" s="15"/>
      <c r="AD3" s="15"/>
      <c r="AE3" s="15"/>
      <c r="AF3" s="566"/>
      <c r="AG3" s="566"/>
      <c r="AH3" s="566"/>
      <c r="AI3" s="566"/>
      <c r="AJ3" s="567"/>
    </row>
    <row r="4" spans="2:3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379"/>
      <c r="P4" s="379"/>
      <c r="Q4" s="379"/>
      <c r="R4" s="379"/>
      <c r="S4" s="379"/>
      <c r="T4" s="16" t="s">
        <v>544</v>
      </c>
      <c r="U4" s="80" t="s">
        <v>555</v>
      </c>
      <c r="V4" s="491">
        <v>1240378.43</v>
      </c>
      <c r="W4" s="492"/>
      <c r="X4" s="492"/>
      <c r="Y4" s="492"/>
      <c r="Z4" s="492"/>
      <c r="AA4" s="492"/>
      <c r="AB4" s="492"/>
      <c r="AC4" s="492"/>
      <c r="AD4" s="381"/>
      <c r="AE4" s="381"/>
      <c r="AF4" s="568"/>
      <c r="AG4" s="568"/>
      <c r="AH4" s="568"/>
      <c r="AI4" s="568"/>
      <c r="AJ4" s="569"/>
    </row>
    <row r="5" spans="2:3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8"/>
      <c r="P5" s="18"/>
      <c r="Q5" s="18"/>
      <c r="R5" s="18"/>
      <c r="S5" s="18"/>
      <c r="T5" s="19" t="s">
        <v>517</v>
      </c>
      <c r="U5" s="22"/>
      <c r="V5" s="21"/>
      <c r="W5" s="21"/>
      <c r="X5" s="21"/>
      <c r="Y5" s="21"/>
      <c r="Z5" s="21"/>
      <c r="AA5" s="21"/>
      <c r="AB5" s="21"/>
      <c r="AC5" s="21"/>
      <c r="AD5" s="21"/>
      <c r="AE5" s="409"/>
      <c r="AF5" s="568"/>
      <c r="AG5" s="568"/>
      <c r="AH5" s="568"/>
      <c r="AI5" s="568"/>
      <c r="AJ5" s="569"/>
    </row>
    <row r="6" spans="2:3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379"/>
      <c r="P6" s="379"/>
      <c r="Q6" s="379"/>
      <c r="R6" s="379"/>
      <c r="S6" s="379"/>
      <c r="T6" s="495" t="s">
        <v>592</v>
      </c>
      <c r="U6" s="496"/>
      <c r="V6" s="496"/>
      <c r="W6" s="496"/>
      <c r="X6" s="496"/>
      <c r="Y6" s="496"/>
      <c r="Z6" s="496"/>
      <c r="AA6" s="496"/>
      <c r="AB6" s="496"/>
      <c r="AC6" s="496"/>
      <c r="AD6" s="382"/>
      <c r="AE6" s="382"/>
      <c r="AF6" s="568"/>
      <c r="AG6" s="568"/>
      <c r="AH6" s="568"/>
      <c r="AI6" s="568"/>
      <c r="AJ6" s="569"/>
    </row>
    <row r="7" spans="2:3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 t="s">
        <v>523</v>
      </c>
      <c r="L7" s="19" t="s">
        <v>523</v>
      </c>
      <c r="M7" s="19"/>
      <c r="N7" s="18"/>
      <c r="O7" s="19" t="s">
        <v>523</v>
      </c>
      <c r="P7" s="19" t="s">
        <v>523</v>
      </c>
      <c r="Q7" s="19"/>
      <c r="R7" s="19"/>
      <c r="S7" s="19"/>
      <c r="T7" s="19"/>
      <c r="U7" s="22"/>
      <c r="V7" s="21" t="s">
        <v>524</v>
      </c>
      <c r="W7" s="21"/>
      <c r="X7" s="21"/>
      <c r="Y7" s="21"/>
      <c r="Z7" s="21"/>
      <c r="AA7" s="21"/>
      <c r="AB7" s="21"/>
      <c r="AC7" s="21"/>
      <c r="AD7" s="21"/>
      <c r="AE7" s="409"/>
      <c r="AF7" s="568"/>
      <c r="AG7" s="568"/>
      <c r="AH7" s="568"/>
      <c r="AI7" s="568"/>
      <c r="AJ7" s="569"/>
    </row>
    <row r="8" spans="2:36" ht="17.25" thickBot="1" x14ac:dyDescent="0.3">
      <c r="B8" s="564">
        <v>45985</v>
      </c>
      <c r="C8" s="565"/>
      <c r="D8" s="23" t="s">
        <v>1096</v>
      </c>
      <c r="E8" s="140">
        <f>AH209</f>
        <v>42245.579999999994</v>
      </c>
      <c r="F8" s="138"/>
      <c r="G8" s="139"/>
      <c r="H8" s="141">
        <f>AI209-E8</f>
        <v>815893.51710544969</v>
      </c>
      <c r="I8" s="142"/>
      <c r="J8" s="142">
        <f>AI209-E8</f>
        <v>815893.51710544969</v>
      </c>
      <c r="K8" s="142"/>
      <c r="L8" s="142"/>
      <c r="M8" s="142"/>
      <c r="N8" s="142"/>
      <c r="O8" s="142"/>
      <c r="P8" s="142">
        <f>AI209-E8</f>
        <v>815893.51710544969</v>
      </c>
      <c r="Q8" s="142"/>
      <c r="R8" s="142"/>
      <c r="S8" s="142"/>
      <c r="T8" s="142"/>
      <c r="U8" s="410"/>
      <c r="V8" s="504" t="s">
        <v>1095</v>
      </c>
      <c r="W8" s="505"/>
      <c r="X8" s="505"/>
      <c r="Y8" s="505"/>
      <c r="Z8" s="505"/>
      <c r="AA8" s="505"/>
      <c r="AB8" s="505"/>
      <c r="AC8" s="505"/>
      <c r="AD8" s="380"/>
      <c r="AE8" s="380"/>
      <c r="AF8" s="570"/>
      <c r="AG8" s="570"/>
      <c r="AH8" s="570"/>
      <c r="AI8" s="570"/>
      <c r="AJ8" s="571"/>
    </row>
    <row r="9" spans="2:3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6"/>
      <c r="R9" s="26"/>
      <c r="S9" s="26"/>
      <c r="T9" s="26"/>
      <c r="U9" s="27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</row>
    <row r="10" spans="2:36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543</v>
      </c>
      <c r="G10" s="545" t="s">
        <v>530</v>
      </c>
      <c r="H10" s="473"/>
      <c r="I10" s="473"/>
      <c r="J10" s="473"/>
      <c r="K10" s="473"/>
      <c r="L10" s="473"/>
      <c r="M10" s="473"/>
      <c r="N10" s="473"/>
      <c r="O10" s="473"/>
      <c r="P10" s="473"/>
      <c r="Q10" s="473"/>
      <c r="R10" s="473"/>
      <c r="S10" s="473"/>
      <c r="T10" s="473"/>
      <c r="U10" s="473"/>
      <c r="V10" s="474" t="s">
        <v>531</v>
      </c>
      <c r="W10" s="475"/>
      <c r="X10" s="475"/>
      <c r="Y10" s="475"/>
      <c r="Z10" s="475"/>
      <c r="AA10" s="475"/>
      <c r="AB10" s="475"/>
      <c r="AC10" s="475"/>
      <c r="AD10" s="475"/>
      <c r="AE10" s="475"/>
      <c r="AF10" s="475"/>
      <c r="AG10" s="475"/>
      <c r="AH10" s="475"/>
      <c r="AI10" s="543"/>
      <c r="AJ10" s="476"/>
    </row>
    <row r="11" spans="2:36" ht="18" x14ac:dyDescent="0.25">
      <c r="B11" s="478"/>
      <c r="C11" s="478"/>
      <c r="D11" s="480"/>
      <c r="E11" s="478"/>
      <c r="F11" s="482"/>
      <c r="G11" s="32" t="s">
        <v>532</v>
      </c>
      <c r="H11" s="33" t="s">
        <v>533</v>
      </c>
      <c r="I11" s="33" t="s">
        <v>534</v>
      </c>
      <c r="J11" s="33" t="s">
        <v>535</v>
      </c>
      <c r="K11" s="33" t="s">
        <v>536</v>
      </c>
      <c r="L11" s="33" t="s">
        <v>537</v>
      </c>
      <c r="M11" s="33" t="s">
        <v>538</v>
      </c>
      <c r="N11" s="33" t="s">
        <v>539</v>
      </c>
      <c r="O11" s="33" t="s">
        <v>988</v>
      </c>
      <c r="P11" s="33" t="s">
        <v>989</v>
      </c>
      <c r="Q11" s="33" t="s">
        <v>1016</v>
      </c>
      <c r="R11" s="33" t="s">
        <v>1086</v>
      </c>
      <c r="S11" s="33" t="s">
        <v>1097</v>
      </c>
      <c r="T11" s="34" t="s">
        <v>540</v>
      </c>
      <c r="U11" s="34" t="s">
        <v>541</v>
      </c>
      <c r="V11" s="35" t="s">
        <v>532</v>
      </c>
      <c r="W11" s="36" t="s">
        <v>593</v>
      </c>
      <c r="X11" s="36" t="s">
        <v>534</v>
      </c>
      <c r="Y11" s="37" t="s">
        <v>535</v>
      </c>
      <c r="Z11" s="37" t="s">
        <v>536</v>
      </c>
      <c r="AA11" s="37" t="s">
        <v>537</v>
      </c>
      <c r="AB11" s="37" t="s">
        <v>538</v>
      </c>
      <c r="AC11" s="37" t="s">
        <v>539</v>
      </c>
      <c r="AD11" s="37" t="s">
        <v>988</v>
      </c>
      <c r="AE11" s="37" t="s">
        <v>989</v>
      </c>
      <c r="AF11" s="37" t="s">
        <v>1016</v>
      </c>
      <c r="AG11" s="37" t="s">
        <v>1086</v>
      </c>
      <c r="AH11" s="37" t="s">
        <v>1097</v>
      </c>
      <c r="AI11" s="38" t="s">
        <v>540</v>
      </c>
      <c r="AJ11" s="39" t="s">
        <v>541</v>
      </c>
    </row>
    <row r="12" spans="2:36" ht="14.45" customHeight="1" x14ac:dyDescent="0.25">
      <c r="B12" s="433">
        <v>1</v>
      </c>
      <c r="C12" s="434" t="s">
        <v>10</v>
      </c>
      <c r="D12" s="435"/>
      <c r="E12" s="436"/>
      <c r="F12" s="436"/>
      <c r="G12" s="279"/>
      <c r="H12" s="436"/>
      <c r="I12" s="436"/>
      <c r="J12" s="436"/>
      <c r="K12" s="436"/>
      <c r="L12" s="436"/>
      <c r="M12" s="436"/>
      <c r="N12" s="436"/>
      <c r="O12" s="436"/>
      <c r="P12" s="436"/>
      <c r="Q12" s="436"/>
      <c r="R12" s="436"/>
      <c r="S12" s="436"/>
      <c r="T12" s="437"/>
      <c r="U12" s="437"/>
      <c r="V12" s="438"/>
      <c r="W12" s="439"/>
      <c r="X12" s="439"/>
      <c r="Y12" s="439"/>
      <c r="Z12" s="439"/>
      <c r="AA12" s="439"/>
      <c r="AB12" s="439"/>
      <c r="AC12" s="438"/>
      <c r="AD12" s="438"/>
      <c r="AE12" s="438"/>
      <c r="AF12" s="438"/>
      <c r="AG12" s="438"/>
      <c r="AH12" s="438"/>
      <c r="AI12" s="438"/>
      <c r="AJ12" s="440"/>
    </row>
    <row r="13" spans="2:36" x14ac:dyDescent="0.25">
      <c r="B13" s="433">
        <v>1.1000000000000001</v>
      </c>
      <c r="C13" s="434" t="s">
        <v>12</v>
      </c>
      <c r="D13" s="435"/>
      <c r="E13" s="436"/>
      <c r="F13" s="436"/>
      <c r="G13" s="441"/>
      <c r="H13" s="436"/>
      <c r="I13" s="436"/>
      <c r="J13" s="436"/>
      <c r="K13" s="436"/>
      <c r="L13" s="436"/>
      <c r="M13" s="436"/>
      <c r="N13" s="436"/>
      <c r="O13" s="436"/>
      <c r="P13" s="436"/>
      <c r="Q13" s="436"/>
      <c r="R13" s="436"/>
      <c r="S13" s="436"/>
      <c r="T13" s="437"/>
      <c r="U13" s="437"/>
      <c r="V13" s="438"/>
      <c r="W13" s="439"/>
      <c r="X13" s="439"/>
      <c r="Y13" s="439"/>
      <c r="Z13" s="439"/>
      <c r="AA13" s="439"/>
      <c r="AB13" s="439"/>
      <c r="AC13" s="438"/>
      <c r="AD13" s="438"/>
      <c r="AE13" s="438"/>
      <c r="AF13" s="438"/>
      <c r="AG13" s="438"/>
      <c r="AH13" s="438"/>
      <c r="AI13" s="438"/>
      <c r="AJ13" s="440"/>
    </row>
    <row r="14" spans="2:36" ht="22.5" x14ac:dyDescent="0.25">
      <c r="B14" s="384" t="s">
        <v>13</v>
      </c>
      <c r="C14" s="442" t="s">
        <v>14</v>
      </c>
      <c r="D14" s="386" t="s">
        <v>15</v>
      </c>
      <c r="E14" s="387" t="s">
        <v>17</v>
      </c>
      <c r="F14" s="387">
        <v>414.1</v>
      </c>
      <c r="G14" s="387">
        <v>6</v>
      </c>
      <c r="H14" s="443">
        <f>'MEMORIAL DE CALCULO 01'!K14</f>
        <v>6</v>
      </c>
      <c r="I14" s="443"/>
      <c r="J14" s="443"/>
      <c r="K14" s="444"/>
      <c r="L14" s="444"/>
      <c r="M14" s="444"/>
      <c r="N14" s="387"/>
      <c r="O14" s="387"/>
      <c r="P14" s="444"/>
      <c r="Q14" s="444"/>
      <c r="R14" s="444">
        <v>0</v>
      </c>
      <c r="S14" s="444">
        <f>VLOOKUP(B14,'MEMÓRIA MEDIÇÃO 12'!$A$7:$F$202,6,FALSE)</f>
        <v>0</v>
      </c>
      <c r="T14" s="387">
        <f>H14+I14+J14+K14+L14+M14+N14+O14+P14+Q14+R14+S14</f>
        <v>6</v>
      </c>
      <c r="U14" s="387">
        <f t="shared" ref="U14:U19" si="0">G14-T14</f>
        <v>0</v>
      </c>
      <c r="V14" s="387">
        <f>TRUNC(F14*G14,2)</f>
        <v>2484.6</v>
      </c>
      <c r="W14" s="346">
        <f t="shared" ref="W14:W45" si="1">F14*H14</f>
        <v>2484.6000000000004</v>
      </c>
      <c r="X14" s="346">
        <f t="shared" ref="X14:X45" si="2">F14*I14</f>
        <v>0</v>
      </c>
      <c r="Y14" s="346">
        <f>TRUNC(F14*J14,2)</f>
        <v>0</v>
      </c>
      <c r="Z14" s="346">
        <f t="shared" ref="Z14:Z45" si="3">TRUNC(F14*K14,2)</f>
        <v>0</v>
      </c>
      <c r="AA14" s="346">
        <f t="shared" ref="AA14:AA45" si="4">TRUNC(F14*L14,2)</f>
        <v>0</v>
      </c>
      <c r="AB14" s="346">
        <f t="shared" ref="AB14:AB59" si="5">M14*F14</f>
        <v>0</v>
      </c>
      <c r="AC14" s="346">
        <f>TRUNC(F14*N14,2)</f>
        <v>0</v>
      </c>
      <c r="AD14" s="346">
        <f>TRUNC(F14*O14,2)</f>
        <v>0</v>
      </c>
      <c r="AE14" s="346">
        <f>TRUNC(F14*P14,2)</f>
        <v>0</v>
      </c>
      <c r="AF14" s="346">
        <f>TRUNC(F14*Q14,2)</f>
        <v>0</v>
      </c>
      <c r="AG14" s="346">
        <f>ROUND(R14*F14,2)</f>
        <v>0</v>
      </c>
      <c r="AH14" s="346">
        <f>ROUND(S14*F14,2)</f>
        <v>0</v>
      </c>
      <c r="AI14" s="445">
        <f>W14+X14+Y14+Z14+AA14+AB14+AC14+AD14+AE14+AF14+AG14+AH14</f>
        <v>2484.6000000000004</v>
      </c>
      <c r="AJ14" s="446">
        <f>V14-AI14</f>
        <v>0</v>
      </c>
    </row>
    <row r="15" spans="2:36" ht="22.5" x14ac:dyDescent="0.25">
      <c r="B15" s="384" t="s">
        <v>18</v>
      </c>
      <c r="C15" s="442">
        <v>93209</v>
      </c>
      <c r="D15" s="386" t="s">
        <v>20</v>
      </c>
      <c r="E15" s="387" t="s">
        <v>17</v>
      </c>
      <c r="F15" s="387">
        <v>947.21</v>
      </c>
      <c r="G15" s="387">
        <v>5</v>
      </c>
      <c r="H15" s="443">
        <v>2.25</v>
      </c>
      <c r="I15" s="443">
        <f>'MEMORIAL DE CALCULO 02'!K15</f>
        <v>2.75</v>
      </c>
      <c r="J15" s="443"/>
      <c r="K15" s="444"/>
      <c r="L15" s="444"/>
      <c r="M15" s="444"/>
      <c r="N15" s="387"/>
      <c r="O15" s="387"/>
      <c r="P15" s="444"/>
      <c r="Q15" s="444"/>
      <c r="R15" s="444">
        <v>0</v>
      </c>
      <c r="S15" s="444">
        <f>VLOOKUP(B15,'MEMÓRIA MEDIÇÃO 12'!$A$7:$F$202,6,FALSE)</f>
        <v>0</v>
      </c>
      <c r="T15" s="387">
        <f t="shared" ref="T15:T78" si="6">H15+I15+J15+K15+L15+M15+N15+O15+P15+Q15+R15+S15</f>
        <v>5</v>
      </c>
      <c r="U15" s="387">
        <f t="shared" si="0"/>
        <v>0</v>
      </c>
      <c r="V15" s="387">
        <f t="shared" ref="V15:V19" si="7">F15*G15</f>
        <v>4736.05</v>
      </c>
      <c r="W15" s="346">
        <f t="shared" si="1"/>
        <v>2131.2224999999999</v>
      </c>
      <c r="X15" s="346">
        <f t="shared" si="2"/>
        <v>2604.8275000000003</v>
      </c>
      <c r="Y15" s="346">
        <f t="shared" ref="Y15:Y25" si="8">F15*J15</f>
        <v>0</v>
      </c>
      <c r="Z15" s="346">
        <f t="shared" si="3"/>
        <v>0</v>
      </c>
      <c r="AA15" s="346">
        <f t="shared" si="4"/>
        <v>0</v>
      </c>
      <c r="AB15" s="346">
        <f t="shared" si="5"/>
        <v>0</v>
      </c>
      <c r="AC15" s="346">
        <f t="shared" ref="AC15:AC46" si="9">F15*N15</f>
        <v>0</v>
      </c>
      <c r="AD15" s="346">
        <f t="shared" ref="AD15:AD78" si="10">TRUNC(F15*O15,2)</f>
        <v>0</v>
      </c>
      <c r="AE15" s="346">
        <f t="shared" ref="AE15:AE78" si="11">TRUNC(F15*P15,2)</f>
        <v>0</v>
      </c>
      <c r="AF15" s="346">
        <f t="shared" ref="AF15:AF78" si="12">TRUNC(F15*Q15,2)</f>
        <v>0</v>
      </c>
      <c r="AG15" s="346">
        <f t="shared" ref="AG15:AG78" si="13">ROUND(R15*F15,2)</f>
        <v>0</v>
      </c>
      <c r="AH15" s="346">
        <f t="shared" ref="AH15:AH78" si="14">ROUND(S15*F15,2)</f>
        <v>0</v>
      </c>
      <c r="AI15" s="445">
        <f t="shared" ref="AI15:AI78" si="15">W15+X15+Y15+Z15+AA15+AB15+AC15+AD15+AE15+AF15+AG15+AH15</f>
        <v>4736.05</v>
      </c>
      <c r="AJ15" s="446">
        <f t="shared" ref="AJ15:AJ78" si="16">V15-AI15</f>
        <v>0</v>
      </c>
    </row>
    <row r="16" spans="2:36" ht="33.75" x14ac:dyDescent="0.25">
      <c r="B16" s="384" t="s">
        <v>22</v>
      </c>
      <c r="C16" s="442">
        <v>93206</v>
      </c>
      <c r="D16" s="386" t="s">
        <v>23</v>
      </c>
      <c r="E16" s="387" t="s">
        <v>17</v>
      </c>
      <c r="F16" s="387">
        <v>1086.7</v>
      </c>
      <c r="G16" s="387">
        <v>5</v>
      </c>
      <c r="H16" s="443">
        <v>2.25</v>
      </c>
      <c r="I16" s="443">
        <f>'MEMORIAL DE CALCULO 02'!K16</f>
        <v>2.75</v>
      </c>
      <c r="J16" s="443"/>
      <c r="K16" s="444"/>
      <c r="L16" s="444"/>
      <c r="M16" s="444"/>
      <c r="N16" s="387"/>
      <c r="O16" s="387"/>
      <c r="P16" s="444"/>
      <c r="Q16" s="444"/>
      <c r="R16" s="444">
        <v>0</v>
      </c>
      <c r="S16" s="444">
        <f>VLOOKUP(B16,'MEMÓRIA MEDIÇÃO 12'!$A$7:$F$202,6,FALSE)</f>
        <v>0</v>
      </c>
      <c r="T16" s="387">
        <f t="shared" si="6"/>
        <v>5</v>
      </c>
      <c r="U16" s="387">
        <f t="shared" si="0"/>
        <v>0</v>
      </c>
      <c r="V16" s="387">
        <f t="shared" si="7"/>
        <v>5433.5</v>
      </c>
      <c r="W16" s="346">
        <f t="shared" si="1"/>
        <v>2445.0750000000003</v>
      </c>
      <c r="X16" s="346">
        <f t="shared" si="2"/>
        <v>2988.4250000000002</v>
      </c>
      <c r="Y16" s="346">
        <f t="shared" si="8"/>
        <v>0</v>
      </c>
      <c r="Z16" s="346">
        <f t="shared" si="3"/>
        <v>0</v>
      </c>
      <c r="AA16" s="346">
        <f t="shared" si="4"/>
        <v>0</v>
      </c>
      <c r="AB16" s="346">
        <f t="shared" si="5"/>
        <v>0</v>
      </c>
      <c r="AC16" s="346">
        <f t="shared" si="9"/>
        <v>0</v>
      </c>
      <c r="AD16" s="346">
        <f t="shared" si="10"/>
        <v>0</v>
      </c>
      <c r="AE16" s="346">
        <f t="shared" si="11"/>
        <v>0</v>
      </c>
      <c r="AF16" s="346">
        <f t="shared" si="12"/>
        <v>0</v>
      </c>
      <c r="AG16" s="346">
        <f t="shared" si="13"/>
        <v>0</v>
      </c>
      <c r="AH16" s="346">
        <f t="shared" si="14"/>
        <v>0</v>
      </c>
      <c r="AI16" s="445">
        <f t="shared" si="15"/>
        <v>5433.5</v>
      </c>
      <c r="AJ16" s="446">
        <f t="shared" si="16"/>
        <v>0</v>
      </c>
    </row>
    <row r="17" spans="1:39" ht="22.5" x14ac:dyDescent="0.25">
      <c r="B17" s="384" t="s">
        <v>24</v>
      </c>
      <c r="C17" s="442" t="s">
        <v>25</v>
      </c>
      <c r="D17" s="386" t="s">
        <v>26</v>
      </c>
      <c r="E17" s="387" t="s">
        <v>17</v>
      </c>
      <c r="F17" s="387">
        <v>102.24</v>
      </c>
      <c r="G17" s="387">
        <v>277.39999999999998</v>
      </c>
      <c r="H17" s="443">
        <v>258.39999999999998</v>
      </c>
      <c r="I17" s="443">
        <f>'MEMORIAL DE CALCULO 02'!K17</f>
        <v>19</v>
      </c>
      <c r="J17" s="443"/>
      <c r="K17" s="444"/>
      <c r="L17" s="444"/>
      <c r="M17" s="444"/>
      <c r="N17" s="387"/>
      <c r="O17" s="387"/>
      <c r="P17" s="444"/>
      <c r="Q17" s="444"/>
      <c r="R17" s="444">
        <v>0</v>
      </c>
      <c r="S17" s="444">
        <f>VLOOKUP(B17,'MEMÓRIA MEDIÇÃO 12'!$A$7:$F$202,6,FALSE)</f>
        <v>0</v>
      </c>
      <c r="T17" s="387">
        <f t="shared" si="6"/>
        <v>277.39999999999998</v>
      </c>
      <c r="U17" s="387">
        <f t="shared" si="0"/>
        <v>0</v>
      </c>
      <c r="V17" s="387">
        <f t="shared" si="7"/>
        <v>28361.375999999997</v>
      </c>
      <c r="W17" s="346">
        <f t="shared" si="1"/>
        <v>26418.815999999995</v>
      </c>
      <c r="X17" s="346">
        <f t="shared" si="2"/>
        <v>1942.56</v>
      </c>
      <c r="Y17" s="346">
        <f t="shared" si="8"/>
        <v>0</v>
      </c>
      <c r="Z17" s="346">
        <f t="shared" si="3"/>
        <v>0</v>
      </c>
      <c r="AA17" s="346">
        <f t="shared" si="4"/>
        <v>0</v>
      </c>
      <c r="AB17" s="346">
        <f t="shared" si="5"/>
        <v>0</v>
      </c>
      <c r="AC17" s="346">
        <f t="shared" si="9"/>
        <v>0</v>
      </c>
      <c r="AD17" s="346">
        <f t="shared" si="10"/>
        <v>0</v>
      </c>
      <c r="AE17" s="346">
        <f t="shared" si="11"/>
        <v>0</v>
      </c>
      <c r="AF17" s="346">
        <f t="shared" si="12"/>
        <v>0</v>
      </c>
      <c r="AG17" s="346">
        <f t="shared" si="13"/>
        <v>0</v>
      </c>
      <c r="AH17" s="346">
        <f t="shared" si="14"/>
        <v>0</v>
      </c>
      <c r="AI17" s="445">
        <f t="shared" si="15"/>
        <v>28361.375999999997</v>
      </c>
      <c r="AJ17" s="446">
        <f t="shared" si="16"/>
        <v>0</v>
      </c>
    </row>
    <row r="18" spans="1:39" s="164" customFormat="1" ht="22.5" x14ac:dyDescent="0.25">
      <c r="B18" s="384" t="s">
        <v>27</v>
      </c>
      <c r="C18" s="442">
        <v>98524</v>
      </c>
      <c r="D18" s="386" t="s">
        <v>28</v>
      </c>
      <c r="E18" s="387" t="s">
        <v>17</v>
      </c>
      <c r="F18" s="387">
        <v>2.29</v>
      </c>
      <c r="G18" s="387">
        <v>0</v>
      </c>
      <c r="H18" s="443"/>
      <c r="I18" s="443"/>
      <c r="J18" s="443"/>
      <c r="K18" s="444"/>
      <c r="L18" s="444"/>
      <c r="M18" s="444"/>
      <c r="N18" s="387"/>
      <c r="O18" s="387"/>
      <c r="P18" s="444"/>
      <c r="Q18" s="444"/>
      <c r="R18" s="444">
        <v>0</v>
      </c>
      <c r="S18" s="444">
        <f>VLOOKUP(B18,'MEMÓRIA MEDIÇÃO 12'!$A$7:$F$202,6,FALSE)</f>
        <v>0</v>
      </c>
      <c r="T18" s="387">
        <f t="shared" si="6"/>
        <v>0</v>
      </c>
      <c r="U18" s="387">
        <f t="shared" si="0"/>
        <v>0</v>
      </c>
      <c r="V18" s="387">
        <f t="shared" si="7"/>
        <v>0</v>
      </c>
      <c r="W18" s="346">
        <f t="shared" si="1"/>
        <v>0</v>
      </c>
      <c r="X18" s="346">
        <f t="shared" si="2"/>
        <v>0</v>
      </c>
      <c r="Y18" s="346">
        <f t="shared" si="8"/>
        <v>0</v>
      </c>
      <c r="Z18" s="346">
        <f t="shared" si="3"/>
        <v>0</v>
      </c>
      <c r="AA18" s="346">
        <f t="shared" si="4"/>
        <v>0</v>
      </c>
      <c r="AB18" s="346">
        <f t="shared" si="5"/>
        <v>0</v>
      </c>
      <c r="AC18" s="346">
        <f t="shared" si="9"/>
        <v>0</v>
      </c>
      <c r="AD18" s="346">
        <f t="shared" si="10"/>
        <v>0</v>
      </c>
      <c r="AE18" s="346">
        <f t="shared" si="11"/>
        <v>0</v>
      </c>
      <c r="AF18" s="346">
        <f t="shared" si="12"/>
        <v>0</v>
      </c>
      <c r="AG18" s="346">
        <f t="shared" si="13"/>
        <v>0</v>
      </c>
      <c r="AH18" s="346">
        <f t="shared" si="14"/>
        <v>0</v>
      </c>
      <c r="AI18" s="445">
        <f t="shared" si="15"/>
        <v>0</v>
      </c>
      <c r="AJ18" s="446">
        <f t="shared" si="16"/>
        <v>0</v>
      </c>
    </row>
    <row r="19" spans="1:39" s="164" customFormat="1" ht="22.5" x14ac:dyDescent="0.25">
      <c r="B19" s="384" t="s">
        <v>29</v>
      </c>
      <c r="C19" s="385">
        <v>100575</v>
      </c>
      <c r="D19" s="386" t="s">
        <v>31</v>
      </c>
      <c r="E19" s="387" t="s">
        <v>17</v>
      </c>
      <c r="F19" s="387">
        <v>0.12</v>
      </c>
      <c r="G19" s="387">
        <v>1430.2</v>
      </c>
      <c r="H19" s="443"/>
      <c r="I19" s="443"/>
      <c r="J19" s="443"/>
      <c r="K19" s="444"/>
      <c r="L19" s="444"/>
      <c r="M19" s="444"/>
      <c r="N19" s="387"/>
      <c r="O19" s="387"/>
      <c r="P19" s="444"/>
      <c r="Q19" s="444"/>
      <c r="R19" s="444">
        <v>0</v>
      </c>
      <c r="S19" s="444">
        <f>VLOOKUP(B19,'MEMÓRIA MEDIÇÃO 12'!$A$7:$F$202,6,FALSE)</f>
        <v>0</v>
      </c>
      <c r="T19" s="387">
        <f t="shared" si="6"/>
        <v>0</v>
      </c>
      <c r="U19" s="387">
        <f t="shared" si="0"/>
        <v>1430.2</v>
      </c>
      <c r="V19" s="387">
        <f t="shared" si="7"/>
        <v>171.624</v>
      </c>
      <c r="W19" s="346">
        <f t="shared" si="1"/>
        <v>0</v>
      </c>
      <c r="X19" s="346">
        <f t="shared" si="2"/>
        <v>0</v>
      </c>
      <c r="Y19" s="346">
        <f t="shared" si="8"/>
        <v>0</v>
      </c>
      <c r="Z19" s="346">
        <f t="shared" si="3"/>
        <v>0</v>
      </c>
      <c r="AA19" s="346">
        <f t="shared" si="4"/>
        <v>0</v>
      </c>
      <c r="AB19" s="346">
        <f t="shared" si="5"/>
        <v>0</v>
      </c>
      <c r="AC19" s="346">
        <f t="shared" si="9"/>
        <v>0</v>
      </c>
      <c r="AD19" s="346">
        <f t="shared" si="10"/>
        <v>0</v>
      </c>
      <c r="AE19" s="346">
        <f t="shared" si="11"/>
        <v>0</v>
      </c>
      <c r="AF19" s="346">
        <f t="shared" si="12"/>
        <v>0</v>
      </c>
      <c r="AG19" s="346">
        <f t="shared" si="13"/>
        <v>0</v>
      </c>
      <c r="AH19" s="346">
        <f t="shared" si="14"/>
        <v>0</v>
      </c>
      <c r="AI19" s="445">
        <f t="shared" si="15"/>
        <v>0</v>
      </c>
      <c r="AJ19" s="446">
        <f t="shared" si="16"/>
        <v>171.624</v>
      </c>
    </row>
    <row r="20" spans="1:39" ht="14.45" customHeight="1" x14ac:dyDescent="0.25">
      <c r="B20" s="347" t="s">
        <v>32</v>
      </c>
      <c r="C20" s="348" t="s">
        <v>33</v>
      </c>
      <c r="D20" s="386"/>
      <c r="E20" s="387"/>
      <c r="F20" s="387"/>
      <c r="G20" s="387"/>
      <c r="H20" s="443"/>
      <c r="I20" s="443"/>
      <c r="J20" s="443"/>
      <c r="K20" s="444"/>
      <c r="L20" s="444"/>
      <c r="M20" s="444"/>
      <c r="N20" s="387"/>
      <c r="O20" s="387"/>
      <c r="P20" s="444"/>
      <c r="Q20" s="444"/>
      <c r="R20" s="444">
        <v>0</v>
      </c>
      <c r="S20" s="444">
        <f>VLOOKUP(B20,'MEMÓRIA MEDIÇÃO 12'!$A$7:$F$202,6,FALSE)</f>
        <v>0</v>
      </c>
      <c r="T20" s="387">
        <f t="shared" si="6"/>
        <v>0</v>
      </c>
      <c r="U20" s="387"/>
      <c r="V20" s="387"/>
      <c r="W20" s="346">
        <f t="shared" si="1"/>
        <v>0</v>
      </c>
      <c r="X20" s="346">
        <f t="shared" si="2"/>
        <v>0</v>
      </c>
      <c r="Y20" s="346">
        <f t="shared" si="8"/>
        <v>0</v>
      </c>
      <c r="Z20" s="346">
        <f t="shared" si="3"/>
        <v>0</v>
      </c>
      <c r="AA20" s="346">
        <f t="shared" si="4"/>
        <v>0</v>
      </c>
      <c r="AB20" s="346">
        <f t="shared" si="5"/>
        <v>0</v>
      </c>
      <c r="AC20" s="346">
        <f t="shared" si="9"/>
        <v>0</v>
      </c>
      <c r="AD20" s="346">
        <f t="shared" si="10"/>
        <v>0</v>
      </c>
      <c r="AE20" s="346">
        <f t="shared" si="11"/>
        <v>0</v>
      </c>
      <c r="AF20" s="346">
        <f t="shared" si="12"/>
        <v>0</v>
      </c>
      <c r="AG20" s="346">
        <f t="shared" si="13"/>
        <v>0</v>
      </c>
      <c r="AH20" s="346">
        <f t="shared" si="14"/>
        <v>0</v>
      </c>
      <c r="AI20" s="445">
        <f t="shared" si="15"/>
        <v>0</v>
      </c>
      <c r="AJ20" s="446">
        <f t="shared" si="16"/>
        <v>0</v>
      </c>
    </row>
    <row r="21" spans="1:39" ht="32.450000000000003" customHeight="1" x14ac:dyDescent="0.25">
      <c r="B21" s="384" t="s">
        <v>34</v>
      </c>
      <c r="C21" s="385">
        <v>99059</v>
      </c>
      <c r="D21" s="386" t="s">
        <v>36</v>
      </c>
      <c r="E21" s="387" t="s">
        <v>37</v>
      </c>
      <c r="F21" s="387">
        <v>52.4</v>
      </c>
      <c r="G21" s="387">
        <v>137.5</v>
      </c>
      <c r="H21" s="443">
        <f>'MEMORIAL DE CALCULO 01'!K22</f>
        <v>137.5</v>
      </c>
      <c r="I21" s="443"/>
      <c r="J21" s="443"/>
      <c r="K21" s="444"/>
      <c r="L21" s="444"/>
      <c r="M21" s="444"/>
      <c r="N21" s="387"/>
      <c r="O21" s="387"/>
      <c r="P21" s="444"/>
      <c r="Q21" s="444"/>
      <c r="R21" s="444">
        <v>0</v>
      </c>
      <c r="S21" s="444">
        <f>VLOOKUP(B21,'MEMÓRIA MEDIÇÃO 12'!$A$7:$F$202,6,FALSE)</f>
        <v>0</v>
      </c>
      <c r="T21" s="387">
        <f t="shared" si="6"/>
        <v>137.5</v>
      </c>
      <c r="U21" s="387">
        <f>G21-T21</f>
        <v>0</v>
      </c>
      <c r="V21" s="387">
        <f>F21*G21</f>
        <v>7205</v>
      </c>
      <c r="W21" s="346">
        <f t="shared" si="1"/>
        <v>7205</v>
      </c>
      <c r="X21" s="346">
        <f t="shared" si="2"/>
        <v>0</v>
      </c>
      <c r="Y21" s="346">
        <f t="shared" si="8"/>
        <v>0</v>
      </c>
      <c r="Z21" s="346">
        <f t="shared" si="3"/>
        <v>0</v>
      </c>
      <c r="AA21" s="346">
        <f t="shared" si="4"/>
        <v>0</v>
      </c>
      <c r="AB21" s="346">
        <f t="shared" si="5"/>
        <v>0</v>
      </c>
      <c r="AC21" s="346">
        <f t="shared" si="9"/>
        <v>0</v>
      </c>
      <c r="AD21" s="346">
        <f t="shared" si="10"/>
        <v>0</v>
      </c>
      <c r="AE21" s="346">
        <f t="shared" si="11"/>
        <v>0</v>
      </c>
      <c r="AF21" s="346">
        <f t="shared" si="12"/>
        <v>0</v>
      </c>
      <c r="AG21" s="346">
        <f t="shared" si="13"/>
        <v>0</v>
      </c>
      <c r="AH21" s="346">
        <f t="shared" si="14"/>
        <v>0</v>
      </c>
      <c r="AI21" s="445">
        <f t="shared" si="15"/>
        <v>7205</v>
      </c>
      <c r="AJ21" s="446">
        <f t="shared" si="16"/>
        <v>0</v>
      </c>
    </row>
    <row r="22" spans="1:39" s="168" customFormat="1" ht="22.5" x14ac:dyDescent="0.25">
      <c r="A22" s="163"/>
      <c r="B22" s="447" t="s">
        <v>38</v>
      </c>
      <c r="C22" s="385">
        <v>93358</v>
      </c>
      <c r="D22" s="386" t="s">
        <v>40</v>
      </c>
      <c r="E22" s="387" t="s">
        <v>41</v>
      </c>
      <c r="F22" s="387">
        <v>64.95</v>
      </c>
      <c r="G22" s="387">
        <v>89.01</v>
      </c>
      <c r="H22" s="443">
        <f>'MEMORIAL DE CALCULO 01'!K23</f>
        <v>69.939250000000001</v>
      </c>
      <c r="I22" s="443">
        <f>'MEMORIAL DE CALCULO 02'!K25</f>
        <v>1.2053699999999998</v>
      </c>
      <c r="J22" s="443">
        <f>'MEMORIAL DE CALCULO 03'!K25</f>
        <v>14.04</v>
      </c>
      <c r="K22" s="444"/>
      <c r="L22" s="444"/>
      <c r="M22" s="444"/>
      <c r="N22" s="387"/>
      <c r="O22" s="387"/>
      <c r="P22" s="444"/>
      <c r="Q22" s="444"/>
      <c r="R22" s="444">
        <v>0</v>
      </c>
      <c r="S22" s="444">
        <f>VLOOKUP(B22,'MEMÓRIA MEDIÇÃO 12'!$A$7:$F$202,6,FALSE)</f>
        <v>0</v>
      </c>
      <c r="T22" s="387">
        <f t="shared" si="6"/>
        <v>85.184619999999995</v>
      </c>
      <c r="U22" s="387">
        <f>G22-T22</f>
        <v>3.8253800000000098</v>
      </c>
      <c r="V22" s="387">
        <f>F22*G22</f>
        <v>5781.1995000000006</v>
      </c>
      <c r="W22" s="346">
        <f t="shared" si="1"/>
        <v>4542.5542875000001</v>
      </c>
      <c r="X22" s="346">
        <f t="shared" si="2"/>
        <v>78.288781499999999</v>
      </c>
      <c r="Y22" s="346">
        <f t="shared" si="8"/>
        <v>911.89800000000002</v>
      </c>
      <c r="Z22" s="346">
        <f t="shared" si="3"/>
        <v>0</v>
      </c>
      <c r="AA22" s="346">
        <f t="shared" si="4"/>
        <v>0</v>
      </c>
      <c r="AB22" s="346">
        <f t="shared" si="5"/>
        <v>0</v>
      </c>
      <c r="AC22" s="346">
        <f t="shared" si="9"/>
        <v>0</v>
      </c>
      <c r="AD22" s="346">
        <f t="shared" si="10"/>
        <v>0</v>
      </c>
      <c r="AE22" s="346">
        <f t="shared" si="11"/>
        <v>0</v>
      </c>
      <c r="AF22" s="346">
        <f t="shared" si="12"/>
        <v>0</v>
      </c>
      <c r="AG22" s="346">
        <f t="shared" si="13"/>
        <v>0</v>
      </c>
      <c r="AH22" s="346">
        <f t="shared" si="14"/>
        <v>0</v>
      </c>
      <c r="AI22" s="445">
        <f t="shared" si="15"/>
        <v>5532.7410690000006</v>
      </c>
      <c r="AJ22" s="446">
        <f t="shared" si="16"/>
        <v>248.45843100000002</v>
      </c>
      <c r="AK22" s="163"/>
      <c r="AL22" s="163"/>
      <c r="AM22" s="163"/>
    </row>
    <row r="23" spans="1:39" s="168" customFormat="1" x14ac:dyDescent="0.25">
      <c r="A23" s="163"/>
      <c r="B23" s="384" t="s">
        <v>42</v>
      </c>
      <c r="C23" s="385">
        <v>96995</v>
      </c>
      <c r="D23" s="386" t="s">
        <v>44</v>
      </c>
      <c r="E23" s="387" t="s">
        <v>41</v>
      </c>
      <c r="F23" s="387">
        <v>39.369999999999997</v>
      </c>
      <c r="G23" s="387">
        <v>44.26</v>
      </c>
      <c r="H23" s="443"/>
      <c r="I23" s="443"/>
      <c r="J23" s="443">
        <f>'MEMORIAL DE CALCULO 03'!K68</f>
        <v>43.05</v>
      </c>
      <c r="K23" s="444"/>
      <c r="L23" s="444"/>
      <c r="M23" s="444"/>
      <c r="N23" s="387"/>
      <c r="O23" s="387"/>
      <c r="P23" s="444"/>
      <c r="Q23" s="444"/>
      <c r="R23" s="444">
        <v>0</v>
      </c>
      <c r="S23" s="444">
        <f>VLOOKUP(B23,'MEMÓRIA MEDIÇÃO 12'!$A$7:$F$202,6,FALSE)</f>
        <v>1.21</v>
      </c>
      <c r="T23" s="387">
        <f t="shared" si="6"/>
        <v>44.26</v>
      </c>
      <c r="U23" s="387">
        <f>G23-T23</f>
        <v>0</v>
      </c>
      <c r="V23" s="387">
        <f>F23*G23</f>
        <v>1742.5161999999998</v>
      </c>
      <c r="W23" s="346">
        <f t="shared" si="1"/>
        <v>0</v>
      </c>
      <c r="X23" s="346">
        <f t="shared" si="2"/>
        <v>0</v>
      </c>
      <c r="Y23" s="346">
        <f t="shared" si="8"/>
        <v>1694.8784999999998</v>
      </c>
      <c r="Z23" s="346">
        <f t="shared" si="3"/>
        <v>0</v>
      </c>
      <c r="AA23" s="346">
        <f t="shared" si="4"/>
        <v>0</v>
      </c>
      <c r="AB23" s="346">
        <f t="shared" si="5"/>
        <v>0</v>
      </c>
      <c r="AC23" s="346">
        <f t="shared" si="9"/>
        <v>0</v>
      </c>
      <c r="AD23" s="346">
        <f t="shared" si="10"/>
        <v>0</v>
      </c>
      <c r="AE23" s="346">
        <f t="shared" si="11"/>
        <v>0</v>
      </c>
      <c r="AF23" s="346">
        <f t="shared" si="12"/>
        <v>0</v>
      </c>
      <c r="AG23" s="346">
        <f t="shared" si="13"/>
        <v>0</v>
      </c>
      <c r="AH23" s="346">
        <f t="shared" si="14"/>
        <v>47.64</v>
      </c>
      <c r="AI23" s="445">
        <f t="shared" si="15"/>
        <v>1742.5184999999999</v>
      </c>
      <c r="AJ23" s="446">
        <f t="shared" si="16"/>
        <v>-2.3000000001047738E-3</v>
      </c>
      <c r="AK23" s="163"/>
      <c r="AL23" s="163"/>
      <c r="AM23" s="163"/>
    </row>
    <row r="24" spans="1:39" s="169" customFormat="1" ht="22.5" x14ac:dyDescent="0.25">
      <c r="A24" s="164"/>
      <c r="B24" s="384" t="s">
        <v>45</v>
      </c>
      <c r="C24" s="385">
        <v>94319</v>
      </c>
      <c r="D24" s="386" t="s">
        <v>47</v>
      </c>
      <c r="E24" s="387" t="s">
        <v>41</v>
      </c>
      <c r="F24" s="387">
        <v>74.510000000000005</v>
      </c>
      <c r="G24" s="387">
        <v>0</v>
      </c>
      <c r="H24" s="443"/>
      <c r="I24" s="443"/>
      <c r="J24" s="443"/>
      <c r="K24" s="444">
        <v>0</v>
      </c>
      <c r="L24" s="444"/>
      <c r="M24" s="444"/>
      <c r="N24" s="387"/>
      <c r="O24" s="387"/>
      <c r="P24" s="444"/>
      <c r="Q24" s="444"/>
      <c r="R24" s="444">
        <v>0</v>
      </c>
      <c r="S24" s="444">
        <f>VLOOKUP(B24,'MEMÓRIA MEDIÇÃO 12'!$A$7:$F$202,6,FALSE)</f>
        <v>0</v>
      </c>
      <c r="T24" s="387">
        <f t="shared" si="6"/>
        <v>0</v>
      </c>
      <c r="U24" s="387">
        <f>G24-T24</f>
        <v>0</v>
      </c>
      <c r="V24" s="387">
        <f>F24*G24</f>
        <v>0</v>
      </c>
      <c r="W24" s="346">
        <f t="shared" si="1"/>
        <v>0</v>
      </c>
      <c r="X24" s="346">
        <f t="shared" si="2"/>
        <v>0</v>
      </c>
      <c r="Y24" s="346">
        <f t="shared" si="8"/>
        <v>0</v>
      </c>
      <c r="Z24" s="346">
        <f t="shared" si="3"/>
        <v>0</v>
      </c>
      <c r="AA24" s="346">
        <f t="shared" si="4"/>
        <v>0</v>
      </c>
      <c r="AB24" s="346">
        <f t="shared" si="5"/>
        <v>0</v>
      </c>
      <c r="AC24" s="346">
        <f t="shared" si="9"/>
        <v>0</v>
      </c>
      <c r="AD24" s="346">
        <f t="shared" si="10"/>
        <v>0</v>
      </c>
      <c r="AE24" s="346">
        <f t="shared" si="11"/>
        <v>0</v>
      </c>
      <c r="AF24" s="346">
        <f t="shared" si="12"/>
        <v>0</v>
      </c>
      <c r="AG24" s="346">
        <f t="shared" si="13"/>
        <v>0</v>
      </c>
      <c r="AH24" s="346">
        <f t="shared" si="14"/>
        <v>0</v>
      </c>
      <c r="AI24" s="445">
        <f t="shared" si="15"/>
        <v>0</v>
      </c>
      <c r="AJ24" s="446">
        <f t="shared" si="16"/>
        <v>0</v>
      </c>
      <c r="AK24" s="164"/>
      <c r="AL24" s="164"/>
      <c r="AM24" s="164"/>
    </row>
    <row r="25" spans="1:39" s="167" customFormat="1" x14ac:dyDescent="0.25">
      <c r="A25"/>
      <c r="B25" s="347" t="s">
        <v>48</v>
      </c>
      <c r="C25" s="348" t="s">
        <v>49</v>
      </c>
      <c r="D25" s="386"/>
      <c r="E25" s="387"/>
      <c r="F25" s="387"/>
      <c r="G25" s="387"/>
      <c r="H25" s="443"/>
      <c r="I25" s="443"/>
      <c r="J25" s="443"/>
      <c r="K25" s="444"/>
      <c r="L25" s="444"/>
      <c r="M25" s="444"/>
      <c r="N25" s="387"/>
      <c r="O25" s="387"/>
      <c r="P25" s="444"/>
      <c r="Q25" s="444"/>
      <c r="R25" s="444">
        <v>0</v>
      </c>
      <c r="S25" s="444">
        <f>VLOOKUP(B25,'MEMÓRIA MEDIÇÃO 12'!$A$7:$F$202,6,FALSE)</f>
        <v>0</v>
      </c>
      <c r="T25" s="387">
        <f t="shared" si="6"/>
        <v>0</v>
      </c>
      <c r="U25" s="387"/>
      <c r="V25" s="387"/>
      <c r="W25" s="346">
        <f t="shared" si="1"/>
        <v>0</v>
      </c>
      <c r="X25" s="346">
        <f t="shared" si="2"/>
        <v>0</v>
      </c>
      <c r="Y25" s="346">
        <f t="shared" si="8"/>
        <v>0</v>
      </c>
      <c r="Z25" s="346">
        <f t="shared" si="3"/>
        <v>0</v>
      </c>
      <c r="AA25" s="346">
        <f t="shared" si="4"/>
        <v>0</v>
      </c>
      <c r="AB25" s="346">
        <f t="shared" si="5"/>
        <v>0</v>
      </c>
      <c r="AC25" s="346">
        <f t="shared" si="9"/>
        <v>0</v>
      </c>
      <c r="AD25" s="346">
        <f t="shared" si="10"/>
        <v>0</v>
      </c>
      <c r="AE25" s="346">
        <f t="shared" si="11"/>
        <v>0</v>
      </c>
      <c r="AF25" s="346">
        <f t="shared" si="12"/>
        <v>0</v>
      </c>
      <c r="AG25" s="346">
        <f t="shared" si="13"/>
        <v>0</v>
      </c>
      <c r="AH25" s="346">
        <f t="shared" si="14"/>
        <v>0</v>
      </c>
      <c r="AI25" s="445">
        <f t="shared" si="15"/>
        <v>0</v>
      </c>
      <c r="AJ25" s="446">
        <f t="shared" si="16"/>
        <v>0</v>
      </c>
      <c r="AK25"/>
      <c r="AL25"/>
      <c r="AM25"/>
    </row>
    <row r="26" spans="1:39" s="168" customFormat="1" ht="43.15" customHeight="1" x14ac:dyDescent="0.25">
      <c r="A26" s="163"/>
      <c r="B26" s="384" t="s">
        <v>50</v>
      </c>
      <c r="C26" s="442" t="s">
        <v>51</v>
      </c>
      <c r="D26" s="386" t="s">
        <v>52</v>
      </c>
      <c r="E26" s="387" t="s">
        <v>41</v>
      </c>
      <c r="F26" s="387">
        <v>411.48</v>
      </c>
      <c r="G26" s="387">
        <v>55.32</v>
      </c>
      <c r="H26" s="443"/>
      <c r="I26" s="443">
        <f>'MEMORIAL DE CALCULO 02'!K54</f>
        <v>7.3434100000000004</v>
      </c>
      <c r="J26" s="443">
        <v>6.6420000000000003</v>
      </c>
      <c r="K26" s="444"/>
      <c r="L26" s="444"/>
      <c r="M26" s="444"/>
      <c r="N26" s="387"/>
      <c r="O26" s="387"/>
      <c r="P26" s="444"/>
      <c r="Q26" s="444">
        <v>37.71</v>
      </c>
      <c r="R26" s="444">
        <v>0</v>
      </c>
      <c r="S26" s="444">
        <f>VLOOKUP(B26,'MEMÓRIA MEDIÇÃO 12'!$A$7:$F$202,6,FALSE)</f>
        <v>3.62</v>
      </c>
      <c r="T26" s="387">
        <f t="shared" si="6"/>
        <v>55.31541</v>
      </c>
      <c r="U26" s="387">
        <f t="shared" ref="U26:U38" si="17">G26-T26</f>
        <v>4.590000000000316E-3</v>
      </c>
      <c r="V26" s="387">
        <f t="shared" ref="V26:V38" si="18">F26*G26</f>
        <v>22763.0736</v>
      </c>
      <c r="W26" s="346">
        <f t="shared" si="1"/>
        <v>0</v>
      </c>
      <c r="X26" s="346">
        <f t="shared" si="2"/>
        <v>3021.6663468000002</v>
      </c>
      <c r="Y26" s="346">
        <f>TRUNC(F26*J26,2)</f>
        <v>2733.05</v>
      </c>
      <c r="Z26" s="346">
        <f t="shared" si="3"/>
        <v>0</v>
      </c>
      <c r="AA26" s="346">
        <f t="shared" si="4"/>
        <v>0</v>
      </c>
      <c r="AB26" s="346">
        <f t="shared" si="5"/>
        <v>0</v>
      </c>
      <c r="AC26" s="346">
        <f t="shared" si="9"/>
        <v>0</v>
      </c>
      <c r="AD26" s="346">
        <f t="shared" si="10"/>
        <v>0</v>
      </c>
      <c r="AE26" s="346">
        <f t="shared" si="11"/>
        <v>0</v>
      </c>
      <c r="AF26" s="346">
        <f t="shared" si="12"/>
        <v>15516.91</v>
      </c>
      <c r="AG26" s="346">
        <f t="shared" si="13"/>
        <v>0</v>
      </c>
      <c r="AH26" s="346">
        <f t="shared" si="14"/>
        <v>1489.56</v>
      </c>
      <c r="AI26" s="445">
        <f t="shared" si="15"/>
        <v>22761.186346800001</v>
      </c>
      <c r="AJ26" s="446">
        <f t="shared" si="16"/>
        <v>1.8872531999986677</v>
      </c>
      <c r="AK26" s="163"/>
      <c r="AL26" s="163"/>
      <c r="AM26" s="163"/>
    </row>
    <row r="27" spans="1:39" ht="25.15" customHeight="1" x14ac:dyDescent="0.25">
      <c r="B27" s="384" t="s">
        <v>53</v>
      </c>
      <c r="C27" s="385">
        <v>101616</v>
      </c>
      <c r="D27" s="386" t="s">
        <v>55</v>
      </c>
      <c r="E27" s="387" t="s">
        <v>17</v>
      </c>
      <c r="F27" s="387">
        <v>4.91</v>
      </c>
      <c r="G27" s="387">
        <v>37.81</v>
      </c>
      <c r="H27" s="443"/>
      <c r="I27" s="443">
        <v>37.81</v>
      </c>
      <c r="J27" s="443"/>
      <c r="K27" s="444"/>
      <c r="L27" s="444"/>
      <c r="M27" s="444"/>
      <c r="N27" s="387"/>
      <c r="O27" s="387"/>
      <c r="P27" s="444"/>
      <c r="Q27" s="444"/>
      <c r="R27" s="444">
        <v>0</v>
      </c>
      <c r="S27" s="444">
        <f>VLOOKUP(B27,'MEMÓRIA MEDIÇÃO 12'!$A$7:$F$202,6,FALSE)</f>
        <v>0</v>
      </c>
      <c r="T27" s="387">
        <f t="shared" si="6"/>
        <v>37.81</v>
      </c>
      <c r="U27" s="387">
        <f t="shared" si="17"/>
        <v>0</v>
      </c>
      <c r="V27" s="387">
        <f t="shared" si="18"/>
        <v>185.64710000000002</v>
      </c>
      <c r="W27" s="346">
        <f t="shared" si="1"/>
        <v>0</v>
      </c>
      <c r="X27" s="346">
        <f t="shared" si="2"/>
        <v>185.64710000000002</v>
      </c>
      <c r="Y27" s="346">
        <f t="shared" ref="Y27:Y58" si="19">F27*J27</f>
        <v>0</v>
      </c>
      <c r="Z27" s="346">
        <f t="shared" si="3"/>
        <v>0</v>
      </c>
      <c r="AA27" s="346">
        <f t="shared" si="4"/>
        <v>0</v>
      </c>
      <c r="AB27" s="346">
        <f t="shared" si="5"/>
        <v>0</v>
      </c>
      <c r="AC27" s="346">
        <f t="shared" si="9"/>
        <v>0</v>
      </c>
      <c r="AD27" s="346">
        <f t="shared" si="10"/>
        <v>0</v>
      </c>
      <c r="AE27" s="346">
        <f t="shared" si="11"/>
        <v>0</v>
      </c>
      <c r="AF27" s="346">
        <f t="shared" si="12"/>
        <v>0</v>
      </c>
      <c r="AG27" s="346">
        <f t="shared" si="13"/>
        <v>0</v>
      </c>
      <c r="AH27" s="346">
        <f t="shared" si="14"/>
        <v>0</v>
      </c>
      <c r="AI27" s="445">
        <f t="shared" si="15"/>
        <v>185.64710000000002</v>
      </c>
      <c r="AJ27" s="446">
        <f t="shared" si="16"/>
        <v>0</v>
      </c>
    </row>
    <row r="28" spans="1:39" s="164" customFormat="1" ht="30" customHeight="1" x14ac:dyDescent="0.25">
      <c r="B28" s="384" t="s">
        <v>56</v>
      </c>
      <c r="C28" s="385">
        <v>96619</v>
      </c>
      <c r="D28" s="391" t="s">
        <v>58</v>
      </c>
      <c r="E28" s="387" t="s">
        <v>17</v>
      </c>
      <c r="F28" s="387">
        <v>30.67</v>
      </c>
      <c r="G28" s="387">
        <v>77.41</v>
      </c>
      <c r="H28" s="443"/>
      <c r="I28" s="443">
        <v>37.81</v>
      </c>
      <c r="J28" s="443"/>
      <c r="K28" s="278"/>
      <c r="L28" s="278"/>
      <c r="M28" s="278"/>
      <c r="N28" s="278"/>
      <c r="O28" s="278"/>
      <c r="P28" s="278"/>
      <c r="Q28" s="278"/>
      <c r="R28" s="444">
        <v>0</v>
      </c>
      <c r="S28" s="444">
        <f>VLOOKUP(B28,'MEMÓRIA MEDIÇÃO 12'!$A$7:$F$202,6,FALSE)</f>
        <v>18</v>
      </c>
      <c r="T28" s="387">
        <f t="shared" si="6"/>
        <v>55.81</v>
      </c>
      <c r="U28" s="387">
        <f t="shared" si="17"/>
        <v>21.599999999999994</v>
      </c>
      <c r="V28" s="387">
        <f t="shared" si="18"/>
        <v>2374.1646999999998</v>
      </c>
      <c r="W28" s="346">
        <f t="shared" si="1"/>
        <v>0</v>
      </c>
      <c r="X28" s="346">
        <f t="shared" si="2"/>
        <v>1159.6327000000001</v>
      </c>
      <c r="Y28" s="346">
        <f t="shared" si="19"/>
        <v>0</v>
      </c>
      <c r="Z28" s="346">
        <f t="shared" si="3"/>
        <v>0</v>
      </c>
      <c r="AA28" s="346">
        <f t="shared" si="4"/>
        <v>0</v>
      </c>
      <c r="AB28" s="346">
        <f t="shared" si="5"/>
        <v>0</v>
      </c>
      <c r="AC28" s="346">
        <f t="shared" si="9"/>
        <v>0</v>
      </c>
      <c r="AD28" s="346">
        <f t="shared" si="10"/>
        <v>0</v>
      </c>
      <c r="AE28" s="346">
        <f t="shared" si="11"/>
        <v>0</v>
      </c>
      <c r="AF28" s="346">
        <f t="shared" si="12"/>
        <v>0</v>
      </c>
      <c r="AG28" s="346">
        <f t="shared" si="13"/>
        <v>0</v>
      </c>
      <c r="AH28" s="346">
        <f t="shared" si="14"/>
        <v>552.05999999999995</v>
      </c>
      <c r="AI28" s="445">
        <f t="shared" si="15"/>
        <v>1711.6927000000001</v>
      </c>
      <c r="AJ28" s="446">
        <f t="shared" si="16"/>
        <v>662.47199999999975</v>
      </c>
    </row>
    <row r="29" spans="1:39" s="163" customFormat="1" ht="22.5" x14ac:dyDescent="0.25">
      <c r="B29" s="384" t="s">
        <v>59</v>
      </c>
      <c r="C29" s="385">
        <v>96545</v>
      </c>
      <c r="D29" s="386" t="s">
        <v>61</v>
      </c>
      <c r="E29" s="387" t="s">
        <v>62</v>
      </c>
      <c r="F29" s="387">
        <v>15.99</v>
      </c>
      <c r="G29" s="387">
        <v>555.04999999999995</v>
      </c>
      <c r="H29" s="443"/>
      <c r="I29" s="443">
        <f>'MEMORIAL DE CALCULO 02'!K90</f>
        <v>44.520449999999997</v>
      </c>
      <c r="J29" s="443">
        <v>492.77940000000001</v>
      </c>
      <c r="K29" s="444"/>
      <c r="L29" s="444"/>
      <c r="M29" s="444"/>
      <c r="N29" s="387"/>
      <c r="O29" s="387"/>
      <c r="P29" s="444"/>
      <c r="Q29" s="444">
        <v>17.75</v>
      </c>
      <c r="R29" s="444">
        <v>0</v>
      </c>
      <c r="S29" s="444">
        <f>VLOOKUP(B29,'MEMÓRIA MEDIÇÃO 12'!$A$7:$F$202,6,FALSE)</f>
        <v>0</v>
      </c>
      <c r="T29" s="387">
        <f t="shared" si="6"/>
        <v>555.04984999999999</v>
      </c>
      <c r="U29" s="387">
        <f t="shared" si="17"/>
        <v>1.4999999996234692E-4</v>
      </c>
      <c r="V29" s="387">
        <f t="shared" si="18"/>
        <v>8875.2494999999999</v>
      </c>
      <c r="W29" s="346">
        <f t="shared" si="1"/>
        <v>0</v>
      </c>
      <c r="X29" s="346">
        <f t="shared" si="2"/>
        <v>711.8819954999999</v>
      </c>
      <c r="Y29" s="346">
        <f t="shared" si="19"/>
        <v>7879.542606</v>
      </c>
      <c r="Z29" s="346">
        <f t="shared" si="3"/>
        <v>0</v>
      </c>
      <c r="AA29" s="346">
        <f t="shared" si="4"/>
        <v>0</v>
      </c>
      <c r="AB29" s="346">
        <f t="shared" si="5"/>
        <v>0</v>
      </c>
      <c r="AC29" s="346">
        <f t="shared" si="9"/>
        <v>0</v>
      </c>
      <c r="AD29" s="346">
        <f t="shared" si="10"/>
        <v>0</v>
      </c>
      <c r="AE29" s="346">
        <f t="shared" si="11"/>
        <v>0</v>
      </c>
      <c r="AF29" s="346">
        <f t="shared" si="12"/>
        <v>283.82</v>
      </c>
      <c r="AG29" s="346">
        <f t="shared" si="13"/>
        <v>0</v>
      </c>
      <c r="AH29" s="346">
        <f t="shared" si="14"/>
        <v>0</v>
      </c>
      <c r="AI29" s="445">
        <f t="shared" si="15"/>
        <v>8875.2446014999987</v>
      </c>
      <c r="AJ29" s="446">
        <f t="shared" si="16"/>
        <v>4.8985000012180535E-3</v>
      </c>
    </row>
    <row r="30" spans="1:39" s="163" customFormat="1" ht="33.75" x14ac:dyDescent="0.25">
      <c r="B30" s="384" t="s">
        <v>63</v>
      </c>
      <c r="C30" s="385">
        <v>94966</v>
      </c>
      <c r="D30" s="386" t="s">
        <v>65</v>
      </c>
      <c r="E30" s="387" t="s">
        <v>41</v>
      </c>
      <c r="F30" s="387">
        <v>530.88</v>
      </c>
      <c r="G30" s="387">
        <v>22.89</v>
      </c>
      <c r="H30" s="443"/>
      <c r="I30" s="443">
        <f>'MEMORIAL DE CALCULO 02'!K99</f>
        <v>8.4130549999999982</v>
      </c>
      <c r="J30" s="443">
        <v>12.746919999999999</v>
      </c>
      <c r="K30" s="444"/>
      <c r="L30" s="444"/>
      <c r="M30" s="444"/>
      <c r="N30" s="387"/>
      <c r="O30" s="387"/>
      <c r="P30" s="444"/>
      <c r="Q30" s="444">
        <v>1.73</v>
      </c>
      <c r="R30" s="444">
        <v>0</v>
      </c>
      <c r="S30" s="444">
        <f>VLOOKUP(B30,'MEMÓRIA MEDIÇÃO 12'!$A$7:$F$202,6,FALSE)</f>
        <v>0</v>
      </c>
      <c r="T30" s="387">
        <f t="shared" si="6"/>
        <v>22.889974999999996</v>
      </c>
      <c r="U30" s="387">
        <f t="shared" si="17"/>
        <v>2.5000000004382628E-5</v>
      </c>
      <c r="V30" s="387">
        <f t="shared" si="18"/>
        <v>12151.843199999999</v>
      </c>
      <c r="W30" s="346">
        <f t="shared" si="1"/>
        <v>0</v>
      </c>
      <c r="X30" s="346">
        <f t="shared" si="2"/>
        <v>4466.3226383999991</v>
      </c>
      <c r="Y30" s="346">
        <f t="shared" si="19"/>
        <v>6767.0848895999998</v>
      </c>
      <c r="Z30" s="346">
        <f t="shared" si="3"/>
        <v>0</v>
      </c>
      <c r="AA30" s="346">
        <f t="shared" si="4"/>
        <v>0</v>
      </c>
      <c r="AB30" s="346">
        <f t="shared" si="5"/>
        <v>0</v>
      </c>
      <c r="AC30" s="346">
        <f t="shared" si="9"/>
        <v>0</v>
      </c>
      <c r="AD30" s="346">
        <f t="shared" si="10"/>
        <v>0</v>
      </c>
      <c r="AE30" s="346">
        <f t="shared" si="11"/>
        <v>0</v>
      </c>
      <c r="AF30" s="346">
        <f t="shared" si="12"/>
        <v>918.42</v>
      </c>
      <c r="AG30" s="346">
        <f t="shared" si="13"/>
        <v>0</v>
      </c>
      <c r="AH30" s="346">
        <f t="shared" si="14"/>
        <v>0</v>
      </c>
      <c r="AI30" s="445">
        <f t="shared" si="15"/>
        <v>12151.827528</v>
      </c>
      <c r="AJ30" s="446">
        <f t="shared" si="16"/>
        <v>1.5671999999540276E-2</v>
      </c>
    </row>
    <row r="31" spans="1:39" ht="33.75" x14ac:dyDescent="0.25">
      <c r="B31" s="384" t="s">
        <v>66</v>
      </c>
      <c r="C31" s="385">
        <v>94964</v>
      </c>
      <c r="D31" s="386" t="s">
        <v>68</v>
      </c>
      <c r="E31" s="387" t="s">
        <v>41</v>
      </c>
      <c r="F31" s="387">
        <v>488.69</v>
      </c>
      <c r="G31" s="387">
        <v>9.6</v>
      </c>
      <c r="H31" s="443"/>
      <c r="I31" s="443"/>
      <c r="J31" s="443">
        <v>9.6</v>
      </c>
      <c r="K31" s="444"/>
      <c r="L31" s="444"/>
      <c r="M31" s="444"/>
      <c r="N31" s="387"/>
      <c r="O31" s="387"/>
      <c r="P31" s="444"/>
      <c r="Q31" s="444"/>
      <c r="R31" s="444">
        <v>0</v>
      </c>
      <c r="S31" s="444">
        <f>VLOOKUP(B31,'MEMÓRIA MEDIÇÃO 12'!$A$7:$F$202,6,FALSE)</f>
        <v>0</v>
      </c>
      <c r="T31" s="387">
        <f t="shared" si="6"/>
        <v>9.6</v>
      </c>
      <c r="U31" s="387">
        <f t="shared" si="17"/>
        <v>0</v>
      </c>
      <c r="V31" s="387">
        <f t="shared" si="18"/>
        <v>4691.424</v>
      </c>
      <c r="W31" s="346">
        <f t="shared" si="1"/>
        <v>0</v>
      </c>
      <c r="X31" s="346">
        <f t="shared" si="2"/>
        <v>0</v>
      </c>
      <c r="Y31" s="346">
        <f t="shared" si="19"/>
        <v>4691.424</v>
      </c>
      <c r="Z31" s="346">
        <f t="shared" si="3"/>
        <v>0</v>
      </c>
      <c r="AA31" s="346">
        <f t="shared" si="4"/>
        <v>0</v>
      </c>
      <c r="AB31" s="346">
        <f t="shared" si="5"/>
        <v>0</v>
      </c>
      <c r="AC31" s="346">
        <f t="shared" si="9"/>
        <v>0</v>
      </c>
      <c r="AD31" s="346">
        <f t="shared" si="10"/>
        <v>0</v>
      </c>
      <c r="AE31" s="346">
        <f t="shared" si="11"/>
        <v>0</v>
      </c>
      <c r="AF31" s="346">
        <f t="shared" si="12"/>
        <v>0</v>
      </c>
      <c r="AG31" s="346">
        <f t="shared" si="13"/>
        <v>0</v>
      </c>
      <c r="AH31" s="346">
        <f t="shared" si="14"/>
        <v>0</v>
      </c>
      <c r="AI31" s="445">
        <f t="shared" si="15"/>
        <v>4691.424</v>
      </c>
      <c r="AJ31" s="446">
        <f t="shared" si="16"/>
        <v>0</v>
      </c>
    </row>
    <row r="32" spans="1:39" s="163" customFormat="1" ht="22.5" x14ac:dyDescent="0.25">
      <c r="B32" s="384" t="s">
        <v>69</v>
      </c>
      <c r="C32" s="385">
        <v>103670</v>
      </c>
      <c r="D32" s="386" t="s">
        <v>71</v>
      </c>
      <c r="E32" s="387" t="s">
        <v>41</v>
      </c>
      <c r="F32" s="387">
        <v>230.55</v>
      </c>
      <c r="G32" s="387">
        <v>32.49</v>
      </c>
      <c r="H32" s="443"/>
      <c r="I32" s="443">
        <f>'MEMORIAL DE CALCULO 02'!K151</f>
        <v>18.013054999999998</v>
      </c>
      <c r="J32" s="443">
        <v>12.746969999999999</v>
      </c>
      <c r="K32" s="444"/>
      <c r="L32" s="444"/>
      <c r="M32" s="444"/>
      <c r="N32" s="387"/>
      <c r="O32" s="387"/>
      <c r="P32" s="444"/>
      <c r="Q32" s="444">
        <v>1.73</v>
      </c>
      <c r="R32" s="444">
        <v>0</v>
      </c>
      <c r="S32" s="444">
        <f>VLOOKUP(B32,'MEMÓRIA MEDIÇÃO 12'!$A$7:$F$202,6,FALSE)</f>
        <v>0</v>
      </c>
      <c r="T32" s="387">
        <f t="shared" si="6"/>
        <v>32.490024999999996</v>
      </c>
      <c r="U32" s="387">
        <f t="shared" si="17"/>
        <v>-2.4999999993724487E-5</v>
      </c>
      <c r="V32" s="387">
        <f t="shared" si="18"/>
        <v>7490.5695000000005</v>
      </c>
      <c r="W32" s="346">
        <f t="shared" si="1"/>
        <v>0</v>
      </c>
      <c r="X32" s="346">
        <f t="shared" si="2"/>
        <v>4152.9098302499997</v>
      </c>
      <c r="Y32" s="346">
        <f t="shared" si="19"/>
        <v>2938.8139335000001</v>
      </c>
      <c r="Z32" s="346">
        <f t="shared" si="3"/>
        <v>0</v>
      </c>
      <c r="AA32" s="346">
        <f t="shared" si="4"/>
        <v>0</v>
      </c>
      <c r="AB32" s="346">
        <f t="shared" si="5"/>
        <v>0</v>
      </c>
      <c r="AC32" s="346">
        <f t="shared" si="9"/>
        <v>0</v>
      </c>
      <c r="AD32" s="346">
        <f t="shared" si="10"/>
        <v>0</v>
      </c>
      <c r="AE32" s="346">
        <f t="shared" si="11"/>
        <v>0</v>
      </c>
      <c r="AF32" s="346">
        <f t="shared" si="12"/>
        <v>398.85</v>
      </c>
      <c r="AG32" s="346">
        <f t="shared" si="13"/>
        <v>0</v>
      </c>
      <c r="AH32" s="346">
        <f t="shared" si="14"/>
        <v>0</v>
      </c>
      <c r="AI32" s="445">
        <f t="shared" si="15"/>
        <v>7490.5737637500006</v>
      </c>
      <c r="AJ32" s="446">
        <f t="shared" si="16"/>
        <v>-4.2637500000637374E-3</v>
      </c>
    </row>
    <row r="33" spans="2:39" s="163" customFormat="1" ht="22.5" x14ac:dyDescent="0.25">
      <c r="B33" s="384" t="s">
        <v>72</v>
      </c>
      <c r="C33" s="385">
        <v>96543</v>
      </c>
      <c r="D33" s="386" t="s">
        <v>74</v>
      </c>
      <c r="E33" s="387" t="s">
        <v>62</v>
      </c>
      <c r="F33" s="387">
        <v>17.5</v>
      </c>
      <c r="G33" s="387">
        <v>451.89</v>
      </c>
      <c r="H33" s="443"/>
      <c r="I33" s="443">
        <f>'MEMORIAL DE CALCULO 02'!K153</f>
        <v>194.26804319999999</v>
      </c>
      <c r="J33" s="443">
        <f>'MEMORIAL DE CALCULO 03'!K262</f>
        <v>210.13</v>
      </c>
      <c r="K33" s="444"/>
      <c r="L33" s="444"/>
      <c r="M33" s="444"/>
      <c r="N33" s="387"/>
      <c r="O33" s="387"/>
      <c r="P33" s="444"/>
      <c r="Q33" s="444">
        <v>47.49</v>
      </c>
      <c r="R33" s="444">
        <v>0</v>
      </c>
      <c r="S33" s="444">
        <f>VLOOKUP(B33,'MEMÓRIA MEDIÇÃO 12'!$A$7:$F$202,6,FALSE)</f>
        <v>0</v>
      </c>
      <c r="T33" s="387">
        <f t="shared" si="6"/>
        <v>451.88804319999997</v>
      </c>
      <c r="U33" s="387">
        <f t="shared" si="17"/>
        <v>1.9568000000163011E-3</v>
      </c>
      <c r="V33" s="387">
        <f t="shared" si="18"/>
        <v>7908.0749999999998</v>
      </c>
      <c r="W33" s="346">
        <f t="shared" si="1"/>
        <v>0</v>
      </c>
      <c r="X33" s="346">
        <f t="shared" si="2"/>
        <v>3399.690756</v>
      </c>
      <c r="Y33" s="346">
        <f t="shared" si="19"/>
        <v>3677.2750000000001</v>
      </c>
      <c r="Z33" s="346">
        <f t="shared" si="3"/>
        <v>0</v>
      </c>
      <c r="AA33" s="346">
        <f t="shared" si="4"/>
        <v>0</v>
      </c>
      <c r="AB33" s="346">
        <f t="shared" si="5"/>
        <v>0</v>
      </c>
      <c r="AC33" s="346">
        <f t="shared" si="9"/>
        <v>0</v>
      </c>
      <c r="AD33" s="346">
        <f t="shared" si="10"/>
        <v>0</v>
      </c>
      <c r="AE33" s="346">
        <f t="shared" si="11"/>
        <v>0</v>
      </c>
      <c r="AF33" s="346">
        <f t="shared" si="12"/>
        <v>831.07</v>
      </c>
      <c r="AG33" s="346">
        <f t="shared" si="13"/>
        <v>0</v>
      </c>
      <c r="AH33" s="346">
        <f t="shared" si="14"/>
        <v>0</v>
      </c>
      <c r="AI33" s="445">
        <f t="shared" si="15"/>
        <v>7908.0357559999993</v>
      </c>
      <c r="AJ33" s="446">
        <f t="shared" si="16"/>
        <v>3.9244000000508095E-2</v>
      </c>
    </row>
    <row r="34" spans="2:39" ht="22.5" x14ac:dyDescent="0.25">
      <c r="B34" s="384" t="s">
        <v>75</v>
      </c>
      <c r="C34" s="385">
        <v>96544</v>
      </c>
      <c r="D34" s="386" t="s">
        <v>77</v>
      </c>
      <c r="E34" s="387" t="s">
        <v>62</v>
      </c>
      <c r="F34" s="387">
        <v>16.59</v>
      </c>
      <c r="G34" s="387">
        <v>295</v>
      </c>
      <c r="H34" s="443"/>
      <c r="I34" s="443">
        <f>'MEMORIAL DE CALCULO 02'!K193</f>
        <v>295</v>
      </c>
      <c r="J34" s="443"/>
      <c r="K34" s="444"/>
      <c r="L34" s="444"/>
      <c r="M34" s="444"/>
      <c r="N34" s="387"/>
      <c r="O34" s="387"/>
      <c r="P34" s="444"/>
      <c r="Q34" s="444"/>
      <c r="R34" s="444">
        <v>0</v>
      </c>
      <c r="S34" s="444">
        <f>VLOOKUP(B34,'MEMÓRIA MEDIÇÃO 12'!$A$7:$F$202,6,FALSE)</f>
        <v>0</v>
      </c>
      <c r="T34" s="387">
        <f t="shared" si="6"/>
        <v>295</v>
      </c>
      <c r="U34" s="387">
        <f t="shared" si="17"/>
        <v>0</v>
      </c>
      <c r="V34" s="387">
        <f t="shared" si="18"/>
        <v>4894.05</v>
      </c>
      <c r="W34" s="346">
        <f t="shared" si="1"/>
        <v>0</v>
      </c>
      <c r="X34" s="346">
        <f t="shared" si="2"/>
        <v>4894.05</v>
      </c>
      <c r="Y34" s="346">
        <f t="shared" si="19"/>
        <v>0</v>
      </c>
      <c r="Z34" s="346">
        <f t="shared" si="3"/>
        <v>0</v>
      </c>
      <c r="AA34" s="346">
        <f t="shared" si="4"/>
        <v>0</v>
      </c>
      <c r="AB34" s="346">
        <f t="shared" si="5"/>
        <v>0</v>
      </c>
      <c r="AC34" s="346">
        <f t="shared" si="9"/>
        <v>0</v>
      </c>
      <c r="AD34" s="346">
        <f t="shared" si="10"/>
        <v>0</v>
      </c>
      <c r="AE34" s="346">
        <f t="shared" si="11"/>
        <v>0</v>
      </c>
      <c r="AF34" s="346">
        <f t="shared" si="12"/>
        <v>0</v>
      </c>
      <c r="AG34" s="346">
        <f t="shared" si="13"/>
        <v>0</v>
      </c>
      <c r="AH34" s="346">
        <f t="shared" si="14"/>
        <v>0</v>
      </c>
      <c r="AI34" s="445">
        <f t="shared" si="15"/>
        <v>4894.05</v>
      </c>
      <c r="AJ34" s="446">
        <f t="shared" si="16"/>
        <v>0</v>
      </c>
      <c r="AM34" s="164"/>
    </row>
    <row r="35" spans="2:39" ht="22.5" x14ac:dyDescent="0.25">
      <c r="B35" s="384" t="s">
        <v>78</v>
      </c>
      <c r="C35" s="385">
        <v>96546</v>
      </c>
      <c r="D35" s="386" t="s">
        <v>80</v>
      </c>
      <c r="E35" s="387" t="s">
        <v>62</v>
      </c>
      <c r="F35" s="387">
        <v>14.35</v>
      </c>
      <c r="G35" s="387">
        <v>685.99</v>
      </c>
      <c r="H35" s="443"/>
      <c r="I35" s="443">
        <v>534.1</v>
      </c>
      <c r="J35" s="443"/>
      <c r="K35" s="444"/>
      <c r="L35" s="444"/>
      <c r="M35" s="444"/>
      <c r="N35" s="387"/>
      <c r="O35" s="387"/>
      <c r="P35" s="444"/>
      <c r="Q35" s="444">
        <v>151.88999999999999</v>
      </c>
      <c r="R35" s="444">
        <v>0</v>
      </c>
      <c r="S35" s="444">
        <f>VLOOKUP(B35,'MEMÓRIA MEDIÇÃO 12'!$A$7:$F$202,6,FALSE)</f>
        <v>0</v>
      </c>
      <c r="T35" s="387">
        <f t="shared" si="6"/>
        <v>685.99</v>
      </c>
      <c r="U35" s="387">
        <f t="shared" si="17"/>
        <v>0</v>
      </c>
      <c r="V35" s="387">
        <f t="shared" si="18"/>
        <v>9843.9565000000002</v>
      </c>
      <c r="W35" s="346">
        <f t="shared" si="1"/>
        <v>0</v>
      </c>
      <c r="X35" s="346">
        <f t="shared" si="2"/>
        <v>7664.335</v>
      </c>
      <c r="Y35" s="346">
        <f t="shared" si="19"/>
        <v>0</v>
      </c>
      <c r="Z35" s="346">
        <f t="shared" si="3"/>
        <v>0</v>
      </c>
      <c r="AA35" s="346">
        <f t="shared" si="4"/>
        <v>0</v>
      </c>
      <c r="AB35" s="346">
        <f t="shared" si="5"/>
        <v>0</v>
      </c>
      <c r="AC35" s="346">
        <f t="shared" si="9"/>
        <v>0</v>
      </c>
      <c r="AD35" s="346">
        <f t="shared" si="10"/>
        <v>0</v>
      </c>
      <c r="AE35" s="346">
        <f t="shared" si="11"/>
        <v>0</v>
      </c>
      <c r="AF35" s="346">
        <f t="shared" si="12"/>
        <v>2179.62</v>
      </c>
      <c r="AG35" s="346">
        <f t="shared" si="13"/>
        <v>0</v>
      </c>
      <c r="AH35" s="346">
        <f t="shared" si="14"/>
        <v>0</v>
      </c>
      <c r="AI35" s="445">
        <f t="shared" si="15"/>
        <v>9843.9549999999999</v>
      </c>
      <c r="AJ35" s="446">
        <f t="shared" si="16"/>
        <v>1.5000000003055902E-3</v>
      </c>
    </row>
    <row r="36" spans="2:39" s="163" customFormat="1" ht="22.5" x14ac:dyDescent="0.25">
      <c r="B36" s="384" t="s">
        <v>81</v>
      </c>
      <c r="C36" s="385">
        <v>96547</v>
      </c>
      <c r="D36" s="386" t="s">
        <v>83</v>
      </c>
      <c r="E36" s="387" t="s">
        <v>62</v>
      </c>
      <c r="F36" s="387">
        <v>11.9</v>
      </c>
      <c r="G36" s="387">
        <v>179.26</v>
      </c>
      <c r="H36" s="443"/>
      <c r="I36" s="443">
        <f>'MEMORIAL DE CALCULO 02'!K221</f>
        <v>100.55646000000002</v>
      </c>
      <c r="J36" s="443">
        <f>'MEMORIAL DE CALCULO 03'!K330</f>
        <v>52.34</v>
      </c>
      <c r="K36" s="444"/>
      <c r="L36" s="444"/>
      <c r="M36" s="444"/>
      <c r="N36" s="387"/>
      <c r="O36" s="387"/>
      <c r="P36" s="444"/>
      <c r="Q36" s="444">
        <v>26.36</v>
      </c>
      <c r="R36" s="444">
        <v>0</v>
      </c>
      <c r="S36" s="444">
        <f>VLOOKUP(B36,'MEMÓRIA MEDIÇÃO 12'!$A$7:$F$202,6,FALSE)</f>
        <v>0</v>
      </c>
      <c r="T36" s="387">
        <f t="shared" si="6"/>
        <v>179.25646</v>
      </c>
      <c r="U36" s="387">
        <f t="shared" si="17"/>
        <v>3.5399999999867759E-3</v>
      </c>
      <c r="V36" s="387">
        <f t="shared" si="18"/>
        <v>2133.194</v>
      </c>
      <c r="W36" s="346">
        <f t="shared" si="1"/>
        <v>0</v>
      </c>
      <c r="X36" s="346">
        <f t="shared" si="2"/>
        <v>1196.6218740000002</v>
      </c>
      <c r="Y36" s="346">
        <f t="shared" si="19"/>
        <v>622.846</v>
      </c>
      <c r="Z36" s="346">
        <f t="shared" si="3"/>
        <v>0</v>
      </c>
      <c r="AA36" s="346">
        <f t="shared" si="4"/>
        <v>0</v>
      </c>
      <c r="AB36" s="346">
        <f t="shared" si="5"/>
        <v>0</v>
      </c>
      <c r="AC36" s="346">
        <f t="shared" si="9"/>
        <v>0</v>
      </c>
      <c r="AD36" s="346">
        <f t="shared" si="10"/>
        <v>0</v>
      </c>
      <c r="AE36" s="346">
        <f t="shared" si="11"/>
        <v>0</v>
      </c>
      <c r="AF36" s="346">
        <f t="shared" si="12"/>
        <v>313.68</v>
      </c>
      <c r="AG36" s="346">
        <f t="shared" si="13"/>
        <v>0</v>
      </c>
      <c r="AH36" s="346">
        <f t="shared" si="14"/>
        <v>0</v>
      </c>
      <c r="AI36" s="445">
        <f t="shared" si="15"/>
        <v>2133.1478740000002</v>
      </c>
      <c r="AJ36" s="446">
        <f t="shared" si="16"/>
        <v>4.6125999999730993E-2</v>
      </c>
    </row>
    <row r="37" spans="2:39" s="163" customFormat="1" ht="33.75" x14ac:dyDescent="0.25">
      <c r="B37" s="384" t="s">
        <v>84</v>
      </c>
      <c r="C37" s="385">
        <v>96536</v>
      </c>
      <c r="D37" s="386" t="s">
        <v>86</v>
      </c>
      <c r="E37" s="387" t="s">
        <v>17</v>
      </c>
      <c r="F37" s="387">
        <v>69.64</v>
      </c>
      <c r="G37" s="387">
        <v>463.77</v>
      </c>
      <c r="H37" s="443"/>
      <c r="I37" s="443">
        <f>'MEMORIAL DE CALCULO 02'!K238</f>
        <v>206.33700000000002</v>
      </c>
      <c r="J37" s="443">
        <f>'MEMORIAL DE CALCULO 03'!K340</f>
        <v>223.49</v>
      </c>
      <c r="K37" s="444"/>
      <c r="L37" s="444"/>
      <c r="M37" s="444"/>
      <c r="N37" s="387"/>
      <c r="O37" s="387"/>
      <c r="P37" s="444"/>
      <c r="Q37" s="444">
        <v>33.94</v>
      </c>
      <c r="R37" s="444">
        <v>0</v>
      </c>
      <c r="S37" s="444">
        <f>VLOOKUP(B37,'MEMÓRIA MEDIÇÃO 12'!$A$7:$F$202,6,FALSE)</f>
        <v>0</v>
      </c>
      <c r="T37" s="387">
        <f t="shared" si="6"/>
        <v>463.767</v>
      </c>
      <c r="U37" s="387">
        <f t="shared" si="17"/>
        <v>2.9999999999859028E-3</v>
      </c>
      <c r="V37" s="387">
        <f t="shared" si="18"/>
        <v>32296.942800000001</v>
      </c>
      <c r="W37" s="346">
        <f t="shared" si="1"/>
        <v>0</v>
      </c>
      <c r="X37" s="346">
        <f t="shared" si="2"/>
        <v>14369.308680000002</v>
      </c>
      <c r="Y37" s="346">
        <f t="shared" si="19"/>
        <v>15563.8436</v>
      </c>
      <c r="Z37" s="346">
        <f t="shared" si="3"/>
        <v>0</v>
      </c>
      <c r="AA37" s="346">
        <f t="shared" si="4"/>
        <v>0</v>
      </c>
      <c r="AB37" s="346">
        <f t="shared" si="5"/>
        <v>0</v>
      </c>
      <c r="AC37" s="346">
        <f t="shared" si="9"/>
        <v>0</v>
      </c>
      <c r="AD37" s="346">
        <f t="shared" si="10"/>
        <v>0</v>
      </c>
      <c r="AE37" s="346">
        <f t="shared" si="11"/>
        <v>0</v>
      </c>
      <c r="AF37" s="346">
        <f t="shared" si="12"/>
        <v>2363.58</v>
      </c>
      <c r="AG37" s="346">
        <f t="shared" si="13"/>
        <v>0</v>
      </c>
      <c r="AH37" s="346">
        <f t="shared" si="14"/>
        <v>0</v>
      </c>
      <c r="AI37" s="445">
        <f t="shared" si="15"/>
        <v>32296.732280000004</v>
      </c>
      <c r="AJ37" s="446">
        <f t="shared" si="16"/>
        <v>0.21051999999690452</v>
      </c>
    </row>
    <row r="38" spans="2:39" s="164" customFormat="1" ht="22.5" x14ac:dyDescent="0.25">
      <c r="B38" s="384" t="s">
        <v>87</v>
      </c>
      <c r="C38" s="385">
        <v>98557</v>
      </c>
      <c r="D38" s="386" t="s">
        <v>89</v>
      </c>
      <c r="E38" s="387" t="s">
        <v>17</v>
      </c>
      <c r="F38" s="387">
        <v>48.22</v>
      </c>
      <c r="G38" s="387">
        <v>261.83</v>
      </c>
      <c r="H38" s="443"/>
      <c r="I38" s="443"/>
      <c r="J38" s="443"/>
      <c r="K38" s="444">
        <f>'MEMORIAL DE CALCULO 04'!K381</f>
        <v>253.95000000000002</v>
      </c>
      <c r="L38" s="444"/>
      <c r="M38" s="444"/>
      <c r="N38" s="387"/>
      <c r="O38" s="387"/>
      <c r="P38" s="444"/>
      <c r="Q38" s="444">
        <v>7.88</v>
      </c>
      <c r="R38" s="444">
        <v>0</v>
      </c>
      <c r="S38" s="444">
        <f>VLOOKUP(B38,'MEMÓRIA MEDIÇÃO 12'!$A$7:$F$202,6,FALSE)</f>
        <v>0</v>
      </c>
      <c r="T38" s="387">
        <f t="shared" si="6"/>
        <v>261.83000000000004</v>
      </c>
      <c r="U38" s="387">
        <f t="shared" si="17"/>
        <v>0</v>
      </c>
      <c r="V38" s="387">
        <f t="shared" si="18"/>
        <v>12625.442599999998</v>
      </c>
      <c r="W38" s="346">
        <f t="shared" si="1"/>
        <v>0</v>
      </c>
      <c r="X38" s="346">
        <f t="shared" si="2"/>
        <v>0</v>
      </c>
      <c r="Y38" s="346">
        <f t="shared" si="19"/>
        <v>0</v>
      </c>
      <c r="Z38" s="346">
        <f t="shared" si="3"/>
        <v>12245.46</v>
      </c>
      <c r="AA38" s="346">
        <f t="shared" si="4"/>
        <v>0</v>
      </c>
      <c r="AB38" s="346">
        <f t="shared" si="5"/>
        <v>0</v>
      </c>
      <c r="AC38" s="346">
        <f t="shared" si="9"/>
        <v>0</v>
      </c>
      <c r="AD38" s="346">
        <f t="shared" si="10"/>
        <v>0</v>
      </c>
      <c r="AE38" s="346">
        <f t="shared" si="11"/>
        <v>0</v>
      </c>
      <c r="AF38" s="346">
        <f t="shared" si="12"/>
        <v>379.97</v>
      </c>
      <c r="AG38" s="346">
        <f t="shared" si="13"/>
        <v>0</v>
      </c>
      <c r="AH38" s="346">
        <f t="shared" si="14"/>
        <v>0</v>
      </c>
      <c r="AI38" s="445">
        <f t="shared" si="15"/>
        <v>12625.429999999998</v>
      </c>
      <c r="AJ38" s="446">
        <f t="shared" si="16"/>
        <v>1.2600000000020373E-2</v>
      </c>
    </row>
    <row r="39" spans="2:39" x14ac:dyDescent="0.25">
      <c r="B39" s="347" t="s">
        <v>90</v>
      </c>
      <c r="C39" s="348" t="s">
        <v>91</v>
      </c>
      <c r="D39" s="386"/>
      <c r="E39" s="387"/>
      <c r="F39" s="387"/>
      <c r="G39" s="387"/>
      <c r="H39" s="443"/>
      <c r="I39" s="443"/>
      <c r="J39" s="443"/>
      <c r="K39" s="444"/>
      <c r="L39" s="444"/>
      <c r="M39" s="444"/>
      <c r="N39" s="387"/>
      <c r="O39" s="387"/>
      <c r="P39" s="444"/>
      <c r="Q39" s="444"/>
      <c r="R39" s="444">
        <v>0</v>
      </c>
      <c r="S39" s="444">
        <f>VLOOKUP(B39,'MEMÓRIA MEDIÇÃO 12'!$A$7:$F$202,6,FALSE)</f>
        <v>0</v>
      </c>
      <c r="T39" s="387">
        <f t="shared" si="6"/>
        <v>0</v>
      </c>
      <c r="U39" s="387"/>
      <c r="V39" s="387"/>
      <c r="W39" s="346">
        <f t="shared" si="1"/>
        <v>0</v>
      </c>
      <c r="X39" s="346">
        <f t="shared" si="2"/>
        <v>0</v>
      </c>
      <c r="Y39" s="346">
        <f t="shared" si="19"/>
        <v>0</v>
      </c>
      <c r="Z39" s="346">
        <f t="shared" si="3"/>
        <v>0</v>
      </c>
      <c r="AA39" s="346">
        <f t="shared" si="4"/>
        <v>0</v>
      </c>
      <c r="AB39" s="346">
        <f t="shared" si="5"/>
        <v>0</v>
      </c>
      <c r="AC39" s="346">
        <f t="shared" si="9"/>
        <v>0</v>
      </c>
      <c r="AD39" s="346">
        <f t="shared" si="10"/>
        <v>0</v>
      </c>
      <c r="AE39" s="346">
        <f t="shared" si="11"/>
        <v>0</v>
      </c>
      <c r="AF39" s="346">
        <f t="shared" si="12"/>
        <v>0</v>
      </c>
      <c r="AG39" s="346">
        <f t="shared" si="13"/>
        <v>0</v>
      </c>
      <c r="AH39" s="346">
        <f t="shared" si="14"/>
        <v>0</v>
      </c>
      <c r="AI39" s="445">
        <f t="shared" si="15"/>
        <v>0</v>
      </c>
      <c r="AJ39" s="446">
        <f t="shared" si="16"/>
        <v>0</v>
      </c>
    </row>
    <row r="40" spans="2:39" s="164" customFormat="1" ht="45" x14ac:dyDescent="0.35">
      <c r="B40" s="384" t="s">
        <v>92</v>
      </c>
      <c r="C40" s="385">
        <v>92443</v>
      </c>
      <c r="D40" s="386" t="s">
        <v>94</v>
      </c>
      <c r="E40" s="387" t="s">
        <v>17</v>
      </c>
      <c r="F40" s="387">
        <v>40.35</v>
      </c>
      <c r="G40" s="387">
        <v>410.98</v>
      </c>
      <c r="H40" s="443"/>
      <c r="I40" s="443"/>
      <c r="J40" s="443"/>
      <c r="K40" s="444">
        <f>'MEMORIAL DE CALCULO 04'!K384</f>
        <v>190.61699999999999</v>
      </c>
      <c r="L40" s="444">
        <f>'MEMORIAL DE CALCULO 05'!K384</f>
        <v>209.24299999999999</v>
      </c>
      <c r="M40" s="444"/>
      <c r="N40" s="387"/>
      <c r="O40" s="387"/>
      <c r="P40" s="444">
        <f>'MEMORIAL DE CALCULO 09)'!K384</f>
        <v>8.8404000000000007</v>
      </c>
      <c r="Q40" s="444">
        <v>2.2799999999999727</v>
      </c>
      <c r="R40" s="444">
        <v>0</v>
      </c>
      <c r="S40" s="444">
        <f>VLOOKUP(B40,'MEMÓRIA MEDIÇÃO 12'!$A$7:$F$202,6,FALSE)</f>
        <v>0</v>
      </c>
      <c r="T40" s="387">
        <f t="shared" si="6"/>
        <v>410.98039999999997</v>
      </c>
      <c r="U40" s="387">
        <f t="shared" ref="U40:U54" si="20">G40-T40</f>
        <v>-3.999999999564352E-4</v>
      </c>
      <c r="V40" s="387">
        <f t="shared" ref="V40:V54" si="21">F40*G40</f>
        <v>16583.043000000001</v>
      </c>
      <c r="W40" s="346">
        <f t="shared" si="1"/>
        <v>0</v>
      </c>
      <c r="X40" s="346">
        <f t="shared" si="2"/>
        <v>0</v>
      </c>
      <c r="Y40" s="346">
        <f t="shared" si="19"/>
        <v>0</v>
      </c>
      <c r="Z40" s="346">
        <f t="shared" si="3"/>
        <v>7691.39</v>
      </c>
      <c r="AA40" s="346">
        <f t="shared" si="4"/>
        <v>8442.9500000000007</v>
      </c>
      <c r="AB40" s="346">
        <f t="shared" si="5"/>
        <v>0</v>
      </c>
      <c r="AC40" s="346">
        <f t="shared" si="9"/>
        <v>0</v>
      </c>
      <c r="AD40" s="346">
        <f t="shared" si="10"/>
        <v>0</v>
      </c>
      <c r="AE40" s="346">
        <f t="shared" si="11"/>
        <v>356.71</v>
      </c>
      <c r="AF40" s="346">
        <f t="shared" si="12"/>
        <v>91.99</v>
      </c>
      <c r="AG40" s="346">
        <f t="shared" si="13"/>
        <v>0</v>
      </c>
      <c r="AH40" s="346">
        <f t="shared" si="14"/>
        <v>0</v>
      </c>
      <c r="AI40" s="445">
        <f t="shared" si="15"/>
        <v>16583.04</v>
      </c>
      <c r="AJ40" s="446">
        <f t="shared" si="16"/>
        <v>3.0000000006111804E-3</v>
      </c>
      <c r="AL40" s="378"/>
    </row>
    <row r="41" spans="2:39" s="169" customFormat="1" ht="33.75" x14ac:dyDescent="0.25">
      <c r="B41" s="384" t="s">
        <v>95</v>
      </c>
      <c r="C41" s="385">
        <v>92480</v>
      </c>
      <c r="D41" s="391" t="s">
        <v>97</v>
      </c>
      <c r="E41" s="387" t="s">
        <v>17</v>
      </c>
      <c r="F41" s="387">
        <v>62.17</v>
      </c>
      <c r="G41" s="387">
        <v>439.82</v>
      </c>
      <c r="H41" s="278"/>
      <c r="I41" s="278"/>
      <c r="J41" s="443"/>
      <c r="K41" s="278"/>
      <c r="L41" s="278"/>
      <c r="M41" s="443">
        <f>'MEMORIAL DE CALCULO 06'!K384</f>
        <v>261.94400000000002</v>
      </c>
      <c r="N41" s="443">
        <f>'MEMORIAL DE CALCULO 07'!K384</f>
        <v>32.747</v>
      </c>
      <c r="O41" s="443">
        <f>'MEMORIAL DE CALCULO 08'!K384</f>
        <v>32.743000000000002</v>
      </c>
      <c r="P41" s="443">
        <f>'MEMORIAL DE CALCULO 09)'!K386</f>
        <v>107.89619999999999</v>
      </c>
      <c r="Q41" s="444">
        <v>4.4879999999999995</v>
      </c>
      <c r="R41" s="444">
        <v>0</v>
      </c>
      <c r="S41" s="444">
        <f>VLOOKUP(B41,'MEMÓRIA MEDIÇÃO 12'!$A$7:$F$202,6,FALSE)</f>
        <v>0</v>
      </c>
      <c r="T41" s="387">
        <f t="shared" si="6"/>
        <v>439.81819999999999</v>
      </c>
      <c r="U41" s="387">
        <f t="shared" si="20"/>
        <v>1.8000000000029104E-3</v>
      </c>
      <c r="V41" s="387">
        <f t="shared" si="21"/>
        <v>27343.609400000001</v>
      </c>
      <c r="W41" s="346">
        <f t="shared" si="1"/>
        <v>0</v>
      </c>
      <c r="X41" s="346">
        <f t="shared" si="2"/>
        <v>0</v>
      </c>
      <c r="Y41" s="346">
        <f t="shared" si="19"/>
        <v>0</v>
      </c>
      <c r="Z41" s="346">
        <f t="shared" si="3"/>
        <v>0</v>
      </c>
      <c r="AA41" s="346">
        <f t="shared" si="4"/>
        <v>0</v>
      </c>
      <c r="AB41" s="346">
        <f t="shared" si="5"/>
        <v>16285.058480000002</v>
      </c>
      <c r="AC41" s="346">
        <f t="shared" si="9"/>
        <v>2035.8809900000001</v>
      </c>
      <c r="AD41" s="346">
        <f t="shared" si="10"/>
        <v>2035.63</v>
      </c>
      <c r="AE41" s="346">
        <f t="shared" si="11"/>
        <v>6707.9</v>
      </c>
      <c r="AF41" s="346">
        <f t="shared" si="12"/>
        <v>279.01</v>
      </c>
      <c r="AG41" s="346">
        <f t="shared" si="13"/>
        <v>0</v>
      </c>
      <c r="AH41" s="346">
        <f t="shared" si="14"/>
        <v>0</v>
      </c>
      <c r="AI41" s="445">
        <f t="shared" si="15"/>
        <v>27343.479470000002</v>
      </c>
      <c r="AJ41" s="446">
        <f>V41-AI41</f>
        <v>0.129929999999149</v>
      </c>
    </row>
    <row r="42" spans="2:39" s="169" customFormat="1" ht="22.5" x14ac:dyDescent="0.25">
      <c r="B42" s="384" t="s">
        <v>98</v>
      </c>
      <c r="C42" s="385">
        <v>92267</v>
      </c>
      <c r="D42" s="386" t="s">
        <v>100</v>
      </c>
      <c r="E42" s="387" t="s">
        <v>17</v>
      </c>
      <c r="F42" s="387">
        <v>30.99</v>
      </c>
      <c r="G42" s="387">
        <v>130.82</v>
      </c>
      <c r="H42" s="444"/>
      <c r="I42" s="443"/>
      <c r="J42" s="443"/>
      <c r="K42" s="444"/>
      <c r="L42" s="444"/>
      <c r="M42" s="444"/>
      <c r="N42" s="444"/>
      <c r="O42" s="444">
        <f>'MEMORIAL DE CALCULO 08'!K386</f>
        <v>53.183999999999997</v>
      </c>
      <c r="P42" s="444">
        <f>'MEMORIAL DE CALCULO 09)'!K389</f>
        <v>57.966300000000004</v>
      </c>
      <c r="Q42" s="444">
        <v>19.674650000000014</v>
      </c>
      <c r="R42" s="444">
        <v>0</v>
      </c>
      <c r="S42" s="444">
        <f>VLOOKUP(B42,'MEMÓRIA MEDIÇÃO 12'!$A$7:$F$202,6,FALSE)</f>
        <v>0</v>
      </c>
      <c r="T42" s="387">
        <f t="shared" si="6"/>
        <v>130.82495</v>
      </c>
      <c r="U42" s="387">
        <f t="shared" si="20"/>
        <v>-4.9500000000080036E-3</v>
      </c>
      <c r="V42" s="387">
        <f t="shared" si="21"/>
        <v>4054.1117999999997</v>
      </c>
      <c r="W42" s="346">
        <f t="shared" si="1"/>
        <v>0</v>
      </c>
      <c r="X42" s="346">
        <f t="shared" si="2"/>
        <v>0</v>
      </c>
      <c r="Y42" s="346">
        <f t="shared" si="19"/>
        <v>0</v>
      </c>
      <c r="Z42" s="346">
        <f t="shared" si="3"/>
        <v>0</v>
      </c>
      <c r="AA42" s="346">
        <f t="shared" si="4"/>
        <v>0</v>
      </c>
      <c r="AB42" s="346">
        <f t="shared" si="5"/>
        <v>0</v>
      </c>
      <c r="AC42" s="346">
        <f t="shared" si="9"/>
        <v>0</v>
      </c>
      <c r="AD42" s="346">
        <f t="shared" si="10"/>
        <v>1648.17</v>
      </c>
      <c r="AE42" s="346">
        <f t="shared" si="11"/>
        <v>1796.37</v>
      </c>
      <c r="AF42" s="346">
        <f t="shared" si="12"/>
        <v>609.71</v>
      </c>
      <c r="AG42" s="346">
        <f t="shared" si="13"/>
        <v>0</v>
      </c>
      <c r="AH42" s="346">
        <f t="shared" si="14"/>
        <v>0</v>
      </c>
      <c r="AI42" s="445">
        <f t="shared" si="15"/>
        <v>4054.25</v>
      </c>
      <c r="AJ42" s="446">
        <f t="shared" si="16"/>
        <v>-0.13820000000032451</v>
      </c>
    </row>
    <row r="43" spans="2:39" s="169" customFormat="1" ht="33.75" x14ac:dyDescent="0.25">
      <c r="B43" s="384" t="s">
        <v>101</v>
      </c>
      <c r="C43" s="385">
        <v>92759</v>
      </c>
      <c r="D43" s="386" t="s">
        <v>103</v>
      </c>
      <c r="E43" s="387" t="s">
        <v>62</v>
      </c>
      <c r="F43" s="387">
        <v>14.67</v>
      </c>
      <c r="G43" s="387">
        <v>1036.2</v>
      </c>
      <c r="H43" s="444"/>
      <c r="I43" s="443"/>
      <c r="J43" s="443"/>
      <c r="K43" s="444">
        <f>'MEMORIAL DE CALCULO 04'!K389</f>
        <v>222.09999999999997</v>
      </c>
      <c r="L43" s="444">
        <f>'MEMORIAL DE CALCULO 05'!K389</f>
        <v>460.6</v>
      </c>
      <c r="M43" s="444">
        <f>'MEMORIAL DE CALCULO 06'!K386</f>
        <v>214.5</v>
      </c>
      <c r="N43" s="387"/>
      <c r="O43" s="387"/>
      <c r="P43" s="444">
        <f>'MEMORIAL DE CALCULO 09)'!K392</f>
        <v>130.6009</v>
      </c>
      <c r="Q43" s="444">
        <v>8.4037799999998697</v>
      </c>
      <c r="R43" s="444">
        <v>0</v>
      </c>
      <c r="S43" s="444">
        <f>VLOOKUP(B43,'MEMÓRIA MEDIÇÃO 12'!$A$7:$F$202,6,FALSE)</f>
        <v>0</v>
      </c>
      <c r="T43" s="387">
        <f t="shared" si="6"/>
        <v>1036.2046799999998</v>
      </c>
      <c r="U43" s="387">
        <f>G43-T43</f>
        <v>-4.6799999997801933E-3</v>
      </c>
      <c r="V43" s="387">
        <f t="shared" si="21"/>
        <v>15201.054</v>
      </c>
      <c r="W43" s="346">
        <f t="shared" si="1"/>
        <v>0</v>
      </c>
      <c r="X43" s="346">
        <f t="shared" si="2"/>
        <v>0</v>
      </c>
      <c r="Y43" s="346">
        <f t="shared" si="19"/>
        <v>0</v>
      </c>
      <c r="Z43" s="346">
        <f t="shared" si="3"/>
        <v>3258.2</v>
      </c>
      <c r="AA43" s="346">
        <f t="shared" si="4"/>
        <v>6757</v>
      </c>
      <c r="AB43" s="346">
        <f t="shared" si="5"/>
        <v>3146.7150000000001</v>
      </c>
      <c r="AC43" s="346">
        <f t="shared" si="9"/>
        <v>0</v>
      </c>
      <c r="AD43" s="346">
        <f t="shared" si="10"/>
        <v>0</v>
      </c>
      <c r="AE43" s="346">
        <f t="shared" si="11"/>
        <v>1915.91</v>
      </c>
      <c r="AF43" s="346">
        <f t="shared" si="12"/>
        <v>123.28</v>
      </c>
      <c r="AG43" s="346">
        <f t="shared" si="13"/>
        <v>0</v>
      </c>
      <c r="AH43" s="346">
        <f t="shared" si="14"/>
        <v>0</v>
      </c>
      <c r="AI43" s="445">
        <f t="shared" si="15"/>
        <v>15201.105000000001</v>
      </c>
      <c r="AJ43" s="446">
        <f t="shared" si="16"/>
        <v>-5.100000000129512E-2</v>
      </c>
    </row>
    <row r="44" spans="2:39" s="169" customFormat="1" ht="33.75" x14ac:dyDescent="0.25">
      <c r="B44" s="384" t="s">
        <v>104</v>
      </c>
      <c r="C44" s="385">
        <v>92760</v>
      </c>
      <c r="D44" s="386" t="s">
        <v>106</v>
      </c>
      <c r="E44" s="387" t="s">
        <v>62</v>
      </c>
      <c r="F44" s="387">
        <v>14.4</v>
      </c>
      <c r="G44" s="387">
        <v>39.1</v>
      </c>
      <c r="H44" s="444"/>
      <c r="I44" s="443"/>
      <c r="J44" s="443"/>
      <c r="K44" s="444"/>
      <c r="L44" s="444">
        <f>'MEMORIAL DE CALCULO 05'!K393</f>
        <v>23.46</v>
      </c>
      <c r="M44" s="444">
        <f>'MEMORIAL DE CALCULO 06'!K388</f>
        <v>15.64</v>
      </c>
      <c r="N44" s="387"/>
      <c r="O44" s="387"/>
      <c r="P44" s="444"/>
      <c r="Q44" s="444"/>
      <c r="R44" s="444">
        <v>0</v>
      </c>
      <c r="S44" s="444">
        <f>VLOOKUP(B44,'MEMÓRIA MEDIÇÃO 12'!$A$7:$F$202,6,FALSE)</f>
        <v>0</v>
      </c>
      <c r="T44" s="387">
        <f t="shared" si="6"/>
        <v>39.1</v>
      </c>
      <c r="U44" s="387">
        <f t="shared" si="20"/>
        <v>0</v>
      </c>
      <c r="V44" s="387">
        <f t="shared" si="21"/>
        <v>563.04000000000008</v>
      </c>
      <c r="W44" s="346">
        <f t="shared" si="1"/>
        <v>0</v>
      </c>
      <c r="X44" s="346">
        <f t="shared" si="2"/>
        <v>0</v>
      </c>
      <c r="Y44" s="346">
        <f t="shared" si="19"/>
        <v>0</v>
      </c>
      <c r="Z44" s="346">
        <f t="shared" si="3"/>
        <v>0</v>
      </c>
      <c r="AA44" s="346">
        <f t="shared" si="4"/>
        <v>337.82</v>
      </c>
      <c r="AB44" s="346">
        <f t="shared" si="5"/>
        <v>225.21600000000001</v>
      </c>
      <c r="AC44" s="346">
        <f t="shared" si="9"/>
        <v>0</v>
      </c>
      <c r="AD44" s="346">
        <f t="shared" si="10"/>
        <v>0</v>
      </c>
      <c r="AE44" s="346">
        <f t="shared" si="11"/>
        <v>0</v>
      </c>
      <c r="AF44" s="346">
        <f t="shared" si="12"/>
        <v>0</v>
      </c>
      <c r="AG44" s="346">
        <f t="shared" si="13"/>
        <v>0</v>
      </c>
      <c r="AH44" s="346">
        <f t="shared" si="14"/>
        <v>0</v>
      </c>
      <c r="AI44" s="445">
        <f t="shared" si="15"/>
        <v>563.03600000000006</v>
      </c>
      <c r="AJ44" s="446">
        <f t="shared" si="16"/>
        <v>4.0000000000190994E-3</v>
      </c>
    </row>
    <row r="45" spans="2:39" s="167" customFormat="1" ht="33.75" x14ac:dyDescent="0.25">
      <c r="B45" s="384" t="s">
        <v>107</v>
      </c>
      <c r="C45" s="385">
        <v>92761</v>
      </c>
      <c r="D45" s="386" t="s">
        <v>109</v>
      </c>
      <c r="E45" s="387" t="s">
        <v>62</v>
      </c>
      <c r="F45" s="387">
        <v>14.25</v>
      </c>
      <c r="G45" s="387">
        <v>1021.28</v>
      </c>
      <c r="H45" s="444"/>
      <c r="I45" s="443"/>
      <c r="J45" s="443"/>
      <c r="K45" s="444"/>
      <c r="L45" s="444">
        <f>'MEMORIAL DE CALCULO 05'!K395</f>
        <v>415.67999999999995</v>
      </c>
      <c r="M45" s="444">
        <f>'MEMORIAL DE CALCULO 06'!K390</f>
        <v>415.67999999999995</v>
      </c>
      <c r="N45" s="387"/>
      <c r="O45" s="387"/>
      <c r="P45" s="444">
        <f>'MEMORIAL DE CALCULO 09)'!K396</f>
        <v>168.64</v>
      </c>
      <c r="Q45" s="444">
        <v>21.279999999999973</v>
      </c>
      <c r="R45" s="444">
        <v>0</v>
      </c>
      <c r="S45" s="444">
        <f>VLOOKUP(B45,'MEMÓRIA MEDIÇÃO 12'!$A$7:$F$202,6,FALSE)</f>
        <v>0</v>
      </c>
      <c r="T45" s="387">
        <f t="shared" si="6"/>
        <v>1021.2799999999999</v>
      </c>
      <c r="U45" s="387">
        <f t="shared" si="20"/>
        <v>0</v>
      </c>
      <c r="V45" s="387">
        <f t="shared" si="21"/>
        <v>14553.24</v>
      </c>
      <c r="W45" s="346">
        <f t="shared" si="1"/>
        <v>0</v>
      </c>
      <c r="X45" s="346">
        <f t="shared" si="2"/>
        <v>0</v>
      </c>
      <c r="Y45" s="346">
        <f t="shared" si="19"/>
        <v>0</v>
      </c>
      <c r="Z45" s="346">
        <f t="shared" si="3"/>
        <v>0</v>
      </c>
      <c r="AA45" s="346">
        <f t="shared" si="4"/>
        <v>5923.44</v>
      </c>
      <c r="AB45" s="346">
        <f t="shared" si="5"/>
        <v>5923.44</v>
      </c>
      <c r="AC45" s="346">
        <f t="shared" si="9"/>
        <v>0</v>
      </c>
      <c r="AD45" s="346">
        <f t="shared" si="10"/>
        <v>0</v>
      </c>
      <c r="AE45" s="346">
        <f t="shared" si="11"/>
        <v>2403.12</v>
      </c>
      <c r="AF45" s="346">
        <f t="shared" si="12"/>
        <v>303.24</v>
      </c>
      <c r="AG45" s="346">
        <f t="shared" si="13"/>
        <v>0</v>
      </c>
      <c r="AH45" s="346">
        <f t="shared" si="14"/>
        <v>0</v>
      </c>
      <c r="AI45" s="445">
        <f t="shared" si="15"/>
        <v>14553.24</v>
      </c>
      <c r="AJ45" s="446">
        <f t="shared" si="16"/>
        <v>0</v>
      </c>
    </row>
    <row r="46" spans="2:39" s="169" customFormat="1" ht="33.75" x14ac:dyDescent="0.25">
      <c r="B46" s="384" t="s">
        <v>110</v>
      </c>
      <c r="C46" s="385">
        <v>92762</v>
      </c>
      <c r="D46" s="386" t="s">
        <v>112</v>
      </c>
      <c r="E46" s="387" t="s">
        <v>62</v>
      </c>
      <c r="F46" s="387">
        <v>12.94</v>
      </c>
      <c r="G46" s="387">
        <v>1315.58</v>
      </c>
      <c r="H46" s="444"/>
      <c r="I46" s="443"/>
      <c r="J46" s="443"/>
      <c r="K46" s="444">
        <f>'MEMORIAL DE CALCULO 04'!K393</f>
        <v>601.83000000000004</v>
      </c>
      <c r="L46" s="444">
        <f>'MEMORIAL DE CALCULO 05'!K397</f>
        <v>635.56999999999994</v>
      </c>
      <c r="M46" s="444">
        <f>'MEMORIAL DE CALCULO 06'!K392</f>
        <v>57</v>
      </c>
      <c r="N46" s="387"/>
      <c r="O46" s="387"/>
      <c r="P46" s="444">
        <f>'MEMORIAL DE CALCULO 09)'!K398</f>
        <v>11.700799999999999</v>
      </c>
      <c r="Q46" s="444">
        <v>9.4771200000000135</v>
      </c>
      <c r="R46" s="444">
        <v>0</v>
      </c>
      <c r="S46" s="444">
        <f>VLOOKUP(B46,'MEMÓRIA MEDIÇÃO 12'!$A$7:$F$202,6,FALSE)</f>
        <v>0</v>
      </c>
      <c r="T46" s="387">
        <f t="shared" si="6"/>
        <v>1315.5779200000002</v>
      </c>
      <c r="U46" s="387">
        <f t="shared" si="20"/>
        <v>2.0799999997507257E-3</v>
      </c>
      <c r="V46" s="387">
        <f t="shared" si="21"/>
        <v>17023.605199999998</v>
      </c>
      <c r="W46" s="346">
        <f t="shared" ref="W46:W77" si="22">F46*H46</f>
        <v>0</v>
      </c>
      <c r="X46" s="346">
        <f t="shared" ref="X46:X77" si="23">F46*I46</f>
        <v>0</v>
      </c>
      <c r="Y46" s="346">
        <f t="shared" si="19"/>
        <v>0</v>
      </c>
      <c r="Z46" s="346">
        <f t="shared" ref="Z46:Z77" si="24">TRUNC(F46*K46,2)</f>
        <v>7787.68</v>
      </c>
      <c r="AA46" s="346">
        <f t="shared" ref="AA46:AA77" si="25">TRUNC(F46*L46,2)</f>
        <v>8224.27</v>
      </c>
      <c r="AB46" s="346">
        <f t="shared" si="5"/>
        <v>737.57999999999993</v>
      </c>
      <c r="AC46" s="346">
        <f t="shared" si="9"/>
        <v>0</v>
      </c>
      <c r="AD46" s="346">
        <f t="shared" si="10"/>
        <v>0</v>
      </c>
      <c r="AE46" s="346">
        <f t="shared" si="11"/>
        <v>151.4</v>
      </c>
      <c r="AF46" s="346">
        <f t="shared" si="12"/>
        <v>122.63</v>
      </c>
      <c r="AG46" s="346">
        <f t="shared" si="13"/>
        <v>0</v>
      </c>
      <c r="AH46" s="346">
        <f t="shared" si="14"/>
        <v>0</v>
      </c>
      <c r="AI46" s="445">
        <f t="shared" si="15"/>
        <v>17023.560000000001</v>
      </c>
      <c r="AJ46" s="446">
        <f t="shared" si="16"/>
        <v>4.5199999996839324E-2</v>
      </c>
    </row>
    <row r="47" spans="2:39" s="169" customFormat="1" ht="33.75" x14ac:dyDescent="0.25">
      <c r="B47" s="384" t="s">
        <v>113</v>
      </c>
      <c r="C47" s="385">
        <v>92763</v>
      </c>
      <c r="D47" s="386" t="s">
        <v>115</v>
      </c>
      <c r="E47" s="387" t="s">
        <v>62</v>
      </c>
      <c r="F47" s="387">
        <v>10.71</v>
      </c>
      <c r="G47" s="387">
        <v>168.2</v>
      </c>
      <c r="H47" s="444"/>
      <c r="I47" s="443"/>
      <c r="J47" s="443"/>
      <c r="K47" s="444">
        <f>'MEMORIAL DE CALCULO 04'!K396</f>
        <v>100.42</v>
      </c>
      <c r="L47" s="444">
        <f>'MEMORIAL DE CALCULO 05'!K401</f>
        <v>61.18</v>
      </c>
      <c r="M47" s="444"/>
      <c r="N47" s="387"/>
      <c r="O47" s="387"/>
      <c r="P47" s="444">
        <f>'MEMORIAL DE CALCULO 09)'!K400</f>
        <v>6.6020000000000003</v>
      </c>
      <c r="Q47" s="444"/>
      <c r="R47" s="444">
        <v>0</v>
      </c>
      <c r="S47" s="444">
        <f>VLOOKUP(B47,'MEMÓRIA MEDIÇÃO 12'!$A$7:$F$202,6,FALSE)</f>
        <v>0</v>
      </c>
      <c r="T47" s="387">
        <f t="shared" si="6"/>
        <v>168.202</v>
      </c>
      <c r="U47" s="387">
        <f t="shared" si="20"/>
        <v>-2.0000000000095497E-3</v>
      </c>
      <c r="V47" s="387">
        <f t="shared" si="21"/>
        <v>1801.422</v>
      </c>
      <c r="W47" s="346">
        <f t="shared" si="22"/>
        <v>0</v>
      </c>
      <c r="X47" s="346">
        <f t="shared" si="23"/>
        <v>0</v>
      </c>
      <c r="Y47" s="346">
        <f t="shared" si="19"/>
        <v>0</v>
      </c>
      <c r="Z47" s="346">
        <f t="shared" si="24"/>
        <v>1075.49</v>
      </c>
      <c r="AA47" s="346">
        <f t="shared" si="25"/>
        <v>655.23</v>
      </c>
      <c r="AB47" s="346">
        <f t="shared" si="5"/>
        <v>0</v>
      </c>
      <c r="AC47" s="346">
        <f t="shared" ref="AC47:AC78" si="26">F47*N47</f>
        <v>0</v>
      </c>
      <c r="AD47" s="346">
        <f t="shared" si="10"/>
        <v>0</v>
      </c>
      <c r="AE47" s="346">
        <f t="shared" si="11"/>
        <v>70.7</v>
      </c>
      <c r="AF47" s="346">
        <f t="shared" si="12"/>
        <v>0</v>
      </c>
      <c r="AG47" s="346">
        <f t="shared" si="13"/>
        <v>0</v>
      </c>
      <c r="AH47" s="346">
        <f t="shared" si="14"/>
        <v>0</v>
      </c>
      <c r="AI47" s="445">
        <f t="shared" si="15"/>
        <v>1801.42</v>
      </c>
      <c r="AJ47" s="446">
        <f t="shared" si="16"/>
        <v>1.9999999999527063E-3</v>
      </c>
    </row>
    <row r="48" spans="2:39" s="167" customFormat="1" ht="33.75" x14ac:dyDescent="0.25">
      <c r="B48" s="384" t="s">
        <v>116</v>
      </c>
      <c r="C48" s="385">
        <v>92768</v>
      </c>
      <c r="D48" s="386" t="s">
        <v>118</v>
      </c>
      <c r="E48" s="387" t="s">
        <v>62</v>
      </c>
      <c r="F48" s="387">
        <v>14.31</v>
      </c>
      <c r="G48" s="387">
        <v>205.38</v>
      </c>
      <c r="H48" s="444"/>
      <c r="I48" s="443"/>
      <c r="J48" s="443"/>
      <c r="K48" s="444"/>
      <c r="L48" s="444"/>
      <c r="M48" s="444">
        <f>'MEMORIAL DE CALCULO 06'!K394</f>
        <v>130.5</v>
      </c>
      <c r="N48" s="444"/>
      <c r="O48" s="444"/>
      <c r="P48" s="444">
        <f>'MEMORIAL DE CALCULO 09)'!K402</f>
        <v>28.2</v>
      </c>
      <c r="Q48" s="444">
        <v>46.679999999999978</v>
      </c>
      <c r="R48" s="444">
        <v>0</v>
      </c>
      <c r="S48" s="444">
        <f>VLOOKUP(B48,'MEMÓRIA MEDIÇÃO 12'!$A$7:$F$202,6,FALSE)</f>
        <v>0</v>
      </c>
      <c r="T48" s="387">
        <f t="shared" si="6"/>
        <v>205.37999999999997</v>
      </c>
      <c r="U48" s="387">
        <f t="shared" si="20"/>
        <v>0</v>
      </c>
      <c r="V48" s="387">
        <f t="shared" si="21"/>
        <v>2938.9877999999999</v>
      </c>
      <c r="W48" s="346">
        <f t="shared" si="22"/>
        <v>0</v>
      </c>
      <c r="X48" s="346">
        <f t="shared" si="23"/>
        <v>0</v>
      </c>
      <c r="Y48" s="346">
        <f t="shared" si="19"/>
        <v>0</v>
      </c>
      <c r="Z48" s="346">
        <f t="shared" si="24"/>
        <v>0</v>
      </c>
      <c r="AA48" s="346">
        <f t="shared" si="25"/>
        <v>0</v>
      </c>
      <c r="AB48" s="346">
        <f t="shared" si="5"/>
        <v>1867.4550000000002</v>
      </c>
      <c r="AC48" s="346">
        <f t="shared" si="26"/>
        <v>0</v>
      </c>
      <c r="AD48" s="346">
        <f t="shared" si="10"/>
        <v>0</v>
      </c>
      <c r="AE48" s="346">
        <f t="shared" si="11"/>
        <v>403.54</v>
      </c>
      <c r="AF48" s="346">
        <f t="shared" si="12"/>
        <v>667.99</v>
      </c>
      <c r="AG48" s="346">
        <f t="shared" si="13"/>
        <v>0</v>
      </c>
      <c r="AH48" s="346">
        <f t="shared" si="14"/>
        <v>0</v>
      </c>
      <c r="AI48" s="445">
        <f t="shared" si="15"/>
        <v>2938.9850000000006</v>
      </c>
      <c r="AJ48" s="446">
        <f t="shared" si="16"/>
        <v>2.7999999992971425E-3</v>
      </c>
    </row>
    <row r="49" spans="2:36" s="167" customFormat="1" ht="33.75" x14ac:dyDescent="0.25">
      <c r="B49" s="384" t="s">
        <v>119</v>
      </c>
      <c r="C49" s="385">
        <v>92769</v>
      </c>
      <c r="D49" s="386" t="s">
        <v>121</v>
      </c>
      <c r="E49" s="387" t="s">
        <v>62</v>
      </c>
      <c r="F49" s="387">
        <v>14.01</v>
      </c>
      <c r="G49" s="387">
        <v>178.73</v>
      </c>
      <c r="H49" s="444"/>
      <c r="I49" s="443"/>
      <c r="J49" s="443"/>
      <c r="K49" s="444"/>
      <c r="L49" s="444"/>
      <c r="M49" s="444">
        <f>'MEMORIAL DE CALCULO 06'!K396</f>
        <v>157.6</v>
      </c>
      <c r="N49" s="444"/>
      <c r="O49" s="444"/>
      <c r="P49" s="444">
        <f>'MEMORIAL DE CALCULO 09)'!K404</f>
        <v>12.9002</v>
      </c>
      <c r="Q49" s="444">
        <v>8.2319999999999993</v>
      </c>
      <c r="R49" s="444">
        <v>0</v>
      </c>
      <c r="S49" s="444">
        <f>VLOOKUP(B49,'MEMÓRIA MEDIÇÃO 12'!$A$7:$F$202,6,FALSE)</f>
        <v>0</v>
      </c>
      <c r="T49" s="387">
        <f t="shared" si="6"/>
        <v>178.73220000000001</v>
      </c>
      <c r="U49" s="387">
        <f t="shared" si="20"/>
        <v>-2.200000000016189E-3</v>
      </c>
      <c r="V49" s="387">
        <f t="shared" si="21"/>
        <v>2504.0072999999998</v>
      </c>
      <c r="W49" s="346">
        <f t="shared" si="22"/>
        <v>0</v>
      </c>
      <c r="X49" s="346">
        <f t="shared" si="23"/>
        <v>0</v>
      </c>
      <c r="Y49" s="346">
        <f t="shared" si="19"/>
        <v>0</v>
      </c>
      <c r="Z49" s="346">
        <f t="shared" si="24"/>
        <v>0</v>
      </c>
      <c r="AA49" s="346">
        <f t="shared" si="25"/>
        <v>0</v>
      </c>
      <c r="AB49" s="346">
        <f t="shared" si="5"/>
        <v>2207.9760000000001</v>
      </c>
      <c r="AC49" s="346">
        <f t="shared" si="26"/>
        <v>0</v>
      </c>
      <c r="AD49" s="346">
        <f t="shared" si="10"/>
        <v>0</v>
      </c>
      <c r="AE49" s="346">
        <f t="shared" si="11"/>
        <v>180.73</v>
      </c>
      <c r="AF49" s="346">
        <f t="shared" si="12"/>
        <v>115.33</v>
      </c>
      <c r="AG49" s="346">
        <f t="shared" si="13"/>
        <v>0</v>
      </c>
      <c r="AH49" s="346">
        <f t="shared" si="14"/>
        <v>0</v>
      </c>
      <c r="AI49" s="445">
        <f t="shared" si="15"/>
        <v>2504.0360000000001</v>
      </c>
      <c r="AJ49" s="446">
        <f t="shared" si="16"/>
        <v>-2.8700000000299042E-2</v>
      </c>
    </row>
    <row r="50" spans="2:36" s="167" customFormat="1" ht="33.75" x14ac:dyDescent="0.25">
      <c r="B50" s="384" t="s">
        <v>122</v>
      </c>
      <c r="C50" s="385">
        <v>92770</v>
      </c>
      <c r="D50" s="386" t="s">
        <v>124</v>
      </c>
      <c r="E50" s="387" t="s">
        <v>62</v>
      </c>
      <c r="F50" s="387">
        <v>13.86</v>
      </c>
      <c r="G50" s="387">
        <v>279.10000000000002</v>
      </c>
      <c r="H50" s="444"/>
      <c r="I50" s="443"/>
      <c r="J50" s="443"/>
      <c r="K50" s="444"/>
      <c r="L50" s="444"/>
      <c r="M50" s="444">
        <f>'MEMORIAL DE CALCULO 06'!K398</f>
        <v>259</v>
      </c>
      <c r="N50" s="444"/>
      <c r="O50" s="444"/>
      <c r="P50" s="444">
        <f>'MEMORIAL DE CALCULO 09)'!K406</f>
        <v>20.100899999999999</v>
      </c>
      <c r="Q50" s="444"/>
      <c r="R50" s="444">
        <v>0</v>
      </c>
      <c r="S50" s="444">
        <f>VLOOKUP(B50,'MEMÓRIA MEDIÇÃO 12'!$A$7:$F$202,6,FALSE)</f>
        <v>0</v>
      </c>
      <c r="T50" s="387">
        <f t="shared" si="6"/>
        <v>279.10090000000002</v>
      </c>
      <c r="U50" s="387">
        <f t="shared" si="20"/>
        <v>-9.0000000000145519E-4</v>
      </c>
      <c r="V50" s="387">
        <f t="shared" si="21"/>
        <v>3868.326</v>
      </c>
      <c r="W50" s="346">
        <f t="shared" si="22"/>
        <v>0</v>
      </c>
      <c r="X50" s="346">
        <f t="shared" si="23"/>
        <v>0</v>
      </c>
      <c r="Y50" s="346">
        <f t="shared" si="19"/>
        <v>0</v>
      </c>
      <c r="Z50" s="346">
        <f t="shared" si="24"/>
        <v>0</v>
      </c>
      <c r="AA50" s="346">
        <f t="shared" si="25"/>
        <v>0</v>
      </c>
      <c r="AB50" s="346">
        <f t="shared" si="5"/>
        <v>3589.74</v>
      </c>
      <c r="AC50" s="346">
        <f t="shared" si="26"/>
        <v>0</v>
      </c>
      <c r="AD50" s="346">
        <f t="shared" si="10"/>
        <v>0</v>
      </c>
      <c r="AE50" s="346">
        <f t="shared" si="11"/>
        <v>278.58999999999997</v>
      </c>
      <c r="AF50" s="346">
        <f t="shared" si="12"/>
        <v>0</v>
      </c>
      <c r="AG50" s="346">
        <f t="shared" si="13"/>
        <v>0</v>
      </c>
      <c r="AH50" s="346">
        <f t="shared" si="14"/>
        <v>0</v>
      </c>
      <c r="AI50" s="445">
        <f t="shared" si="15"/>
        <v>3868.33</v>
      </c>
      <c r="AJ50" s="446">
        <f t="shared" si="16"/>
        <v>-3.9999999999054126E-3</v>
      </c>
    </row>
    <row r="51" spans="2:36" s="164" customFormat="1" ht="33.75" x14ac:dyDescent="0.25">
      <c r="B51" s="384" t="s">
        <v>125</v>
      </c>
      <c r="C51" s="385">
        <v>94966</v>
      </c>
      <c r="D51" s="386" t="s">
        <v>65</v>
      </c>
      <c r="E51" s="387" t="s">
        <v>41</v>
      </c>
      <c r="F51" s="387">
        <v>530.88</v>
      </c>
      <c r="G51" s="387">
        <v>81.650000000000006</v>
      </c>
      <c r="H51" s="444"/>
      <c r="I51" s="443"/>
      <c r="J51" s="443"/>
      <c r="K51" s="444">
        <f>'MEMORIAL DE CALCULO 04'!K402</f>
        <v>10.245999999999999</v>
      </c>
      <c r="L51" s="444">
        <f>'MEMORIAL DE CALCULO 05'!K406</f>
        <v>9.1839999999999993</v>
      </c>
      <c r="M51" s="444">
        <f>'MEMORIAL DE CALCULO 06'!K400</f>
        <v>19.399999999999999</v>
      </c>
      <c r="N51" s="444">
        <f>'MEMORIAL DE CALCULO 07'!K403</f>
        <v>4.84</v>
      </c>
      <c r="O51" s="444">
        <f>'MEMORIAL DE CALCULO 08'!K402</f>
        <v>7.87</v>
      </c>
      <c r="P51" s="444">
        <f>'MEMORIAL DE CALCULO 09)'!K408</f>
        <v>10.02003</v>
      </c>
      <c r="Q51" s="444">
        <v>20.088424999999987</v>
      </c>
      <c r="R51" s="444">
        <v>0</v>
      </c>
      <c r="S51" s="444">
        <f>VLOOKUP(B51,'MEMÓRIA MEDIÇÃO 12'!$A$7:$F$202,6,FALSE)</f>
        <v>0</v>
      </c>
      <c r="T51" s="387">
        <f t="shared" si="6"/>
        <v>81.648454999999984</v>
      </c>
      <c r="U51" s="387">
        <f t="shared" si="20"/>
        <v>1.5450000000214459E-3</v>
      </c>
      <c r="V51" s="387">
        <f t="shared" si="21"/>
        <v>43346.352000000006</v>
      </c>
      <c r="W51" s="346">
        <f t="shared" si="22"/>
        <v>0</v>
      </c>
      <c r="X51" s="346">
        <f t="shared" si="23"/>
        <v>0</v>
      </c>
      <c r="Y51" s="346">
        <f t="shared" si="19"/>
        <v>0</v>
      </c>
      <c r="Z51" s="346">
        <f t="shared" si="24"/>
        <v>5439.39</v>
      </c>
      <c r="AA51" s="346">
        <f t="shared" si="25"/>
        <v>4875.6000000000004</v>
      </c>
      <c r="AB51" s="346">
        <f t="shared" si="5"/>
        <v>10299.071999999998</v>
      </c>
      <c r="AC51" s="346">
        <f t="shared" si="26"/>
        <v>2569.4591999999998</v>
      </c>
      <c r="AD51" s="346">
        <f t="shared" si="10"/>
        <v>4178.0200000000004</v>
      </c>
      <c r="AE51" s="346">
        <f t="shared" si="11"/>
        <v>5319.43</v>
      </c>
      <c r="AF51" s="346">
        <f t="shared" si="12"/>
        <v>10664.54</v>
      </c>
      <c r="AG51" s="346">
        <f t="shared" si="13"/>
        <v>0</v>
      </c>
      <c r="AH51" s="346">
        <f t="shared" si="14"/>
        <v>0</v>
      </c>
      <c r="AI51" s="445">
        <f t="shared" si="15"/>
        <v>43345.511200000001</v>
      </c>
      <c r="AJ51" s="446">
        <f t="shared" si="16"/>
        <v>0.84080000000540167</v>
      </c>
    </row>
    <row r="52" spans="2:36" s="167" customFormat="1" ht="22.5" x14ac:dyDescent="0.25">
      <c r="B52" s="384" t="s">
        <v>126</v>
      </c>
      <c r="C52" s="385">
        <v>103670</v>
      </c>
      <c r="D52" s="391" t="s">
        <v>71</v>
      </c>
      <c r="E52" s="387" t="s">
        <v>41</v>
      </c>
      <c r="F52" s="387">
        <v>230.55</v>
      </c>
      <c r="G52" s="387">
        <v>81.650000000000006</v>
      </c>
      <c r="H52" s="278"/>
      <c r="I52" s="278"/>
      <c r="J52" s="443"/>
      <c r="K52" s="443">
        <f>'MEMORIAL DE CALCULO 04'!K405</f>
        <v>10.245999999999999</v>
      </c>
      <c r="L52" s="443">
        <f>'MEMORIAL DE CALCULO 05'!K406</f>
        <v>9.1839999999999993</v>
      </c>
      <c r="M52" s="443">
        <f>'MEMORIAL DE CALCULO 06'!K403</f>
        <v>19.399999999999999</v>
      </c>
      <c r="N52" s="443">
        <f>'MEMORIAL DE CALCULO 07'!K407</f>
        <v>4.84</v>
      </c>
      <c r="O52" s="443">
        <f>'MEMORIAL DE CALCULO 08'!K406</f>
        <v>7.87</v>
      </c>
      <c r="P52" s="443">
        <f>'MEMORIAL DE CALCULO 09)'!K410</f>
        <v>10.02009999</v>
      </c>
      <c r="Q52" s="443">
        <v>20.088424999999987</v>
      </c>
      <c r="R52" s="444">
        <v>0</v>
      </c>
      <c r="S52" s="444">
        <f>VLOOKUP(B52,'MEMÓRIA MEDIÇÃO 12'!$A$7:$F$202,6,FALSE)</f>
        <v>0</v>
      </c>
      <c r="T52" s="387">
        <f t="shared" si="6"/>
        <v>81.648524989999984</v>
      </c>
      <c r="U52" s="387">
        <f t="shared" si="20"/>
        <v>1.4750100000213706E-3</v>
      </c>
      <c r="V52" s="387">
        <f t="shared" si="21"/>
        <v>18824.407500000001</v>
      </c>
      <c r="W52" s="346">
        <f t="shared" si="22"/>
        <v>0</v>
      </c>
      <c r="X52" s="346">
        <f t="shared" si="23"/>
        <v>0</v>
      </c>
      <c r="Y52" s="346">
        <f t="shared" si="19"/>
        <v>0</v>
      </c>
      <c r="Z52" s="346">
        <f t="shared" si="24"/>
        <v>2362.21</v>
      </c>
      <c r="AA52" s="346">
        <f t="shared" si="25"/>
        <v>2117.37</v>
      </c>
      <c r="AB52" s="346">
        <f t="shared" si="5"/>
        <v>4472.67</v>
      </c>
      <c r="AC52" s="346">
        <f t="shared" si="26"/>
        <v>1115.8620000000001</v>
      </c>
      <c r="AD52" s="346">
        <f t="shared" si="10"/>
        <v>1814.42</v>
      </c>
      <c r="AE52" s="346">
        <f t="shared" si="11"/>
        <v>2310.13</v>
      </c>
      <c r="AF52" s="346">
        <f t="shared" si="12"/>
        <v>4631.38</v>
      </c>
      <c r="AG52" s="346">
        <f t="shared" si="13"/>
        <v>0</v>
      </c>
      <c r="AH52" s="346">
        <f t="shared" si="14"/>
        <v>0</v>
      </c>
      <c r="AI52" s="445">
        <f t="shared" si="15"/>
        <v>18824.042000000001</v>
      </c>
      <c r="AJ52" s="446">
        <f t="shared" si="16"/>
        <v>0.36549999999988358</v>
      </c>
    </row>
    <row r="53" spans="2:36" s="167" customFormat="1" ht="33.75" x14ac:dyDescent="0.25">
      <c r="B53" s="384" t="s">
        <v>127</v>
      </c>
      <c r="C53" s="385">
        <v>92771</v>
      </c>
      <c r="D53" s="391" t="s">
        <v>129</v>
      </c>
      <c r="E53" s="387" t="s">
        <v>62</v>
      </c>
      <c r="F53" s="387">
        <v>12.55</v>
      </c>
      <c r="G53" s="387">
        <v>406.9</v>
      </c>
      <c r="H53" s="278"/>
      <c r="I53" s="278"/>
      <c r="J53" s="443"/>
      <c r="K53" s="278"/>
      <c r="L53" s="278"/>
      <c r="M53" s="443">
        <f>'MEMORIAL DE CALCULO 06'!K405</f>
        <v>217.7</v>
      </c>
      <c r="N53" s="278"/>
      <c r="O53" s="278"/>
      <c r="P53" s="443">
        <f>'MEMORIAL DE CALCULO 09)'!K412</f>
        <v>94.6</v>
      </c>
      <c r="Q53" s="443">
        <v>94.599999999999966</v>
      </c>
      <c r="R53" s="444">
        <v>0</v>
      </c>
      <c r="S53" s="444">
        <f>VLOOKUP(B53,'MEMÓRIA MEDIÇÃO 12'!$A$7:$F$202,6,FALSE)</f>
        <v>0</v>
      </c>
      <c r="T53" s="387">
        <f t="shared" si="6"/>
        <v>406.89999999999992</v>
      </c>
      <c r="U53" s="387">
        <f t="shared" si="20"/>
        <v>0</v>
      </c>
      <c r="V53" s="387">
        <f t="shared" si="21"/>
        <v>5106.5950000000003</v>
      </c>
      <c r="W53" s="346">
        <f t="shared" si="22"/>
        <v>0</v>
      </c>
      <c r="X53" s="346">
        <f t="shared" si="23"/>
        <v>0</v>
      </c>
      <c r="Y53" s="346">
        <f t="shared" si="19"/>
        <v>0</v>
      </c>
      <c r="Z53" s="346">
        <f t="shared" si="24"/>
        <v>0</v>
      </c>
      <c r="AA53" s="346">
        <f t="shared" si="25"/>
        <v>0</v>
      </c>
      <c r="AB53" s="346">
        <f t="shared" si="5"/>
        <v>2732.1350000000002</v>
      </c>
      <c r="AC53" s="346">
        <f t="shared" si="26"/>
        <v>0</v>
      </c>
      <c r="AD53" s="346">
        <f t="shared" si="10"/>
        <v>0</v>
      </c>
      <c r="AE53" s="346">
        <f t="shared" si="11"/>
        <v>1187.23</v>
      </c>
      <c r="AF53" s="346">
        <f t="shared" si="12"/>
        <v>1187.23</v>
      </c>
      <c r="AG53" s="346">
        <f t="shared" si="13"/>
        <v>0</v>
      </c>
      <c r="AH53" s="346">
        <f t="shared" si="14"/>
        <v>0</v>
      </c>
      <c r="AI53" s="445">
        <f t="shared" si="15"/>
        <v>5106.5950000000003</v>
      </c>
      <c r="AJ53" s="446">
        <f t="shared" si="16"/>
        <v>0</v>
      </c>
    </row>
    <row r="54" spans="2:36" s="167" customFormat="1" ht="33.75" x14ac:dyDescent="0.25">
      <c r="B54" s="384" t="s">
        <v>130</v>
      </c>
      <c r="C54" s="385">
        <v>92772</v>
      </c>
      <c r="D54" s="386" t="s">
        <v>132</v>
      </c>
      <c r="E54" s="387" t="s">
        <v>62</v>
      </c>
      <c r="F54" s="387">
        <v>10.39</v>
      </c>
      <c r="G54" s="387">
        <v>154.80000000000001</v>
      </c>
      <c r="H54" s="444"/>
      <c r="I54" s="443"/>
      <c r="J54" s="443"/>
      <c r="K54" s="444"/>
      <c r="L54" s="444"/>
      <c r="M54" s="444">
        <f>'MEMORIAL DE CALCULO 06'!K407</f>
        <v>154.80000000000001</v>
      </c>
      <c r="N54" s="387"/>
      <c r="O54" s="387"/>
      <c r="P54" s="444"/>
      <c r="Q54" s="444"/>
      <c r="R54" s="444">
        <v>0</v>
      </c>
      <c r="S54" s="444">
        <f>VLOOKUP(B54,'MEMÓRIA MEDIÇÃO 12'!$A$7:$F$202,6,FALSE)</f>
        <v>0</v>
      </c>
      <c r="T54" s="387">
        <f t="shared" si="6"/>
        <v>154.80000000000001</v>
      </c>
      <c r="U54" s="387">
        <f t="shared" si="20"/>
        <v>0</v>
      </c>
      <c r="V54" s="387">
        <f t="shared" si="21"/>
        <v>1608.3720000000003</v>
      </c>
      <c r="W54" s="346">
        <f t="shared" si="22"/>
        <v>0</v>
      </c>
      <c r="X54" s="346">
        <f t="shared" si="23"/>
        <v>0</v>
      </c>
      <c r="Y54" s="346">
        <f t="shared" si="19"/>
        <v>0</v>
      </c>
      <c r="Z54" s="346">
        <f t="shared" si="24"/>
        <v>0</v>
      </c>
      <c r="AA54" s="346">
        <f t="shared" si="25"/>
        <v>0</v>
      </c>
      <c r="AB54" s="346">
        <f t="shared" si="5"/>
        <v>1608.3720000000003</v>
      </c>
      <c r="AC54" s="346">
        <f t="shared" si="26"/>
        <v>0</v>
      </c>
      <c r="AD54" s="346">
        <f t="shared" si="10"/>
        <v>0</v>
      </c>
      <c r="AE54" s="346">
        <f t="shared" si="11"/>
        <v>0</v>
      </c>
      <c r="AF54" s="346">
        <f t="shared" si="12"/>
        <v>0</v>
      </c>
      <c r="AG54" s="346">
        <f t="shared" si="13"/>
        <v>0</v>
      </c>
      <c r="AH54" s="346">
        <f t="shared" si="14"/>
        <v>0</v>
      </c>
      <c r="AI54" s="445">
        <f t="shared" si="15"/>
        <v>1608.3720000000003</v>
      </c>
      <c r="AJ54" s="446">
        <f t="shared" si="16"/>
        <v>0</v>
      </c>
    </row>
    <row r="55" spans="2:36" s="167" customFormat="1" x14ac:dyDescent="0.25">
      <c r="B55" s="347">
        <v>1.5</v>
      </c>
      <c r="C55" s="348" t="s">
        <v>134</v>
      </c>
      <c r="D55" s="386"/>
      <c r="E55" s="387"/>
      <c r="F55" s="387"/>
      <c r="G55" s="387"/>
      <c r="H55" s="444"/>
      <c r="I55" s="443"/>
      <c r="J55" s="443"/>
      <c r="K55" s="444"/>
      <c r="L55" s="444"/>
      <c r="M55" s="444"/>
      <c r="N55" s="387"/>
      <c r="O55" s="387"/>
      <c r="P55" s="444"/>
      <c r="Q55" s="444"/>
      <c r="R55" s="444">
        <v>0</v>
      </c>
      <c r="S55" s="444">
        <f>VLOOKUP(B55,'MEMÓRIA MEDIÇÃO 12'!$A$7:$F$202,6,FALSE)</f>
        <v>0</v>
      </c>
      <c r="T55" s="387">
        <f t="shared" si="6"/>
        <v>0</v>
      </c>
      <c r="U55" s="387"/>
      <c r="V55" s="387"/>
      <c r="W55" s="346">
        <f t="shared" si="22"/>
        <v>0</v>
      </c>
      <c r="X55" s="346">
        <f t="shared" si="23"/>
        <v>0</v>
      </c>
      <c r="Y55" s="346">
        <f t="shared" si="19"/>
        <v>0</v>
      </c>
      <c r="Z55" s="346">
        <f t="shared" si="24"/>
        <v>0</v>
      </c>
      <c r="AA55" s="346">
        <f t="shared" si="25"/>
        <v>0</v>
      </c>
      <c r="AB55" s="346">
        <f t="shared" si="5"/>
        <v>0</v>
      </c>
      <c r="AC55" s="346">
        <f t="shared" si="26"/>
        <v>0</v>
      </c>
      <c r="AD55" s="346">
        <f t="shared" si="10"/>
        <v>0</v>
      </c>
      <c r="AE55" s="346">
        <f t="shared" si="11"/>
        <v>0</v>
      </c>
      <c r="AF55" s="346">
        <f t="shared" si="12"/>
        <v>0</v>
      </c>
      <c r="AG55" s="346">
        <f t="shared" si="13"/>
        <v>0</v>
      </c>
      <c r="AH55" s="346">
        <f t="shared" si="14"/>
        <v>0</v>
      </c>
      <c r="AI55" s="445">
        <f t="shared" si="15"/>
        <v>0</v>
      </c>
      <c r="AJ55" s="446">
        <f t="shared" si="16"/>
        <v>0</v>
      </c>
    </row>
    <row r="56" spans="2:36" ht="45" x14ac:dyDescent="0.25">
      <c r="B56" s="384" t="s">
        <v>135</v>
      </c>
      <c r="C56" s="385">
        <v>103356</v>
      </c>
      <c r="D56" s="386" t="s">
        <v>137</v>
      </c>
      <c r="E56" s="387" t="s">
        <v>17</v>
      </c>
      <c r="F56" s="387">
        <v>46.86</v>
      </c>
      <c r="G56" s="387">
        <v>1242.6199999999999</v>
      </c>
      <c r="H56" s="444"/>
      <c r="I56" s="443"/>
      <c r="J56" s="443"/>
      <c r="K56" s="444">
        <f>'MEMORIAL DE CALCULO 04'!K410</f>
        <v>354.68499999999995</v>
      </c>
      <c r="L56" s="444">
        <f>'MEMORIAL DE CALCULO 05'!K413</f>
        <v>492.16000000000014</v>
      </c>
      <c r="M56" s="444"/>
      <c r="N56" s="387"/>
      <c r="O56" s="444">
        <f>'MEMORIAL DE CALCULO 08'!K414</f>
        <v>238.84</v>
      </c>
      <c r="P56" s="444">
        <f>'MEMORIAL DE CALCULO 09)'!K418</f>
        <v>46.31</v>
      </c>
      <c r="Q56" s="444">
        <v>110.62549999999987</v>
      </c>
      <c r="R56" s="444">
        <v>0</v>
      </c>
      <c r="S56" s="444">
        <f>VLOOKUP(B56,'MEMÓRIA MEDIÇÃO 12'!$A$7:$F$202,6,FALSE)</f>
        <v>0</v>
      </c>
      <c r="T56" s="387">
        <f t="shared" si="6"/>
        <v>1242.6204999999998</v>
      </c>
      <c r="U56" s="387">
        <f>G56-T56</f>
        <v>-4.9999999987448973E-4</v>
      </c>
      <c r="V56" s="387">
        <f>F56*G56</f>
        <v>58229.173199999997</v>
      </c>
      <c r="W56" s="346">
        <f t="shared" si="22"/>
        <v>0</v>
      </c>
      <c r="X56" s="346">
        <f t="shared" si="23"/>
        <v>0</v>
      </c>
      <c r="Y56" s="346">
        <f t="shared" si="19"/>
        <v>0</v>
      </c>
      <c r="Z56" s="346">
        <f t="shared" si="24"/>
        <v>16620.53</v>
      </c>
      <c r="AA56" s="346">
        <f t="shared" si="25"/>
        <v>23062.61</v>
      </c>
      <c r="AB56" s="346">
        <f t="shared" si="5"/>
        <v>0</v>
      </c>
      <c r="AC56" s="346">
        <f t="shared" si="26"/>
        <v>0</v>
      </c>
      <c r="AD56" s="346">
        <f t="shared" si="10"/>
        <v>11192.04</v>
      </c>
      <c r="AE56" s="346">
        <f t="shared" si="11"/>
        <v>2170.08</v>
      </c>
      <c r="AF56" s="346">
        <f t="shared" si="12"/>
        <v>5183.91</v>
      </c>
      <c r="AG56" s="346">
        <f t="shared" si="13"/>
        <v>0</v>
      </c>
      <c r="AH56" s="346">
        <f t="shared" si="14"/>
        <v>0</v>
      </c>
      <c r="AI56" s="445">
        <f t="shared" si="15"/>
        <v>58229.17</v>
      </c>
      <c r="AJ56" s="446">
        <f t="shared" si="16"/>
        <v>3.1999999991967343E-3</v>
      </c>
    </row>
    <row r="57" spans="2:36" s="167" customFormat="1" ht="22.5" x14ac:dyDescent="0.25">
      <c r="B57" s="384" t="s">
        <v>138</v>
      </c>
      <c r="C57" s="385">
        <v>93189</v>
      </c>
      <c r="D57" s="391" t="s">
        <v>140</v>
      </c>
      <c r="E57" s="387" t="s">
        <v>37</v>
      </c>
      <c r="F57" s="387">
        <v>99.36</v>
      </c>
      <c r="G57" s="387">
        <v>64.099999999999994</v>
      </c>
      <c r="H57" s="278"/>
      <c r="I57" s="443"/>
      <c r="J57" s="443"/>
      <c r="K57" s="443">
        <f>'MEMORIAL DE CALCULO 04'!K484</f>
        <v>10.199999999999999</v>
      </c>
      <c r="L57" s="443">
        <f>'MEMORIAL DE CALCULO 05'!K479</f>
        <v>53.900000000000006</v>
      </c>
      <c r="M57" s="278"/>
      <c r="N57" s="278"/>
      <c r="O57" s="278"/>
      <c r="P57" s="278"/>
      <c r="Q57" s="278"/>
      <c r="R57" s="444">
        <v>0</v>
      </c>
      <c r="S57" s="444">
        <f>VLOOKUP(B57,'MEMÓRIA MEDIÇÃO 12'!$A$7:$F$202,6,FALSE)</f>
        <v>0</v>
      </c>
      <c r="T57" s="387">
        <f t="shared" si="6"/>
        <v>64.100000000000009</v>
      </c>
      <c r="U57" s="387">
        <f>G57-T57</f>
        <v>0</v>
      </c>
      <c r="V57" s="387">
        <f>F57*G57</f>
        <v>6368.9759999999997</v>
      </c>
      <c r="W57" s="346">
        <f t="shared" si="22"/>
        <v>0</v>
      </c>
      <c r="X57" s="346">
        <f t="shared" si="23"/>
        <v>0</v>
      </c>
      <c r="Y57" s="346">
        <f t="shared" si="19"/>
        <v>0</v>
      </c>
      <c r="Z57" s="346">
        <f t="shared" si="24"/>
        <v>1013.47</v>
      </c>
      <c r="AA57" s="346">
        <f t="shared" si="25"/>
        <v>5355.5</v>
      </c>
      <c r="AB57" s="346">
        <f t="shared" si="5"/>
        <v>0</v>
      </c>
      <c r="AC57" s="346">
        <f t="shared" si="26"/>
        <v>0</v>
      </c>
      <c r="AD57" s="346">
        <f t="shared" si="10"/>
        <v>0</v>
      </c>
      <c r="AE57" s="346">
        <f t="shared" si="11"/>
        <v>0</v>
      </c>
      <c r="AF57" s="346">
        <f t="shared" si="12"/>
        <v>0</v>
      </c>
      <c r="AG57" s="346">
        <f t="shared" si="13"/>
        <v>0</v>
      </c>
      <c r="AH57" s="346">
        <f t="shared" si="14"/>
        <v>0</v>
      </c>
      <c r="AI57" s="445">
        <f t="shared" si="15"/>
        <v>6368.97</v>
      </c>
      <c r="AJ57" s="446">
        <f t="shared" si="16"/>
        <v>5.9999999994033715E-3</v>
      </c>
    </row>
    <row r="58" spans="2:36" s="167" customFormat="1" ht="33.75" x14ac:dyDescent="0.25">
      <c r="B58" s="384" t="s">
        <v>141</v>
      </c>
      <c r="C58" s="385">
        <v>93191</v>
      </c>
      <c r="D58" s="386" t="s">
        <v>143</v>
      </c>
      <c r="E58" s="387" t="s">
        <v>37</v>
      </c>
      <c r="F58" s="387">
        <v>50.71</v>
      </c>
      <c r="G58" s="387">
        <v>73.3</v>
      </c>
      <c r="H58" s="444"/>
      <c r="I58" s="443"/>
      <c r="J58" s="443"/>
      <c r="K58" s="444">
        <f>'MEMORIAL DE CALCULO 04'!K488</f>
        <v>11.6</v>
      </c>
      <c r="L58" s="444">
        <f>'MEMORIAL DE CALCULO 05'!K486</f>
        <v>60.600000000000009</v>
      </c>
      <c r="M58" s="444"/>
      <c r="N58" s="387"/>
      <c r="O58" s="387"/>
      <c r="P58" s="444"/>
      <c r="Q58" s="444">
        <v>1.0999999999999943</v>
      </c>
      <c r="R58" s="444">
        <v>0</v>
      </c>
      <c r="S58" s="444">
        <f>VLOOKUP(B58,'MEMÓRIA MEDIÇÃO 12'!$A$7:$F$202,6,FALSE)</f>
        <v>0</v>
      </c>
      <c r="T58" s="387">
        <f t="shared" si="6"/>
        <v>73.3</v>
      </c>
      <c r="U58" s="387">
        <f>G58-T58</f>
        <v>0</v>
      </c>
      <c r="V58" s="387">
        <f>F58*G58</f>
        <v>3717.0430000000001</v>
      </c>
      <c r="W58" s="346">
        <f t="shared" si="22"/>
        <v>0</v>
      </c>
      <c r="X58" s="346">
        <f t="shared" si="23"/>
        <v>0</v>
      </c>
      <c r="Y58" s="346">
        <f t="shared" si="19"/>
        <v>0</v>
      </c>
      <c r="Z58" s="346">
        <f t="shared" si="24"/>
        <v>588.23</v>
      </c>
      <c r="AA58" s="346">
        <f t="shared" si="25"/>
        <v>3073.02</v>
      </c>
      <c r="AB58" s="346">
        <f t="shared" si="5"/>
        <v>0</v>
      </c>
      <c r="AC58" s="346">
        <f t="shared" si="26"/>
        <v>0</v>
      </c>
      <c r="AD58" s="346">
        <f t="shared" si="10"/>
        <v>0</v>
      </c>
      <c r="AE58" s="346">
        <f t="shared" si="11"/>
        <v>0</v>
      </c>
      <c r="AF58" s="346">
        <f t="shared" si="12"/>
        <v>55.78</v>
      </c>
      <c r="AG58" s="346">
        <f t="shared" si="13"/>
        <v>0</v>
      </c>
      <c r="AH58" s="346">
        <f t="shared" si="14"/>
        <v>0</v>
      </c>
      <c r="AI58" s="445">
        <f t="shared" si="15"/>
        <v>3717.03</v>
      </c>
      <c r="AJ58" s="446">
        <f t="shared" si="16"/>
        <v>1.2999999999919964E-2</v>
      </c>
    </row>
    <row r="59" spans="2:36" s="167" customFormat="1" ht="22.5" x14ac:dyDescent="0.25">
      <c r="B59" s="384" t="s">
        <v>144</v>
      </c>
      <c r="C59" s="385">
        <v>93197</v>
      </c>
      <c r="D59" s="386" t="s">
        <v>146</v>
      </c>
      <c r="E59" s="387" t="s">
        <v>37</v>
      </c>
      <c r="F59" s="387">
        <v>90.23</v>
      </c>
      <c r="G59" s="387">
        <v>73.3</v>
      </c>
      <c r="H59" s="444"/>
      <c r="I59" s="443"/>
      <c r="J59" s="443"/>
      <c r="K59" s="444">
        <f>'MEMORIAL DE CALCULO 04'!K492</f>
        <v>11.6</v>
      </c>
      <c r="L59" s="444">
        <f>'MEMORIAL DE CALCULO 05'!K493</f>
        <v>60.600000000000009</v>
      </c>
      <c r="M59" s="444"/>
      <c r="N59" s="387"/>
      <c r="O59" s="387"/>
      <c r="P59" s="444"/>
      <c r="Q59" s="444">
        <v>1.0999999999999943</v>
      </c>
      <c r="R59" s="444">
        <v>0</v>
      </c>
      <c r="S59" s="444">
        <f>VLOOKUP(B59,'MEMÓRIA MEDIÇÃO 12'!$A$7:$F$202,6,FALSE)</f>
        <v>0</v>
      </c>
      <c r="T59" s="387">
        <f t="shared" si="6"/>
        <v>73.3</v>
      </c>
      <c r="U59" s="387">
        <f>G59-T59</f>
        <v>0</v>
      </c>
      <c r="V59" s="387">
        <f>F59*G59</f>
        <v>6613.8590000000004</v>
      </c>
      <c r="W59" s="346">
        <f t="shared" si="22"/>
        <v>0</v>
      </c>
      <c r="X59" s="346">
        <f t="shared" si="23"/>
        <v>0</v>
      </c>
      <c r="Y59" s="346">
        <f t="shared" ref="Y59:Y90" si="27">F59*J59</f>
        <v>0</v>
      </c>
      <c r="Z59" s="346">
        <f t="shared" si="24"/>
        <v>1046.6600000000001</v>
      </c>
      <c r="AA59" s="346">
        <f t="shared" si="25"/>
        <v>5467.93</v>
      </c>
      <c r="AB59" s="346">
        <f t="shared" si="5"/>
        <v>0</v>
      </c>
      <c r="AC59" s="346">
        <f t="shared" si="26"/>
        <v>0</v>
      </c>
      <c r="AD59" s="346">
        <f t="shared" si="10"/>
        <v>0</v>
      </c>
      <c r="AE59" s="346">
        <f t="shared" si="11"/>
        <v>0</v>
      </c>
      <c r="AF59" s="346">
        <f t="shared" si="12"/>
        <v>99.25</v>
      </c>
      <c r="AG59" s="346">
        <f t="shared" si="13"/>
        <v>0</v>
      </c>
      <c r="AH59" s="346">
        <f t="shared" si="14"/>
        <v>0</v>
      </c>
      <c r="AI59" s="445">
        <f t="shared" si="15"/>
        <v>6613.84</v>
      </c>
      <c r="AJ59" s="446">
        <f t="shared" si="16"/>
        <v>1.9000000000232831E-2</v>
      </c>
    </row>
    <row r="60" spans="2:36" s="167" customFormat="1" ht="14.45" customHeight="1" x14ac:dyDescent="0.25">
      <c r="B60" s="347">
        <v>1.6</v>
      </c>
      <c r="C60" s="348" t="s">
        <v>148</v>
      </c>
      <c r="D60" s="386"/>
      <c r="E60" s="387"/>
      <c r="F60" s="387"/>
      <c r="G60" s="387"/>
      <c r="H60" s="444"/>
      <c r="I60" s="443"/>
      <c r="J60" s="443"/>
      <c r="K60" s="444"/>
      <c r="L60" s="444"/>
      <c r="M60" s="444"/>
      <c r="N60" s="387"/>
      <c r="O60" s="387"/>
      <c r="P60" s="444"/>
      <c r="Q60" s="444"/>
      <c r="R60" s="444">
        <v>0</v>
      </c>
      <c r="S60" s="444">
        <f>VLOOKUP(B60,'MEMÓRIA MEDIÇÃO 12'!$A$7:$F$202,6,FALSE)</f>
        <v>0</v>
      </c>
      <c r="T60" s="387">
        <f t="shared" si="6"/>
        <v>0</v>
      </c>
      <c r="U60" s="387"/>
      <c r="V60" s="387"/>
      <c r="W60" s="346">
        <f t="shared" si="22"/>
        <v>0</v>
      </c>
      <c r="X60" s="346">
        <f t="shared" si="23"/>
        <v>0</v>
      </c>
      <c r="Y60" s="346">
        <f t="shared" si="27"/>
        <v>0</v>
      </c>
      <c r="Z60" s="346">
        <f t="shared" si="24"/>
        <v>0</v>
      </c>
      <c r="AA60" s="346">
        <f t="shared" si="25"/>
        <v>0</v>
      </c>
      <c r="AB60" s="346"/>
      <c r="AC60" s="346">
        <f t="shared" si="26"/>
        <v>0</v>
      </c>
      <c r="AD60" s="346">
        <f t="shared" si="10"/>
        <v>0</v>
      </c>
      <c r="AE60" s="346">
        <f t="shared" si="11"/>
        <v>0</v>
      </c>
      <c r="AF60" s="346">
        <f t="shared" si="12"/>
        <v>0</v>
      </c>
      <c r="AG60" s="346">
        <f t="shared" si="13"/>
        <v>0</v>
      </c>
      <c r="AH60" s="346">
        <f t="shared" si="14"/>
        <v>0</v>
      </c>
      <c r="AI60" s="445">
        <f t="shared" si="15"/>
        <v>0</v>
      </c>
      <c r="AJ60" s="446"/>
    </row>
    <row r="61" spans="2:36" s="167" customFormat="1" ht="45" x14ac:dyDescent="0.25">
      <c r="B61" s="384" t="s">
        <v>149</v>
      </c>
      <c r="C61" s="385">
        <v>87893</v>
      </c>
      <c r="D61" s="386" t="s">
        <v>151</v>
      </c>
      <c r="E61" s="387" t="s">
        <v>17</v>
      </c>
      <c r="F61" s="387">
        <v>6.08</v>
      </c>
      <c r="G61" s="387">
        <v>2029.19</v>
      </c>
      <c r="H61" s="444"/>
      <c r="I61" s="443"/>
      <c r="J61" s="443"/>
      <c r="K61" s="444"/>
      <c r="L61" s="444">
        <v>1348.98</v>
      </c>
      <c r="M61" s="444"/>
      <c r="N61" s="387"/>
      <c r="O61" s="387"/>
      <c r="P61" s="444"/>
      <c r="Q61" s="444">
        <v>380</v>
      </c>
      <c r="R61" s="444">
        <v>0</v>
      </c>
      <c r="S61" s="444">
        <f>VLOOKUP(B61,'MEMÓRIA MEDIÇÃO 12'!$A$7:$F$202,6,FALSE)</f>
        <v>0</v>
      </c>
      <c r="T61" s="387">
        <f t="shared" si="6"/>
        <v>1728.98</v>
      </c>
      <c r="U61" s="387">
        <f>G61-T61</f>
        <v>300.21000000000004</v>
      </c>
      <c r="V61" s="387">
        <f>F61*G61</f>
        <v>12337.475200000001</v>
      </c>
      <c r="W61" s="346">
        <f t="shared" si="22"/>
        <v>0</v>
      </c>
      <c r="X61" s="346">
        <f t="shared" si="23"/>
        <v>0</v>
      </c>
      <c r="Y61" s="346">
        <f t="shared" si="27"/>
        <v>0</v>
      </c>
      <c r="Z61" s="346">
        <f t="shared" si="24"/>
        <v>0</v>
      </c>
      <c r="AA61" s="346">
        <f t="shared" si="25"/>
        <v>8201.7900000000009</v>
      </c>
      <c r="AB61" s="346">
        <f>M61*F61</f>
        <v>0</v>
      </c>
      <c r="AC61" s="346">
        <f t="shared" si="26"/>
        <v>0</v>
      </c>
      <c r="AD61" s="346">
        <f t="shared" si="10"/>
        <v>0</v>
      </c>
      <c r="AE61" s="346">
        <f t="shared" si="11"/>
        <v>0</v>
      </c>
      <c r="AF61" s="346">
        <f t="shared" si="12"/>
        <v>2310.4</v>
      </c>
      <c r="AG61" s="346">
        <f t="shared" si="13"/>
        <v>0</v>
      </c>
      <c r="AH61" s="346">
        <f t="shared" si="14"/>
        <v>0</v>
      </c>
      <c r="AI61" s="445">
        <f t="shared" si="15"/>
        <v>10512.19</v>
      </c>
      <c r="AJ61" s="446">
        <f t="shared" si="16"/>
        <v>1825.2852000000003</v>
      </c>
    </row>
    <row r="62" spans="2:36" s="167" customFormat="1" ht="56.25" x14ac:dyDescent="0.25">
      <c r="B62" s="384" t="s">
        <v>152</v>
      </c>
      <c r="C62" s="385">
        <v>87548</v>
      </c>
      <c r="D62" s="386" t="s">
        <v>154</v>
      </c>
      <c r="E62" s="387" t="s">
        <v>17</v>
      </c>
      <c r="F62" s="387">
        <v>22.4</v>
      </c>
      <c r="G62" s="387">
        <v>1666.99</v>
      </c>
      <c r="H62" s="444"/>
      <c r="I62" s="443"/>
      <c r="J62" s="443"/>
      <c r="K62" s="444"/>
      <c r="L62" s="444"/>
      <c r="M62" s="444">
        <f>'MEMORIAL DE CALCULO 06'!K410</f>
        <v>299.13299999999998</v>
      </c>
      <c r="N62" s="444">
        <v>697.97678599999995</v>
      </c>
      <c r="O62" s="444"/>
      <c r="P62" s="444"/>
      <c r="Q62" s="444">
        <v>480</v>
      </c>
      <c r="R62" s="444">
        <v>0</v>
      </c>
      <c r="S62" s="444">
        <f>VLOOKUP(B62,'MEMÓRIA MEDIÇÃO 12'!$A$7:$F$202,6,FALSE)</f>
        <v>0</v>
      </c>
      <c r="T62" s="387">
        <f t="shared" si="6"/>
        <v>1477.109786</v>
      </c>
      <c r="U62" s="387">
        <f>G62-T62</f>
        <v>189.88021400000002</v>
      </c>
      <c r="V62" s="387">
        <f>F62*G62</f>
        <v>37340.576000000001</v>
      </c>
      <c r="W62" s="346">
        <f t="shared" si="22"/>
        <v>0</v>
      </c>
      <c r="X62" s="346">
        <f t="shared" si="23"/>
        <v>0</v>
      </c>
      <c r="Y62" s="346">
        <f t="shared" si="27"/>
        <v>0</v>
      </c>
      <c r="Z62" s="346">
        <f t="shared" si="24"/>
        <v>0</v>
      </c>
      <c r="AA62" s="346">
        <f t="shared" si="25"/>
        <v>0</v>
      </c>
      <c r="AB62" s="346">
        <f>M62*F62</f>
        <v>6700.5791999999992</v>
      </c>
      <c r="AC62" s="346">
        <f t="shared" si="26"/>
        <v>15634.680006399998</v>
      </c>
      <c r="AD62" s="346">
        <f t="shared" si="10"/>
        <v>0</v>
      </c>
      <c r="AE62" s="346">
        <f t="shared" si="11"/>
        <v>0</v>
      </c>
      <c r="AF62" s="346">
        <f t="shared" si="12"/>
        <v>10752</v>
      </c>
      <c r="AG62" s="346">
        <f t="shared" si="13"/>
        <v>0</v>
      </c>
      <c r="AH62" s="346">
        <f t="shared" si="14"/>
        <v>0</v>
      </c>
      <c r="AI62" s="445">
        <f t="shared" si="15"/>
        <v>33087.259206399998</v>
      </c>
      <c r="AJ62" s="446">
        <f t="shared" si="16"/>
        <v>4253.3167936000027</v>
      </c>
    </row>
    <row r="63" spans="2:36" s="167" customFormat="1" ht="56.25" x14ac:dyDescent="0.25">
      <c r="B63" s="384" t="s">
        <v>155</v>
      </c>
      <c r="C63" s="385">
        <v>87536</v>
      </c>
      <c r="D63" s="386" t="s">
        <v>157</v>
      </c>
      <c r="E63" s="387" t="s">
        <v>17</v>
      </c>
      <c r="F63" s="387">
        <v>31.26</v>
      </c>
      <c r="G63" s="387">
        <v>351.87</v>
      </c>
      <c r="H63" s="444"/>
      <c r="I63" s="443"/>
      <c r="J63" s="443"/>
      <c r="K63" s="444"/>
      <c r="L63" s="444"/>
      <c r="M63" s="444"/>
      <c r="N63" s="444">
        <f>'MEMORIAL DE CALCULO 07'!K417</f>
        <v>351.87</v>
      </c>
      <c r="O63" s="444"/>
      <c r="P63" s="444"/>
      <c r="Q63" s="444"/>
      <c r="R63" s="444">
        <v>0</v>
      </c>
      <c r="S63" s="444">
        <f>VLOOKUP(B63,'MEMÓRIA MEDIÇÃO 12'!$A$7:$F$202,6,FALSE)</f>
        <v>0</v>
      </c>
      <c r="T63" s="387">
        <f t="shared" si="6"/>
        <v>351.87</v>
      </c>
      <c r="U63" s="387">
        <f>G63-T63</f>
        <v>0</v>
      </c>
      <c r="V63" s="387">
        <f>F63*G63</f>
        <v>10999.456200000001</v>
      </c>
      <c r="W63" s="346">
        <f t="shared" si="22"/>
        <v>0</v>
      </c>
      <c r="X63" s="346">
        <f t="shared" si="23"/>
        <v>0</v>
      </c>
      <c r="Y63" s="346">
        <f t="shared" si="27"/>
        <v>0</v>
      </c>
      <c r="Z63" s="346">
        <f t="shared" si="24"/>
        <v>0</v>
      </c>
      <c r="AA63" s="346">
        <f t="shared" si="25"/>
        <v>0</v>
      </c>
      <c r="AB63" s="346">
        <f>M63*F63</f>
        <v>0</v>
      </c>
      <c r="AC63" s="346">
        <f t="shared" si="26"/>
        <v>10999.456200000001</v>
      </c>
      <c r="AD63" s="346">
        <f t="shared" si="10"/>
        <v>0</v>
      </c>
      <c r="AE63" s="346">
        <f t="shared" si="11"/>
        <v>0</v>
      </c>
      <c r="AF63" s="346">
        <f t="shared" si="12"/>
        <v>0</v>
      </c>
      <c r="AG63" s="346">
        <f t="shared" si="13"/>
        <v>0</v>
      </c>
      <c r="AH63" s="346">
        <f t="shared" si="14"/>
        <v>0</v>
      </c>
      <c r="AI63" s="445">
        <f t="shared" si="15"/>
        <v>10999.456200000001</v>
      </c>
      <c r="AJ63" s="446">
        <f t="shared" si="16"/>
        <v>0</v>
      </c>
    </row>
    <row r="64" spans="2:36" s="167" customFormat="1" ht="33.75" x14ac:dyDescent="0.25">
      <c r="B64" s="384" t="s">
        <v>158</v>
      </c>
      <c r="C64" s="385">
        <v>87275</v>
      </c>
      <c r="D64" s="386" t="s">
        <v>160</v>
      </c>
      <c r="E64" s="387" t="s">
        <v>17</v>
      </c>
      <c r="F64" s="387">
        <v>75.14</v>
      </c>
      <c r="G64" s="387">
        <v>351.87</v>
      </c>
      <c r="H64" s="444"/>
      <c r="I64" s="443"/>
      <c r="J64" s="443"/>
      <c r="K64" s="444"/>
      <c r="L64" s="444"/>
      <c r="M64" s="444"/>
      <c r="N64" s="387"/>
      <c r="O64" s="387"/>
      <c r="P64" s="444"/>
      <c r="Q64" s="444"/>
      <c r="R64" s="444">
        <v>0</v>
      </c>
      <c r="S64" s="444">
        <f>VLOOKUP(B64,'MEMÓRIA MEDIÇÃO 12'!$A$7:$F$202,6,FALSE)</f>
        <v>0</v>
      </c>
      <c r="T64" s="387">
        <f t="shared" si="6"/>
        <v>0</v>
      </c>
      <c r="U64" s="387">
        <f>G64-T64</f>
        <v>351.87</v>
      </c>
      <c r="V64" s="387">
        <f>F64*G64</f>
        <v>26439.5118</v>
      </c>
      <c r="W64" s="346">
        <f t="shared" si="22"/>
        <v>0</v>
      </c>
      <c r="X64" s="346">
        <f t="shared" si="23"/>
        <v>0</v>
      </c>
      <c r="Y64" s="346">
        <f t="shared" si="27"/>
        <v>0</v>
      </c>
      <c r="Z64" s="346">
        <f t="shared" si="24"/>
        <v>0</v>
      </c>
      <c r="AA64" s="346">
        <f t="shared" si="25"/>
        <v>0</v>
      </c>
      <c r="AB64" s="346">
        <f>M64*F64</f>
        <v>0</v>
      </c>
      <c r="AC64" s="346">
        <f t="shared" si="26"/>
        <v>0</v>
      </c>
      <c r="AD64" s="346">
        <f t="shared" si="10"/>
        <v>0</v>
      </c>
      <c r="AE64" s="346">
        <f t="shared" si="11"/>
        <v>0</v>
      </c>
      <c r="AF64" s="346">
        <f t="shared" si="12"/>
        <v>0</v>
      </c>
      <c r="AG64" s="346">
        <f t="shared" si="13"/>
        <v>0</v>
      </c>
      <c r="AH64" s="346">
        <f t="shared" si="14"/>
        <v>0</v>
      </c>
      <c r="AI64" s="445">
        <f t="shared" si="15"/>
        <v>0</v>
      </c>
      <c r="AJ64" s="446">
        <f t="shared" si="16"/>
        <v>26439.5118</v>
      </c>
    </row>
    <row r="65" spans="2:36" s="167" customFormat="1" x14ac:dyDescent="0.25">
      <c r="B65" s="347">
        <v>1.7</v>
      </c>
      <c r="C65" s="348" t="s">
        <v>162</v>
      </c>
      <c r="D65" s="386"/>
      <c r="E65" s="387"/>
      <c r="F65" s="387"/>
      <c r="G65" s="387"/>
      <c r="H65" s="444"/>
      <c r="I65" s="443"/>
      <c r="J65" s="443"/>
      <c r="K65" s="444"/>
      <c r="L65" s="444"/>
      <c r="M65" s="444"/>
      <c r="N65" s="387"/>
      <c r="O65" s="387"/>
      <c r="P65" s="444"/>
      <c r="Q65" s="444"/>
      <c r="R65" s="444">
        <v>0</v>
      </c>
      <c r="S65" s="444">
        <f>VLOOKUP(B65,'MEMÓRIA MEDIÇÃO 12'!$A$7:$F$202,6,FALSE)</f>
        <v>0</v>
      </c>
      <c r="T65" s="387">
        <f t="shared" si="6"/>
        <v>0</v>
      </c>
      <c r="U65" s="387"/>
      <c r="V65" s="387"/>
      <c r="W65" s="346">
        <f t="shared" si="22"/>
        <v>0</v>
      </c>
      <c r="X65" s="346">
        <f t="shared" si="23"/>
        <v>0</v>
      </c>
      <c r="Y65" s="346">
        <f t="shared" si="27"/>
        <v>0</v>
      </c>
      <c r="Z65" s="346">
        <f t="shared" si="24"/>
        <v>0</v>
      </c>
      <c r="AA65" s="346">
        <f t="shared" si="25"/>
        <v>0</v>
      </c>
      <c r="AB65" s="346"/>
      <c r="AC65" s="346">
        <f t="shared" si="26"/>
        <v>0</v>
      </c>
      <c r="AD65" s="346">
        <f t="shared" si="10"/>
        <v>0</v>
      </c>
      <c r="AE65" s="346">
        <f t="shared" si="11"/>
        <v>0</v>
      </c>
      <c r="AF65" s="346">
        <f t="shared" si="12"/>
        <v>0</v>
      </c>
      <c r="AG65" s="346">
        <f t="shared" si="13"/>
        <v>0</v>
      </c>
      <c r="AH65" s="346">
        <f t="shared" si="14"/>
        <v>0</v>
      </c>
      <c r="AI65" s="445">
        <f t="shared" si="15"/>
        <v>0</v>
      </c>
      <c r="AJ65" s="446"/>
    </row>
    <row r="66" spans="2:36" s="167" customFormat="1" ht="56.25" x14ac:dyDescent="0.25">
      <c r="B66" s="384" t="s">
        <v>163</v>
      </c>
      <c r="C66" s="385">
        <v>91315</v>
      </c>
      <c r="D66" s="391" t="s">
        <v>165</v>
      </c>
      <c r="E66" s="387" t="s">
        <v>166</v>
      </c>
      <c r="F66" s="387">
        <v>919.01</v>
      </c>
      <c r="G66" s="387">
        <v>18</v>
      </c>
      <c r="H66" s="278"/>
      <c r="I66" s="443"/>
      <c r="J66" s="443"/>
      <c r="K66" s="278"/>
      <c r="L66" s="278"/>
      <c r="M66" s="278"/>
      <c r="N66" s="278"/>
      <c r="O66" s="278"/>
      <c r="P66" s="278"/>
      <c r="Q66" s="278"/>
      <c r="R66" s="444">
        <v>0</v>
      </c>
      <c r="S66" s="444">
        <f>VLOOKUP(B66,'MEMÓRIA MEDIÇÃO 12'!$A$7:$F$202,6,FALSE)</f>
        <v>0</v>
      </c>
      <c r="T66" s="387">
        <f t="shared" si="6"/>
        <v>0</v>
      </c>
      <c r="U66" s="387">
        <f t="shared" ref="U66:U73" si="28">G66-T66</f>
        <v>18</v>
      </c>
      <c r="V66" s="387">
        <f t="shared" ref="V66:V73" si="29">F66*G66</f>
        <v>16542.18</v>
      </c>
      <c r="W66" s="346">
        <f t="shared" si="22"/>
        <v>0</v>
      </c>
      <c r="X66" s="346">
        <f t="shared" si="23"/>
        <v>0</v>
      </c>
      <c r="Y66" s="346">
        <f t="shared" si="27"/>
        <v>0</v>
      </c>
      <c r="Z66" s="346">
        <f t="shared" si="24"/>
        <v>0</v>
      </c>
      <c r="AA66" s="346">
        <f t="shared" si="25"/>
        <v>0</v>
      </c>
      <c r="AB66" s="346">
        <f t="shared" ref="AB66:AB97" si="30">M66*F66</f>
        <v>0</v>
      </c>
      <c r="AC66" s="346">
        <f t="shared" si="26"/>
        <v>0</v>
      </c>
      <c r="AD66" s="346">
        <f t="shared" si="10"/>
        <v>0</v>
      </c>
      <c r="AE66" s="346">
        <f t="shared" si="11"/>
        <v>0</v>
      </c>
      <c r="AF66" s="346">
        <f t="shared" si="12"/>
        <v>0</v>
      </c>
      <c r="AG66" s="346">
        <f t="shared" si="13"/>
        <v>0</v>
      </c>
      <c r="AH66" s="346">
        <f t="shared" si="14"/>
        <v>0</v>
      </c>
      <c r="AI66" s="445">
        <f t="shared" si="15"/>
        <v>0</v>
      </c>
      <c r="AJ66" s="446">
        <f t="shared" si="16"/>
        <v>16542.18</v>
      </c>
    </row>
    <row r="67" spans="2:36" s="167" customFormat="1" ht="45" x14ac:dyDescent="0.25">
      <c r="B67" s="384" t="s">
        <v>167</v>
      </c>
      <c r="C67" s="385">
        <v>94570</v>
      </c>
      <c r="D67" s="386" t="s">
        <v>169</v>
      </c>
      <c r="E67" s="387" t="s">
        <v>17</v>
      </c>
      <c r="F67" s="387">
        <v>960.32</v>
      </c>
      <c r="G67" s="387">
        <v>50.8</v>
      </c>
      <c r="H67" s="444"/>
      <c r="I67" s="443"/>
      <c r="J67" s="443"/>
      <c r="K67" s="444"/>
      <c r="L67" s="444"/>
      <c r="M67" s="444"/>
      <c r="N67" s="387"/>
      <c r="O67" s="387"/>
      <c r="P67" s="444"/>
      <c r="Q67" s="444"/>
      <c r="R67" s="444">
        <v>0</v>
      </c>
      <c r="S67" s="444">
        <f>VLOOKUP(B67,'MEMÓRIA MEDIÇÃO 12'!$A$7:$F$202,6,FALSE)</f>
        <v>0</v>
      </c>
      <c r="T67" s="387">
        <f t="shared" si="6"/>
        <v>0</v>
      </c>
      <c r="U67" s="387">
        <f t="shared" si="28"/>
        <v>50.8</v>
      </c>
      <c r="V67" s="387">
        <f t="shared" si="29"/>
        <v>48784.256000000001</v>
      </c>
      <c r="W67" s="346">
        <f t="shared" si="22"/>
        <v>0</v>
      </c>
      <c r="X67" s="346">
        <f t="shared" si="23"/>
        <v>0</v>
      </c>
      <c r="Y67" s="346">
        <f t="shared" si="27"/>
        <v>0</v>
      </c>
      <c r="Z67" s="346">
        <f t="shared" si="24"/>
        <v>0</v>
      </c>
      <c r="AA67" s="346">
        <f t="shared" si="25"/>
        <v>0</v>
      </c>
      <c r="AB67" s="346">
        <f t="shared" si="30"/>
        <v>0</v>
      </c>
      <c r="AC67" s="346">
        <f t="shared" si="26"/>
        <v>0</v>
      </c>
      <c r="AD67" s="346">
        <f t="shared" si="10"/>
        <v>0</v>
      </c>
      <c r="AE67" s="346">
        <f t="shared" si="11"/>
        <v>0</v>
      </c>
      <c r="AF67" s="346">
        <f t="shared" si="12"/>
        <v>0</v>
      </c>
      <c r="AG67" s="346">
        <f t="shared" si="13"/>
        <v>0</v>
      </c>
      <c r="AH67" s="346">
        <f t="shared" si="14"/>
        <v>0</v>
      </c>
      <c r="AI67" s="445">
        <f t="shared" si="15"/>
        <v>0</v>
      </c>
      <c r="AJ67" s="446">
        <f t="shared" si="16"/>
        <v>48784.256000000001</v>
      </c>
    </row>
    <row r="68" spans="2:36" s="167" customFormat="1" ht="56.25" x14ac:dyDescent="0.25">
      <c r="B68" s="384" t="s">
        <v>170</v>
      </c>
      <c r="C68" s="385">
        <v>100689</v>
      </c>
      <c r="D68" s="386" t="s">
        <v>172</v>
      </c>
      <c r="E68" s="387" t="s">
        <v>166</v>
      </c>
      <c r="F68" s="387">
        <v>1069.74</v>
      </c>
      <c r="G68" s="387">
        <v>5</v>
      </c>
      <c r="H68" s="444"/>
      <c r="I68" s="443"/>
      <c r="J68" s="443"/>
      <c r="K68" s="444"/>
      <c r="L68" s="444"/>
      <c r="M68" s="444"/>
      <c r="N68" s="387"/>
      <c r="O68" s="387"/>
      <c r="P68" s="444"/>
      <c r="Q68" s="444"/>
      <c r="R68" s="444">
        <v>0</v>
      </c>
      <c r="S68" s="444">
        <f>VLOOKUP(B68,'MEMÓRIA MEDIÇÃO 12'!$A$7:$F$202,6,FALSE)</f>
        <v>0</v>
      </c>
      <c r="T68" s="387">
        <f t="shared" si="6"/>
        <v>0</v>
      </c>
      <c r="U68" s="387">
        <f t="shared" si="28"/>
        <v>5</v>
      </c>
      <c r="V68" s="387">
        <f t="shared" si="29"/>
        <v>5348.7</v>
      </c>
      <c r="W68" s="346">
        <f t="shared" si="22"/>
        <v>0</v>
      </c>
      <c r="X68" s="346">
        <f t="shared" si="23"/>
        <v>0</v>
      </c>
      <c r="Y68" s="346">
        <f t="shared" si="27"/>
        <v>0</v>
      </c>
      <c r="Z68" s="346">
        <f t="shared" si="24"/>
        <v>0</v>
      </c>
      <c r="AA68" s="346">
        <f t="shared" si="25"/>
        <v>0</v>
      </c>
      <c r="AB68" s="346">
        <f t="shared" si="30"/>
        <v>0</v>
      </c>
      <c r="AC68" s="346">
        <f t="shared" si="26"/>
        <v>0</v>
      </c>
      <c r="AD68" s="346">
        <f t="shared" si="10"/>
        <v>0</v>
      </c>
      <c r="AE68" s="346">
        <f t="shared" si="11"/>
        <v>0</v>
      </c>
      <c r="AF68" s="346">
        <f t="shared" si="12"/>
        <v>0</v>
      </c>
      <c r="AG68" s="346">
        <f t="shared" si="13"/>
        <v>0</v>
      </c>
      <c r="AH68" s="346">
        <f t="shared" si="14"/>
        <v>0</v>
      </c>
      <c r="AI68" s="445">
        <f t="shared" si="15"/>
        <v>0</v>
      </c>
      <c r="AJ68" s="446">
        <f t="shared" si="16"/>
        <v>5348.7</v>
      </c>
    </row>
    <row r="69" spans="2:36" s="167" customFormat="1" ht="33.75" x14ac:dyDescent="0.25">
      <c r="B69" s="384" t="s">
        <v>173</v>
      </c>
      <c r="C69" s="442" t="s">
        <v>174</v>
      </c>
      <c r="D69" s="386" t="s">
        <v>175</v>
      </c>
      <c r="E69" s="387" t="s">
        <v>5</v>
      </c>
      <c r="F69" s="387">
        <v>2030.34</v>
      </c>
      <c r="G69" s="387">
        <v>1</v>
      </c>
      <c r="H69" s="444"/>
      <c r="I69" s="443"/>
      <c r="J69" s="443"/>
      <c r="K69" s="444"/>
      <c r="L69" s="444"/>
      <c r="M69" s="444"/>
      <c r="N69" s="387"/>
      <c r="O69" s="387"/>
      <c r="P69" s="444"/>
      <c r="Q69" s="444"/>
      <c r="R69" s="444">
        <v>0</v>
      </c>
      <c r="S69" s="444">
        <f>VLOOKUP(B69,'MEMÓRIA MEDIÇÃO 12'!$A$7:$F$202,6,FALSE)</f>
        <v>0</v>
      </c>
      <c r="T69" s="387">
        <f t="shared" si="6"/>
        <v>0</v>
      </c>
      <c r="U69" s="387">
        <f t="shared" si="28"/>
        <v>1</v>
      </c>
      <c r="V69" s="387">
        <f t="shared" si="29"/>
        <v>2030.34</v>
      </c>
      <c r="W69" s="346">
        <f t="shared" si="22"/>
        <v>0</v>
      </c>
      <c r="X69" s="346">
        <f t="shared" si="23"/>
        <v>0</v>
      </c>
      <c r="Y69" s="346">
        <f t="shared" si="27"/>
        <v>0</v>
      </c>
      <c r="Z69" s="346">
        <f t="shared" si="24"/>
        <v>0</v>
      </c>
      <c r="AA69" s="346">
        <f t="shared" si="25"/>
        <v>0</v>
      </c>
      <c r="AB69" s="346">
        <f t="shared" si="30"/>
        <v>0</v>
      </c>
      <c r="AC69" s="346">
        <f t="shared" si="26"/>
        <v>0</v>
      </c>
      <c r="AD69" s="346">
        <f t="shared" si="10"/>
        <v>0</v>
      </c>
      <c r="AE69" s="346">
        <f t="shared" si="11"/>
        <v>0</v>
      </c>
      <c r="AF69" s="346">
        <f t="shared" si="12"/>
        <v>0</v>
      </c>
      <c r="AG69" s="346">
        <f t="shared" si="13"/>
        <v>0</v>
      </c>
      <c r="AH69" s="346">
        <f t="shared" si="14"/>
        <v>0</v>
      </c>
      <c r="AI69" s="445">
        <f t="shared" si="15"/>
        <v>0</v>
      </c>
      <c r="AJ69" s="446">
        <f t="shared" si="16"/>
        <v>2030.34</v>
      </c>
    </row>
    <row r="70" spans="2:36" s="167" customFormat="1" ht="33.75" x14ac:dyDescent="0.25">
      <c r="B70" s="384" t="s">
        <v>176</v>
      </c>
      <c r="C70" s="442" t="s">
        <v>177</v>
      </c>
      <c r="D70" s="386" t="s">
        <v>178</v>
      </c>
      <c r="E70" s="387" t="s">
        <v>5</v>
      </c>
      <c r="F70" s="387">
        <v>4697.45</v>
      </c>
      <c r="G70" s="387">
        <v>3</v>
      </c>
      <c r="H70" s="444"/>
      <c r="I70" s="443"/>
      <c r="J70" s="443"/>
      <c r="K70" s="444"/>
      <c r="L70" s="444"/>
      <c r="M70" s="444"/>
      <c r="N70" s="387"/>
      <c r="O70" s="387"/>
      <c r="P70" s="444"/>
      <c r="Q70" s="444"/>
      <c r="R70" s="444">
        <v>0</v>
      </c>
      <c r="S70" s="444">
        <f>VLOOKUP(B70,'MEMÓRIA MEDIÇÃO 12'!$A$7:$F$202,6,FALSE)</f>
        <v>0</v>
      </c>
      <c r="T70" s="387">
        <f t="shared" si="6"/>
        <v>0</v>
      </c>
      <c r="U70" s="387">
        <f t="shared" si="28"/>
        <v>3</v>
      </c>
      <c r="V70" s="387">
        <f t="shared" si="29"/>
        <v>14092.349999999999</v>
      </c>
      <c r="W70" s="346">
        <f t="shared" si="22"/>
        <v>0</v>
      </c>
      <c r="X70" s="346">
        <f t="shared" si="23"/>
        <v>0</v>
      </c>
      <c r="Y70" s="346">
        <f t="shared" si="27"/>
        <v>0</v>
      </c>
      <c r="Z70" s="346">
        <f t="shared" si="24"/>
        <v>0</v>
      </c>
      <c r="AA70" s="346">
        <f t="shared" si="25"/>
        <v>0</v>
      </c>
      <c r="AB70" s="346">
        <f t="shared" si="30"/>
        <v>0</v>
      </c>
      <c r="AC70" s="346">
        <f t="shared" si="26"/>
        <v>0</v>
      </c>
      <c r="AD70" s="346">
        <f t="shared" si="10"/>
        <v>0</v>
      </c>
      <c r="AE70" s="346">
        <f t="shared" si="11"/>
        <v>0</v>
      </c>
      <c r="AF70" s="346">
        <f t="shared" si="12"/>
        <v>0</v>
      </c>
      <c r="AG70" s="346">
        <f t="shared" si="13"/>
        <v>0</v>
      </c>
      <c r="AH70" s="346">
        <f t="shared" si="14"/>
        <v>0</v>
      </c>
      <c r="AI70" s="445">
        <f t="shared" si="15"/>
        <v>0</v>
      </c>
      <c r="AJ70" s="446">
        <f t="shared" si="16"/>
        <v>14092.349999999999</v>
      </c>
    </row>
    <row r="71" spans="2:36" s="167" customFormat="1" ht="33.75" x14ac:dyDescent="0.25">
      <c r="B71" s="384" t="s">
        <v>179</v>
      </c>
      <c r="C71" s="385">
        <v>91341</v>
      </c>
      <c r="D71" s="386" t="s">
        <v>181</v>
      </c>
      <c r="E71" s="387" t="s">
        <v>17</v>
      </c>
      <c r="F71" s="387">
        <v>976.37</v>
      </c>
      <c r="G71" s="387">
        <v>12.96</v>
      </c>
      <c r="H71" s="444"/>
      <c r="I71" s="443"/>
      <c r="J71" s="443"/>
      <c r="K71" s="444"/>
      <c r="L71" s="444"/>
      <c r="M71" s="444"/>
      <c r="N71" s="387"/>
      <c r="O71" s="387"/>
      <c r="P71" s="444"/>
      <c r="Q71" s="444"/>
      <c r="R71" s="444">
        <v>0</v>
      </c>
      <c r="S71" s="444">
        <f>VLOOKUP(B71,'MEMÓRIA MEDIÇÃO 12'!$A$7:$F$202,6,FALSE)</f>
        <v>0</v>
      </c>
      <c r="T71" s="387">
        <f t="shared" si="6"/>
        <v>0</v>
      </c>
      <c r="U71" s="387">
        <f t="shared" si="28"/>
        <v>12.96</v>
      </c>
      <c r="V71" s="387">
        <f t="shared" si="29"/>
        <v>12653.755200000001</v>
      </c>
      <c r="W71" s="346">
        <f t="shared" si="22"/>
        <v>0</v>
      </c>
      <c r="X71" s="346">
        <f t="shared" si="23"/>
        <v>0</v>
      </c>
      <c r="Y71" s="346">
        <f t="shared" si="27"/>
        <v>0</v>
      </c>
      <c r="Z71" s="346">
        <f t="shared" si="24"/>
        <v>0</v>
      </c>
      <c r="AA71" s="346">
        <f t="shared" si="25"/>
        <v>0</v>
      </c>
      <c r="AB71" s="346">
        <f t="shared" si="30"/>
        <v>0</v>
      </c>
      <c r="AC71" s="346">
        <f t="shared" si="26"/>
        <v>0</v>
      </c>
      <c r="AD71" s="346">
        <f t="shared" si="10"/>
        <v>0</v>
      </c>
      <c r="AE71" s="346">
        <f t="shared" si="11"/>
        <v>0</v>
      </c>
      <c r="AF71" s="346">
        <f t="shared" si="12"/>
        <v>0</v>
      </c>
      <c r="AG71" s="346">
        <f t="shared" si="13"/>
        <v>0</v>
      </c>
      <c r="AH71" s="346">
        <f t="shared" si="14"/>
        <v>0</v>
      </c>
      <c r="AI71" s="445">
        <f t="shared" si="15"/>
        <v>0</v>
      </c>
      <c r="AJ71" s="446">
        <f t="shared" si="16"/>
        <v>12653.755200000001</v>
      </c>
    </row>
    <row r="72" spans="2:36" s="167" customFormat="1" ht="33.75" x14ac:dyDescent="0.25">
      <c r="B72" s="384" t="s">
        <v>182</v>
      </c>
      <c r="C72" s="385">
        <v>100702</v>
      </c>
      <c r="D72" s="386" t="s">
        <v>184</v>
      </c>
      <c r="E72" s="387" t="s">
        <v>17</v>
      </c>
      <c r="F72" s="387">
        <v>579.9</v>
      </c>
      <c r="G72" s="387">
        <v>19.96</v>
      </c>
      <c r="H72" s="444"/>
      <c r="I72" s="443"/>
      <c r="J72" s="443"/>
      <c r="K72" s="444"/>
      <c r="L72" s="444"/>
      <c r="M72" s="444"/>
      <c r="N72" s="387"/>
      <c r="O72" s="387"/>
      <c r="P72" s="444"/>
      <c r="Q72" s="444"/>
      <c r="R72" s="444">
        <v>0</v>
      </c>
      <c r="S72" s="444">
        <f>VLOOKUP(B72,'MEMÓRIA MEDIÇÃO 12'!$A$7:$F$202,6,FALSE)</f>
        <v>0</v>
      </c>
      <c r="T72" s="387">
        <f t="shared" si="6"/>
        <v>0</v>
      </c>
      <c r="U72" s="387">
        <f t="shared" si="28"/>
        <v>19.96</v>
      </c>
      <c r="V72" s="387">
        <f t="shared" si="29"/>
        <v>11574.804</v>
      </c>
      <c r="W72" s="346">
        <f t="shared" si="22"/>
        <v>0</v>
      </c>
      <c r="X72" s="346">
        <f t="shared" si="23"/>
        <v>0</v>
      </c>
      <c r="Y72" s="346">
        <f t="shared" si="27"/>
        <v>0</v>
      </c>
      <c r="Z72" s="346">
        <f t="shared" si="24"/>
        <v>0</v>
      </c>
      <c r="AA72" s="346">
        <f t="shared" si="25"/>
        <v>0</v>
      </c>
      <c r="AB72" s="346">
        <f t="shared" si="30"/>
        <v>0</v>
      </c>
      <c r="AC72" s="346">
        <f t="shared" si="26"/>
        <v>0</v>
      </c>
      <c r="AD72" s="346">
        <f t="shared" si="10"/>
        <v>0</v>
      </c>
      <c r="AE72" s="346">
        <f t="shared" si="11"/>
        <v>0</v>
      </c>
      <c r="AF72" s="346">
        <f t="shared" si="12"/>
        <v>0</v>
      </c>
      <c r="AG72" s="346">
        <f t="shared" si="13"/>
        <v>0</v>
      </c>
      <c r="AH72" s="346">
        <f t="shared" si="14"/>
        <v>0</v>
      </c>
      <c r="AI72" s="445">
        <f t="shared" si="15"/>
        <v>0</v>
      </c>
      <c r="AJ72" s="446">
        <f t="shared" si="16"/>
        <v>11574.804</v>
      </c>
    </row>
    <row r="73" spans="2:36" s="167" customFormat="1" ht="45" x14ac:dyDescent="0.25">
      <c r="B73" s="384" t="s">
        <v>185</v>
      </c>
      <c r="C73" s="385">
        <v>90831</v>
      </c>
      <c r="D73" s="386" t="s">
        <v>187</v>
      </c>
      <c r="E73" s="387" t="s">
        <v>166</v>
      </c>
      <c r="F73" s="387">
        <v>137.30000000000001</v>
      </c>
      <c r="G73" s="387">
        <v>8</v>
      </c>
      <c r="H73" s="444"/>
      <c r="I73" s="443"/>
      <c r="J73" s="443"/>
      <c r="K73" s="444"/>
      <c r="L73" s="444"/>
      <c r="M73" s="444"/>
      <c r="N73" s="387"/>
      <c r="O73" s="387"/>
      <c r="P73" s="444"/>
      <c r="Q73" s="444"/>
      <c r="R73" s="444">
        <v>0</v>
      </c>
      <c r="S73" s="444">
        <f>VLOOKUP(B73,'MEMÓRIA MEDIÇÃO 12'!$A$7:$F$202,6,FALSE)</f>
        <v>0</v>
      </c>
      <c r="T73" s="387">
        <f t="shared" si="6"/>
        <v>0</v>
      </c>
      <c r="U73" s="387">
        <f t="shared" si="28"/>
        <v>8</v>
      </c>
      <c r="V73" s="387">
        <f t="shared" si="29"/>
        <v>1098.4000000000001</v>
      </c>
      <c r="W73" s="346">
        <f t="shared" si="22"/>
        <v>0</v>
      </c>
      <c r="X73" s="346">
        <f t="shared" si="23"/>
        <v>0</v>
      </c>
      <c r="Y73" s="346">
        <f t="shared" si="27"/>
        <v>0</v>
      </c>
      <c r="Z73" s="346">
        <f t="shared" si="24"/>
        <v>0</v>
      </c>
      <c r="AA73" s="346">
        <f t="shared" si="25"/>
        <v>0</v>
      </c>
      <c r="AB73" s="346">
        <f t="shared" si="30"/>
        <v>0</v>
      </c>
      <c r="AC73" s="346">
        <f t="shared" si="26"/>
        <v>0</v>
      </c>
      <c r="AD73" s="346">
        <f t="shared" si="10"/>
        <v>0</v>
      </c>
      <c r="AE73" s="346">
        <f t="shared" si="11"/>
        <v>0</v>
      </c>
      <c r="AF73" s="346">
        <f t="shared" si="12"/>
        <v>0</v>
      </c>
      <c r="AG73" s="346">
        <f t="shared" si="13"/>
        <v>0</v>
      </c>
      <c r="AH73" s="346">
        <f t="shared" si="14"/>
        <v>0</v>
      </c>
      <c r="AI73" s="445">
        <f t="shared" si="15"/>
        <v>0</v>
      </c>
      <c r="AJ73" s="446">
        <f t="shared" si="16"/>
        <v>1098.4000000000001</v>
      </c>
    </row>
    <row r="74" spans="2:36" s="167" customFormat="1" x14ac:dyDescent="0.25">
      <c r="B74" s="347">
        <v>1.8</v>
      </c>
      <c r="C74" s="348" t="s">
        <v>189</v>
      </c>
      <c r="D74" s="386"/>
      <c r="E74" s="277"/>
      <c r="F74" s="387"/>
      <c r="G74" s="387"/>
      <c r="H74" s="444"/>
      <c r="I74" s="443"/>
      <c r="J74" s="443"/>
      <c r="K74" s="444"/>
      <c r="L74" s="444"/>
      <c r="M74" s="444"/>
      <c r="N74" s="387"/>
      <c r="O74" s="387"/>
      <c r="P74" s="444"/>
      <c r="Q74" s="444"/>
      <c r="R74" s="444">
        <v>0</v>
      </c>
      <c r="S74" s="444">
        <f>VLOOKUP(B74,'MEMÓRIA MEDIÇÃO 12'!$A$7:$F$202,6,FALSE)</f>
        <v>0</v>
      </c>
      <c r="T74" s="387">
        <f t="shared" si="6"/>
        <v>0</v>
      </c>
      <c r="U74" s="387"/>
      <c r="V74" s="387"/>
      <c r="W74" s="346">
        <f t="shared" si="22"/>
        <v>0</v>
      </c>
      <c r="X74" s="346">
        <f t="shared" si="23"/>
        <v>0</v>
      </c>
      <c r="Y74" s="346">
        <f t="shared" si="27"/>
        <v>0</v>
      </c>
      <c r="Z74" s="346">
        <f t="shared" si="24"/>
        <v>0</v>
      </c>
      <c r="AA74" s="346">
        <f t="shared" si="25"/>
        <v>0</v>
      </c>
      <c r="AB74" s="346">
        <f t="shared" si="30"/>
        <v>0</v>
      </c>
      <c r="AC74" s="346">
        <f t="shared" si="26"/>
        <v>0</v>
      </c>
      <c r="AD74" s="346">
        <f t="shared" si="10"/>
        <v>0</v>
      </c>
      <c r="AE74" s="346">
        <f t="shared" si="11"/>
        <v>0</v>
      </c>
      <c r="AF74" s="346">
        <f t="shared" si="12"/>
        <v>0</v>
      </c>
      <c r="AG74" s="346">
        <f t="shared" si="13"/>
        <v>0</v>
      </c>
      <c r="AH74" s="346">
        <f t="shared" si="14"/>
        <v>0</v>
      </c>
      <c r="AI74" s="445">
        <f t="shared" si="15"/>
        <v>0</v>
      </c>
      <c r="AJ74" s="446">
        <f t="shared" si="16"/>
        <v>0</v>
      </c>
    </row>
    <row r="75" spans="2:36" s="167" customFormat="1" ht="22.5" x14ac:dyDescent="0.25">
      <c r="B75" s="384" t="s">
        <v>190</v>
      </c>
      <c r="C75" s="385">
        <v>88485</v>
      </c>
      <c r="D75" s="386" t="s">
        <v>192</v>
      </c>
      <c r="E75" s="277" t="s">
        <v>17</v>
      </c>
      <c r="F75" s="387">
        <v>2.74</v>
      </c>
      <c r="G75" s="387">
        <v>1666.99</v>
      </c>
      <c r="H75" s="444"/>
      <c r="I75" s="443"/>
      <c r="J75" s="443"/>
      <c r="K75" s="444"/>
      <c r="L75" s="444"/>
      <c r="M75" s="444"/>
      <c r="N75" s="387"/>
      <c r="O75" s="387"/>
      <c r="P75" s="444"/>
      <c r="Q75" s="444"/>
      <c r="R75" s="444">
        <v>0</v>
      </c>
      <c r="S75" s="444">
        <f>VLOOKUP(B75,'MEMÓRIA MEDIÇÃO 12'!$A$7:$F$202,6,FALSE)</f>
        <v>642</v>
      </c>
      <c r="T75" s="387">
        <f t="shared" si="6"/>
        <v>642</v>
      </c>
      <c r="U75" s="387">
        <f t="shared" ref="U75:U80" si="31">G75-T75</f>
        <v>1024.99</v>
      </c>
      <c r="V75" s="387">
        <f t="shared" ref="V75:V80" si="32">F75*G75</f>
        <v>4567.5526</v>
      </c>
      <c r="W75" s="346">
        <f t="shared" si="22"/>
        <v>0</v>
      </c>
      <c r="X75" s="346">
        <f t="shared" si="23"/>
        <v>0</v>
      </c>
      <c r="Y75" s="346">
        <f t="shared" si="27"/>
        <v>0</v>
      </c>
      <c r="Z75" s="346">
        <f t="shared" si="24"/>
        <v>0</v>
      </c>
      <c r="AA75" s="346">
        <f t="shared" si="25"/>
        <v>0</v>
      </c>
      <c r="AB75" s="346">
        <f t="shared" si="30"/>
        <v>0</v>
      </c>
      <c r="AC75" s="346">
        <f t="shared" si="26"/>
        <v>0</v>
      </c>
      <c r="AD75" s="346">
        <f t="shared" si="10"/>
        <v>0</v>
      </c>
      <c r="AE75" s="346">
        <f t="shared" si="11"/>
        <v>0</v>
      </c>
      <c r="AF75" s="346">
        <f t="shared" si="12"/>
        <v>0</v>
      </c>
      <c r="AG75" s="346">
        <f t="shared" si="13"/>
        <v>0</v>
      </c>
      <c r="AH75" s="346">
        <f t="shared" si="14"/>
        <v>1759.08</v>
      </c>
      <c r="AI75" s="445">
        <f t="shared" si="15"/>
        <v>1759.08</v>
      </c>
      <c r="AJ75" s="446">
        <f t="shared" si="16"/>
        <v>2808.4726000000001</v>
      </c>
    </row>
    <row r="76" spans="2:36" s="167" customFormat="1" ht="22.5" x14ac:dyDescent="0.25">
      <c r="B76" s="384" t="s">
        <v>193</v>
      </c>
      <c r="C76" s="385">
        <v>88495</v>
      </c>
      <c r="D76" s="386" t="s">
        <v>195</v>
      </c>
      <c r="E76" s="277" t="s">
        <v>17</v>
      </c>
      <c r="F76" s="387">
        <v>9.86</v>
      </c>
      <c r="G76" s="387">
        <v>1666.99</v>
      </c>
      <c r="H76" s="444"/>
      <c r="I76" s="443"/>
      <c r="J76" s="443"/>
      <c r="K76" s="444"/>
      <c r="L76" s="444"/>
      <c r="M76" s="444"/>
      <c r="N76" s="387"/>
      <c r="O76" s="387"/>
      <c r="P76" s="444"/>
      <c r="Q76" s="444"/>
      <c r="R76" s="444">
        <v>0</v>
      </c>
      <c r="S76" s="444">
        <f>VLOOKUP(B76,'MEMÓRIA MEDIÇÃO 12'!$A$7:$F$202,6,FALSE)</f>
        <v>0</v>
      </c>
      <c r="T76" s="387">
        <f t="shared" si="6"/>
        <v>0</v>
      </c>
      <c r="U76" s="387">
        <f t="shared" si="31"/>
        <v>1666.99</v>
      </c>
      <c r="V76" s="387">
        <f t="shared" si="32"/>
        <v>16436.521399999998</v>
      </c>
      <c r="W76" s="346">
        <f t="shared" si="22"/>
        <v>0</v>
      </c>
      <c r="X76" s="346">
        <f t="shared" si="23"/>
        <v>0</v>
      </c>
      <c r="Y76" s="346">
        <f t="shared" si="27"/>
        <v>0</v>
      </c>
      <c r="Z76" s="346">
        <f t="shared" si="24"/>
        <v>0</v>
      </c>
      <c r="AA76" s="346">
        <f t="shared" si="25"/>
        <v>0</v>
      </c>
      <c r="AB76" s="346">
        <f t="shared" si="30"/>
        <v>0</v>
      </c>
      <c r="AC76" s="346">
        <f t="shared" si="26"/>
        <v>0</v>
      </c>
      <c r="AD76" s="346">
        <f t="shared" si="10"/>
        <v>0</v>
      </c>
      <c r="AE76" s="346">
        <f t="shared" si="11"/>
        <v>0</v>
      </c>
      <c r="AF76" s="346">
        <f t="shared" si="12"/>
        <v>0</v>
      </c>
      <c r="AG76" s="346">
        <f t="shared" si="13"/>
        <v>0</v>
      </c>
      <c r="AH76" s="346">
        <f t="shared" si="14"/>
        <v>0</v>
      </c>
      <c r="AI76" s="445">
        <f t="shared" si="15"/>
        <v>0</v>
      </c>
      <c r="AJ76" s="446">
        <f t="shared" si="16"/>
        <v>16436.521399999998</v>
      </c>
    </row>
    <row r="77" spans="2:36" s="167" customFormat="1" ht="22.5" x14ac:dyDescent="0.25">
      <c r="B77" s="384" t="s">
        <v>196</v>
      </c>
      <c r="C77" s="385">
        <v>88489</v>
      </c>
      <c r="D77" s="386" t="s">
        <v>198</v>
      </c>
      <c r="E77" s="277" t="s">
        <v>17</v>
      </c>
      <c r="F77" s="387">
        <v>12.16</v>
      </c>
      <c r="G77" s="387">
        <v>1666.99</v>
      </c>
      <c r="H77" s="444"/>
      <c r="I77" s="443"/>
      <c r="J77" s="443"/>
      <c r="K77" s="444"/>
      <c r="L77" s="444"/>
      <c r="M77" s="444"/>
      <c r="N77" s="387"/>
      <c r="O77" s="387"/>
      <c r="P77" s="444"/>
      <c r="Q77" s="444"/>
      <c r="R77" s="444">
        <v>0</v>
      </c>
      <c r="S77" s="444">
        <f>VLOOKUP(B77,'MEMÓRIA MEDIÇÃO 12'!$A$7:$F$202,6,FALSE)</f>
        <v>0</v>
      </c>
      <c r="T77" s="387">
        <f t="shared" si="6"/>
        <v>0</v>
      </c>
      <c r="U77" s="387">
        <f t="shared" si="31"/>
        <v>1666.99</v>
      </c>
      <c r="V77" s="387">
        <f t="shared" si="32"/>
        <v>20270.598399999999</v>
      </c>
      <c r="W77" s="346">
        <f t="shared" si="22"/>
        <v>0</v>
      </c>
      <c r="X77" s="346">
        <f t="shared" si="23"/>
        <v>0</v>
      </c>
      <c r="Y77" s="346">
        <f t="shared" si="27"/>
        <v>0</v>
      </c>
      <c r="Z77" s="346">
        <f t="shared" si="24"/>
        <v>0</v>
      </c>
      <c r="AA77" s="346">
        <f t="shared" si="25"/>
        <v>0</v>
      </c>
      <c r="AB77" s="346">
        <f t="shared" si="30"/>
        <v>0</v>
      </c>
      <c r="AC77" s="346">
        <f t="shared" si="26"/>
        <v>0</v>
      </c>
      <c r="AD77" s="346">
        <f t="shared" si="10"/>
        <v>0</v>
      </c>
      <c r="AE77" s="346">
        <f t="shared" si="11"/>
        <v>0</v>
      </c>
      <c r="AF77" s="346">
        <f t="shared" si="12"/>
        <v>0</v>
      </c>
      <c r="AG77" s="346">
        <f t="shared" si="13"/>
        <v>0</v>
      </c>
      <c r="AH77" s="346">
        <f t="shared" si="14"/>
        <v>0</v>
      </c>
      <c r="AI77" s="445">
        <f t="shared" si="15"/>
        <v>0</v>
      </c>
      <c r="AJ77" s="446">
        <f t="shared" si="16"/>
        <v>20270.598399999999</v>
      </c>
    </row>
    <row r="78" spans="2:36" s="167" customFormat="1" ht="22.5" x14ac:dyDescent="0.25">
      <c r="B78" s="384" t="s">
        <v>199</v>
      </c>
      <c r="C78" s="385">
        <v>88484</v>
      </c>
      <c r="D78" s="386" t="s">
        <v>201</v>
      </c>
      <c r="E78" s="277" t="s">
        <v>17</v>
      </c>
      <c r="F78" s="387">
        <v>3.1</v>
      </c>
      <c r="G78" s="387">
        <v>634.5</v>
      </c>
      <c r="H78" s="444"/>
      <c r="I78" s="443"/>
      <c r="J78" s="443"/>
      <c r="K78" s="444"/>
      <c r="L78" s="444"/>
      <c r="M78" s="444"/>
      <c r="N78" s="387"/>
      <c r="O78" s="387"/>
      <c r="P78" s="444"/>
      <c r="Q78" s="444"/>
      <c r="R78" s="444">
        <v>0</v>
      </c>
      <c r="S78" s="444">
        <f>VLOOKUP(B78,'MEMÓRIA MEDIÇÃO 12'!$A$7:$F$202,6,FALSE)</f>
        <v>0</v>
      </c>
      <c r="T78" s="387">
        <f t="shared" si="6"/>
        <v>0</v>
      </c>
      <c r="U78" s="387">
        <f t="shared" si="31"/>
        <v>634.5</v>
      </c>
      <c r="V78" s="387">
        <f t="shared" si="32"/>
        <v>1966.95</v>
      </c>
      <c r="W78" s="346">
        <f t="shared" ref="W78:W109" si="33">F78*H78</f>
        <v>0</v>
      </c>
      <c r="X78" s="346">
        <f t="shared" ref="X78:X109" si="34">F78*I78</f>
        <v>0</v>
      </c>
      <c r="Y78" s="346">
        <f t="shared" si="27"/>
        <v>0</v>
      </c>
      <c r="Z78" s="346">
        <f t="shared" ref="Z78:Z109" si="35">TRUNC(F78*K78,2)</f>
        <v>0</v>
      </c>
      <c r="AA78" s="346">
        <f t="shared" ref="AA78:AA109" si="36">TRUNC(F78*L78,2)</f>
        <v>0</v>
      </c>
      <c r="AB78" s="346">
        <f t="shared" si="30"/>
        <v>0</v>
      </c>
      <c r="AC78" s="346">
        <f t="shared" si="26"/>
        <v>0</v>
      </c>
      <c r="AD78" s="346">
        <f t="shared" si="10"/>
        <v>0</v>
      </c>
      <c r="AE78" s="346">
        <f t="shared" si="11"/>
        <v>0</v>
      </c>
      <c r="AF78" s="346">
        <f t="shared" si="12"/>
        <v>0</v>
      </c>
      <c r="AG78" s="346">
        <f t="shared" si="13"/>
        <v>0</v>
      </c>
      <c r="AH78" s="346">
        <f t="shared" si="14"/>
        <v>0</v>
      </c>
      <c r="AI78" s="445">
        <f t="shared" si="15"/>
        <v>0</v>
      </c>
      <c r="AJ78" s="446">
        <f t="shared" si="16"/>
        <v>1966.95</v>
      </c>
    </row>
    <row r="79" spans="2:36" s="167" customFormat="1" ht="22.5" x14ac:dyDescent="0.25">
      <c r="B79" s="384" t="s">
        <v>202</v>
      </c>
      <c r="C79" s="385">
        <v>88494</v>
      </c>
      <c r="D79" s="386" t="s">
        <v>204</v>
      </c>
      <c r="E79" s="277" t="s">
        <v>17</v>
      </c>
      <c r="F79" s="387">
        <v>17.43</v>
      </c>
      <c r="G79" s="387">
        <v>634.5</v>
      </c>
      <c r="H79" s="444"/>
      <c r="I79" s="443"/>
      <c r="J79" s="443"/>
      <c r="K79" s="444"/>
      <c r="L79" s="444"/>
      <c r="M79" s="444"/>
      <c r="N79" s="387"/>
      <c r="O79" s="387"/>
      <c r="P79" s="444"/>
      <c r="Q79" s="444"/>
      <c r="R79" s="444">
        <v>0</v>
      </c>
      <c r="S79" s="444">
        <f>VLOOKUP(B79,'MEMÓRIA MEDIÇÃO 12'!$A$7:$F$202,6,FALSE)</f>
        <v>0</v>
      </c>
      <c r="T79" s="387">
        <f t="shared" ref="T79:T142" si="37">H79+I79+J79+K79+L79+M79+N79+O79+P79+Q79+R79+S79</f>
        <v>0</v>
      </c>
      <c r="U79" s="387">
        <f t="shared" si="31"/>
        <v>634.5</v>
      </c>
      <c r="V79" s="387">
        <f t="shared" si="32"/>
        <v>11059.334999999999</v>
      </c>
      <c r="W79" s="346">
        <f t="shared" si="33"/>
        <v>0</v>
      </c>
      <c r="X79" s="346">
        <f t="shared" si="34"/>
        <v>0</v>
      </c>
      <c r="Y79" s="346">
        <f t="shared" si="27"/>
        <v>0</v>
      </c>
      <c r="Z79" s="346">
        <f t="shared" si="35"/>
        <v>0</v>
      </c>
      <c r="AA79" s="346">
        <f t="shared" si="36"/>
        <v>0</v>
      </c>
      <c r="AB79" s="346">
        <f t="shared" si="30"/>
        <v>0</v>
      </c>
      <c r="AC79" s="346">
        <f t="shared" ref="AC79:AC110" si="38">F79*N79</f>
        <v>0</v>
      </c>
      <c r="AD79" s="346">
        <f t="shared" ref="AD79:AD142" si="39">TRUNC(F79*O79,2)</f>
        <v>0</v>
      </c>
      <c r="AE79" s="346">
        <f t="shared" ref="AE79:AE142" si="40">TRUNC(F79*P79,2)</f>
        <v>0</v>
      </c>
      <c r="AF79" s="346">
        <f t="shared" ref="AF79:AF142" si="41">TRUNC(F79*Q79,2)</f>
        <v>0</v>
      </c>
      <c r="AG79" s="346">
        <f t="shared" ref="AG79:AG142" si="42">ROUND(R79*F79,2)</f>
        <v>0</v>
      </c>
      <c r="AH79" s="346">
        <f t="shared" ref="AH79:AH142" si="43">ROUND(S79*F79,2)</f>
        <v>0</v>
      </c>
      <c r="AI79" s="445">
        <f t="shared" ref="AI79:AI142" si="44">W79+X79+Y79+Z79+AA79+AB79+AC79+AD79+AE79+AF79+AG79+AH79</f>
        <v>0</v>
      </c>
      <c r="AJ79" s="446">
        <f t="shared" ref="AJ79:AJ142" si="45">V79-AI79</f>
        <v>11059.334999999999</v>
      </c>
    </row>
    <row r="80" spans="2:36" s="167" customFormat="1" ht="22.5" x14ac:dyDescent="0.25">
      <c r="B80" s="384" t="s">
        <v>205</v>
      </c>
      <c r="C80" s="385">
        <v>88488</v>
      </c>
      <c r="D80" s="386" t="s">
        <v>207</v>
      </c>
      <c r="E80" s="277" t="s">
        <v>17</v>
      </c>
      <c r="F80" s="387">
        <v>13.74</v>
      </c>
      <c r="G80" s="387">
        <v>634.5</v>
      </c>
      <c r="H80" s="444"/>
      <c r="I80" s="443"/>
      <c r="J80" s="443"/>
      <c r="K80" s="444"/>
      <c r="L80" s="444"/>
      <c r="M80" s="444"/>
      <c r="N80" s="387"/>
      <c r="O80" s="387"/>
      <c r="P80" s="444"/>
      <c r="Q80" s="444"/>
      <c r="R80" s="444">
        <v>0</v>
      </c>
      <c r="S80" s="444">
        <f>VLOOKUP(B80,'MEMÓRIA MEDIÇÃO 12'!$A$7:$F$202,6,FALSE)</f>
        <v>0</v>
      </c>
      <c r="T80" s="387">
        <f t="shared" si="37"/>
        <v>0</v>
      </c>
      <c r="U80" s="387">
        <f t="shared" si="31"/>
        <v>634.5</v>
      </c>
      <c r="V80" s="387">
        <f t="shared" si="32"/>
        <v>8718.0300000000007</v>
      </c>
      <c r="W80" s="346">
        <f t="shared" si="33"/>
        <v>0</v>
      </c>
      <c r="X80" s="346">
        <f t="shared" si="34"/>
        <v>0</v>
      </c>
      <c r="Y80" s="346">
        <f t="shared" si="27"/>
        <v>0</v>
      </c>
      <c r="Z80" s="346">
        <f t="shared" si="35"/>
        <v>0</v>
      </c>
      <c r="AA80" s="346">
        <f t="shared" si="36"/>
        <v>0</v>
      </c>
      <c r="AB80" s="346">
        <f t="shared" si="30"/>
        <v>0</v>
      </c>
      <c r="AC80" s="346">
        <f t="shared" si="38"/>
        <v>0</v>
      </c>
      <c r="AD80" s="346">
        <f t="shared" si="39"/>
        <v>0</v>
      </c>
      <c r="AE80" s="346">
        <f t="shared" si="40"/>
        <v>0</v>
      </c>
      <c r="AF80" s="346">
        <f t="shared" si="41"/>
        <v>0</v>
      </c>
      <c r="AG80" s="346">
        <f t="shared" si="42"/>
        <v>0</v>
      </c>
      <c r="AH80" s="346">
        <f t="shared" si="43"/>
        <v>0</v>
      </c>
      <c r="AI80" s="445">
        <f t="shared" si="44"/>
        <v>0</v>
      </c>
      <c r="AJ80" s="446">
        <f t="shared" si="45"/>
        <v>8718.0300000000007</v>
      </c>
    </row>
    <row r="81" spans="2:36" s="167" customFormat="1" ht="14.45" customHeight="1" x14ac:dyDescent="0.25">
      <c r="B81" s="347" t="s">
        <v>208</v>
      </c>
      <c r="C81" s="348" t="s">
        <v>209</v>
      </c>
      <c r="D81" s="386"/>
      <c r="E81" s="277"/>
      <c r="F81" s="387"/>
      <c r="G81" s="387"/>
      <c r="H81" s="444"/>
      <c r="I81" s="443"/>
      <c r="J81" s="443"/>
      <c r="K81" s="444"/>
      <c r="L81" s="444"/>
      <c r="M81" s="444"/>
      <c r="N81" s="387"/>
      <c r="O81" s="387"/>
      <c r="P81" s="444"/>
      <c r="Q81" s="444"/>
      <c r="R81" s="444">
        <v>0</v>
      </c>
      <c r="S81" s="444">
        <f>VLOOKUP(B81,'MEMÓRIA MEDIÇÃO 12'!$A$7:$F$202,6,FALSE)</f>
        <v>0</v>
      </c>
      <c r="T81" s="387">
        <f t="shared" si="37"/>
        <v>0</v>
      </c>
      <c r="U81" s="387"/>
      <c r="V81" s="387"/>
      <c r="W81" s="346">
        <f t="shared" si="33"/>
        <v>0</v>
      </c>
      <c r="X81" s="346">
        <f t="shared" si="34"/>
        <v>0</v>
      </c>
      <c r="Y81" s="346">
        <f t="shared" si="27"/>
        <v>0</v>
      </c>
      <c r="Z81" s="346">
        <f t="shared" si="35"/>
        <v>0</v>
      </c>
      <c r="AA81" s="346">
        <f t="shared" si="36"/>
        <v>0</v>
      </c>
      <c r="AB81" s="346">
        <f t="shared" si="30"/>
        <v>0</v>
      </c>
      <c r="AC81" s="346">
        <f t="shared" si="38"/>
        <v>0</v>
      </c>
      <c r="AD81" s="346">
        <f t="shared" si="39"/>
        <v>0</v>
      </c>
      <c r="AE81" s="346">
        <f t="shared" si="40"/>
        <v>0</v>
      </c>
      <c r="AF81" s="346">
        <f t="shared" si="41"/>
        <v>0</v>
      </c>
      <c r="AG81" s="346">
        <f t="shared" si="42"/>
        <v>0</v>
      </c>
      <c r="AH81" s="346">
        <f t="shared" si="43"/>
        <v>0</v>
      </c>
      <c r="AI81" s="445">
        <f t="shared" si="44"/>
        <v>0</v>
      </c>
      <c r="AJ81" s="446">
        <f t="shared" si="45"/>
        <v>0</v>
      </c>
    </row>
    <row r="82" spans="2:36" s="167" customFormat="1" ht="45" x14ac:dyDescent="0.25">
      <c r="B82" s="384" t="s">
        <v>210</v>
      </c>
      <c r="C82" s="385">
        <v>87894</v>
      </c>
      <c r="D82" s="386" t="s">
        <v>212</v>
      </c>
      <c r="E82" s="277" t="s">
        <v>17</v>
      </c>
      <c r="F82" s="387">
        <v>5.72</v>
      </c>
      <c r="G82" s="387">
        <v>495.11</v>
      </c>
      <c r="H82" s="444"/>
      <c r="I82" s="443"/>
      <c r="J82" s="443"/>
      <c r="K82" s="444"/>
      <c r="L82" s="444"/>
      <c r="M82" s="444"/>
      <c r="N82" s="444">
        <f>'MEMORIAL DE CALCULO 07'!K421</f>
        <v>320.44</v>
      </c>
      <c r="O82" s="444">
        <f>'MEMORIAL DE CALCULO 08'!K424</f>
        <v>100</v>
      </c>
      <c r="P82" s="444">
        <f>'MEMORIAL DE CALCULO 09)'!K428</f>
        <v>45.930999999999997</v>
      </c>
      <c r="Q82" s="444"/>
      <c r="R82" s="444">
        <v>0</v>
      </c>
      <c r="S82" s="444">
        <f>VLOOKUP(B82,'MEMÓRIA MEDIÇÃO 12'!$A$7:$F$202,6,FALSE)</f>
        <v>0</v>
      </c>
      <c r="T82" s="387">
        <f t="shared" si="37"/>
        <v>466.37099999999998</v>
      </c>
      <c r="U82" s="387">
        <f t="shared" ref="U82:U88" si="46">G82-T82</f>
        <v>28.739000000000033</v>
      </c>
      <c r="V82" s="387">
        <f t="shared" ref="V82:V88" si="47">F82*G82</f>
        <v>2832.0291999999999</v>
      </c>
      <c r="W82" s="346">
        <f t="shared" si="33"/>
        <v>0</v>
      </c>
      <c r="X82" s="346">
        <f t="shared" si="34"/>
        <v>0</v>
      </c>
      <c r="Y82" s="346">
        <f t="shared" si="27"/>
        <v>0</v>
      </c>
      <c r="Z82" s="346">
        <f t="shared" si="35"/>
        <v>0</v>
      </c>
      <c r="AA82" s="346">
        <f t="shared" si="36"/>
        <v>0</v>
      </c>
      <c r="AB82" s="346">
        <f t="shared" si="30"/>
        <v>0</v>
      </c>
      <c r="AC82" s="346">
        <f t="shared" si="38"/>
        <v>1832.9168</v>
      </c>
      <c r="AD82" s="346">
        <f t="shared" si="39"/>
        <v>572</v>
      </c>
      <c r="AE82" s="346">
        <f t="shared" si="40"/>
        <v>262.72000000000003</v>
      </c>
      <c r="AF82" s="346">
        <f t="shared" si="41"/>
        <v>0</v>
      </c>
      <c r="AG82" s="346">
        <f t="shared" si="42"/>
        <v>0</v>
      </c>
      <c r="AH82" s="346">
        <f t="shared" si="43"/>
        <v>0</v>
      </c>
      <c r="AI82" s="445">
        <f t="shared" si="44"/>
        <v>2667.6368000000002</v>
      </c>
      <c r="AJ82" s="446">
        <f t="shared" si="45"/>
        <v>164.39239999999972</v>
      </c>
    </row>
    <row r="83" spans="2:36" s="167" customFormat="1" ht="56.25" x14ac:dyDescent="0.25">
      <c r="B83" s="384" t="s">
        <v>213</v>
      </c>
      <c r="C83" s="385">
        <v>104233</v>
      </c>
      <c r="D83" s="386" t="s">
        <v>215</v>
      </c>
      <c r="E83" s="277" t="s">
        <v>17</v>
      </c>
      <c r="F83" s="387">
        <v>31.53</v>
      </c>
      <c r="G83" s="387">
        <v>466.37</v>
      </c>
      <c r="H83" s="444"/>
      <c r="I83" s="443"/>
      <c r="J83" s="443"/>
      <c r="K83" s="444"/>
      <c r="L83" s="444"/>
      <c r="M83" s="444"/>
      <c r="N83" s="444"/>
      <c r="O83" s="444">
        <f>'MEMORIAL DE CALCULO 08'!K427</f>
        <v>278.39999999999998</v>
      </c>
      <c r="P83" s="444">
        <f>'MEMORIAL DE CALCULO 09)'!K430</f>
        <v>187.97049999999999</v>
      </c>
      <c r="Q83" s="444"/>
      <c r="R83" s="444">
        <v>0</v>
      </c>
      <c r="S83" s="444">
        <f>VLOOKUP(B83,'MEMÓRIA MEDIÇÃO 12'!$A$7:$F$202,6,FALSE)</f>
        <v>0</v>
      </c>
      <c r="T83" s="387">
        <f t="shared" si="37"/>
        <v>466.37049999999999</v>
      </c>
      <c r="U83" s="387">
        <f t="shared" si="46"/>
        <v>-4.9999999998817657E-4</v>
      </c>
      <c r="V83" s="387">
        <f t="shared" si="47"/>
        <v>14704.6461</v>
      </c>
      <c r="W83" s="346">
        <f t="shared" si="33"/>
        <v>0</v>
      </c>
      <c r="X83" s="346">
        <f t="shared" si="34"/>
        <v>0</v>
      </c>
      <c r="Y83" s="346">
        <f t="shared" si="27"/>
        <v>0</v>
      </c>
      <c r="Z83" s="346">
        <f t="shared" si="35"/>
        <v>0</v>
      </c>
      <c r="AA83" s="346">
        <f t="shared" si="36"/>
        <v>0</v>
      </c>
      <c r="AB83" s="346">
        <f t="shared" si="30"/>
        <v>0</v>
      </c>
      <c r="AC83" s="346">
        <f t="shared" si="38"/>
        <v>0</v>
      </c>
      <c r="AD83" s="346">
        <f t="shared" si="39"/>
        <v>8777.9500000000007</v>
      </c>
      <c r="AE83" s="346">
        <f t="shared" si="40"/>
        <v>5926.7</v>
      </c>
      <c r="AF83" s="346">
        <f t="shared" si="41"/>
        <v>0</v>
      </c>
      <c r="AG83" s="346">
        <f t="shared" si="42"/>
        <v>0</v>
      </c>
      <c r="AH83" s="346">
        <f t="shared" si="43"/>
        <v>0</v>
      </c>
      <c r="AI83" s="445">
        <f t="shared" si="44"/>
        <v>14704.650000000001</v>
      </c>
      <c r="AJ83" s="446">
        <f t="shared" si="45"/>
        <v>-3.9000000015221303E-3</v>
      </c>
    </row>
    <row r="84" spans="2:36" s="167" customFormat="1" ht="33.75" x14ac:dyDescent="0.25">
      <c r="B84" s="384" t="s">
        <v>216</v>
      </c>
      <c r="C84" s="442" t="s">
        <v>217</v>
      </c>
      <c r="D84" s="391" t="s">
        <v>218</v>
      </c>
      <c r="E84" s="277" t="s">
        <v>17</v>
      </c>
      <c r="F84" s="277">
        <v>154.75</v>
      </c>
      <c r="G84" s="387">
        <v>32.5</v>
      </c>
      <c r="H84" s="278"/>
      <c r="I84" s="278"/>
      <c r="J84" s="443"/>
      <c r="K84" s="278"/>
      <c r="L84" s="278"/>
      <c r="M84" s="278"/>
      <c r="N84" s="444"/>
      <c r="O84" s="444"/>
      <c r="P84" s="444"/>
      <c r="Q84" s="444"/>
      <c r="R84" s="444">
        <v>0</v>
      </c>
      <c r="S84" s="444">
        <f>VLOOKUP(B84,'MEMÓRIA MEDIÇÃO 12'!$A$7:$F$202,6,FALSE)</f>
        <v>0</v>
      </c>
      <c r="T84" s="387">
        <f t="shared" si="37"/>
        <v>0</v>
      </c>
      <c r="U84" s="387">
        <f t="shared" si="46"/>
        <v>32.5</v>
      </c>
      <c r="V84" s="387">
        <f t="shared" si="47"/>
        <v>5029.375</v>
      </c>
      <c r="W84" s="346">
        <f t="shared" si="33"/>
        <v>0</v>
      </c>
      <c r="X84" s="346">
        <f t="shared" si="34"/>
        <v>0</v>
      </c>
      <c r="Y84" s="346">
        <f t="shared" si="27"/>
        <v>0</v>
      </c>
      <c r="Z84" s="346">
        <f t="shared" si="35"/>
        <v>0</v>
      </c>
      <c r="AA84" s="346">
        <f t="shared" si="36"/>
        <v>0</v>
      </c>
      <c r="AB84" s="346">
        <f t="shared" si="30"/>
        <v>0</v>
      </c>
      <c r="AC84" s="346">
        <f t="shared" si="38"/>
        <v>0</v>
      </c>
      <c r="AD84" s="346">
        <f t="shared" si="39"/>
        <v>0</v>
      </c>
      <c r="AE84" s="346">
        <f t="shared" si="40"/>
        <v>0</v>
      </c>
      <c r="AF84" s="346">
        <f t="shared" si="41"/>
        <v>0</v>
      </c>
      <c r="AG84" s="346">
        <f t="shared" si="42"/>
        <v>0</v>
      </c>
      <c r="AH84" s="346">
        <f t="shared" si="43"/>
        <v>0</v>
      </c>
      <c r="AI84" s="445">
        <f t="shared" si="44"/>
        <v>0</v>
      </c>
      <c r="AJ84" s="446">
        <f t="shared" si="45"/>
        <v>5029.375</v>
      </c>
    </row>
    <row r="85" spans="2:36" s="167" customFormat="1" ht="33.75" x14ac:dyDescent="0.25">
      <c r="B85" s="384" t="s">
        <v>219</v>
      </c>
      <c r="C85" s="442" t="s">
        <v>220</v>
      </c>
      <c r="D85" s="386" t="s">
        <v>221</v>
      </c>
      <c r="E85" s="277" t="s">
        <v>222</v>
      </c>
      <c r="F85" s="387">
        <v>228.6</v>
      </c>
      <c r="G85" s="387">
        <v>29.5</v>
      </c>
      <c r="H85" s="444"/>
      <c r="I85" s="444"/>
      <c r="J85" s="443"/>
      <c r="K85" s="444"/>
      <c r="L85" s="444"/>
      <c r="M85" s="444"/>
      <c r="N85" s="387"/>
      <c r="O85" s="387"/>
      <c r="P85" s="444"/>
      <c r="Q85" s="444"/>
      <c r="R85" s="444">
        <v>0</v>
      </c>
      <c r="S85" s="444">
        <f>VLOOKUP(B85,'MEMÓRIA MEDIÇÃO 12'!$A$7:$F$202,6,FALSE)</f>
        <v>0</v>
      </c>
      <c r="T85" s="387">
        <f t="shared" si="37"/>
        <v>0</v>
      </c>
      <c r="U85" s="387">
        <f t="shared" si="46"/>
        <v>29.5</v>
      </c>
      <c r="V85" s="387">
        <f t="shared" si="47"/>
        <v>6743.7</v>
      </c>
      <c r="W85" s="346">
        <f t="shared" si="33"/>
        <v>0</v>
      </c>
      <c r="X85" s="346">
        <f t="shared" si="34"/>
        <v>0</v>
      </c>
      <c r="Y85" s="346">
        <f t="shared" si="27"/>
        <v>0</v>
      </c>
      <c r="Z85" s="346">
        <f t="shared" si="35"/>
        <v>0</v>
      </c>
      <c r="AA85" s="346">
        <f t="shared" si="36"/>
        <v>0</v>
      </c>
      <c r="AB85" s="346">
        <f t="shared" si="30"/>
        <v>0</v>
      </c>
      <c r="AC85" s="346">
        <f t="shared" si="38"/>
        <v>0</v>
      </c>
      <c r="AD85" s="346">
        <f t="shared" si="39"/>
        <v>0</v>
      </c>
      <c r="AE85" s="346">
        <f t="shared" si="40"/>
        <v>0</v>
      </c>
      <c r="AF85" s="346">
        <f t="shared" si="41"/>
        <v>0</v>
      </c>
      <c r="AG85" s="346">
        <f t="shared" si="42"/>
        <v>0</v>
      </c>
      <c r="AH85" s="346">
        <f t="shared" si="43"/>
        <v>0</v>
      </c>
      <c r="AI85" s="445">
        <f t="shared" si="44"/>
        <v>0</v>
      </c>
      <c r="AJ85" s="446">
        <f t="shared" si="45"/>
        <v>6743.7</v>
      </c>
    </row>
    <row r="86" spans="2:36" s="167" customFormat="1" ht="22.5" x14ac:dyDescent="0.25">
      <c r="B86" s="384" t="s">
        <v>223</v>
      </c>
      <c r="C86" s="385">
        <v>88485</v>
      </c>
      <c r="D86" s="386" t="s">
        <v>192</v>
      </c>
      <c r="E86" s="277" t="s">
        <v>17</v>
      </c>
      <c r="F86" s="387">
        <v>2.74</v>
      </c>
      <c r="G86" s="387">
        <v>404.37</v>
      </c>
      <c r="H86" s="444"/>
      <c r="I86" s="444"/>
      <c r="J86" s="443"/>
      <c r="K86" s="444"/>
      <c r="L86" s="444"/>
      <c r="M86" s="444"/>
      <c r="N86" s="387"/>
      <c r="O86" s="387"/>
      <c r="P86" s="444"/>
      <c r="Q86" s="444"/>
      <c r="R86" s="444">
        <v>0</v>
      </c>
      <c r="S86" s="444">
        <f>VLOOKUP(B86,'MEMÓRIA MEDIÇÃO 12'!$A$7:$F$202,6,FALSE)</f>
        <v>0</v>
      </c>
      <c r="T86" s="387">
        <f t="shared" si="37"/>
        <v>0</v>
      </c>
      <c r="U86" s="387">
        <f t="shared" si="46"/>
        <v>404.37</v>
      </c>
      <c r="V86" s="387">
        <f t="shared" si="47"/>
        <v>1107.9738000000002</v>
      </c>
      <c r="W86" s="346">
        <f t="shared" si="33"/>
        <v>0</v>
      </c>
      <c r="X86" s="346">
        <f t="shared" si="34"/>
        <v>0</v>
      </c>
      <c r="Y86" s="346">
        <f t="shared" si="27"/>
        <v>0</v>
      </c>
      <c r="Z86" s="346">
        <f t="shared" si="35"/>
        <v>0</v>
      </c>
      <c r="AA86" s="346">
        <f t="shared" si="36"/>
        <v>0</v>
      </c>
      <c r="AB86" s="346">
        <f t="shared" si="30"/>
        <v>0</v>
      </c>
      <c r="AC86" s="346">
        <f t="shared" si="38"/>
        <v>0</v>
      </c>
      <c r="AD86" s="346">
        <f t="shared" si="39"/>
        <v>0</v>
      </c>
      <c r="AE86" s="346">
        <f t="shared" si="40"/>
        <v>0</v>
      </c>
      <c r="AF86" s="346">
        <f t="shared" si="41"/>
        <v>0</v>
      </c>
      <c r="AG86" s="346">
        <f t="shared" si="42"/>
        <v>0</v>
      </c>
      <c r="AH86" s="346">
        <f t="shared" si="43"/>
        <v>0</v>
      </c>
      <c r="AI86" s="445">
        <f t="shared" si="44"/>
        <v>0</v>
      </c>
      <c r="AJ86" s="446">
        <f t="shared" si="45"/>
        <v>1107.9738000000002</v>
      </c>
    </row>
    <row r="87" spans="2:36" s="167" customFormat="1" ht="22.5" x14ac:dyDescent="0.25">
      <c r="B87" s="384" t="s">
        <v>224</v>
      </c>
      <c r="C87" s="385">
        <v>96130</v>
      </c>
      <c r="D87" s="386" t="s">
        <v>226</v>
      </c>
      <c r="E87" s="277" t="s">
        <v>17</v>
      </c>
      <c r="F87" s="387">
        <v>17.11</v>
      </c>
      <c r="G87" s="387">
        <v>404.37</v>
      </c>
      <c r="H87" s="444"/>
      <c r="I87" s="444"/>
      <c r="J87" s="443"/>
      <c r="K87" s="444"/>
      <c r="L87" s="444"/>
      <c r="M87" s="444"/>
      <c r="N87" s="387"/>
      <c r="O87" s="387"/>
      <c r="P87" s="444"/>
      <c r="Q87" s="444"/>
      <c r="R87" s="444">
        <v>0</v>
      </c>
      <c r="S87" s="444">
        <f>VLOOKUP(B87,'MEMÓRIA MEDIÇÃO 12'!$A$7:$F$202,6,FALSE)</f>
        <v>0</v>
      </c>
      <c r="T87" s="387">
        <f t="shared" si="37"/>
        <v>0</v>
      </c>
      <c r="U87" s="387">
        <f t="shared" si="46"/>
        <v>404.37</v>
      </c>
      <c r="V87" s="387">
        <f t="shared" si="47"/>
        <v>6918.7707</v>
      </c>
      <c r="W87" s="346">
        <f t="shared" si="33"/>
        <v>0</v>
      </c>
      <c r="X87" s="346">
        <f t="shared" si="34"/>
        <v>0</v>
      </c>
      <c r="Y87" s="346">
        <f t="shared" si="27"/>
        <v>0</v>
      </c>
      <c r="Z87" s="346">
        <f t="shared" si="35"/>
        <v>0</v>
      </c>
      <c r="AA87" s="346">
        <f t="shared" si="36"/>
        <v>0</v>
      </c>
      <c r="AB87" s="346">
        <f t="shared" si="30"/>
        <v>0</v>
      </c>
      <c r="AC87" s="346">
        <f t="shared" si="38"/>
        <v>0</v>
      </c>
      <c r="AD87" s="346">
        <f t="shared" si="39"/>
        <v>0</v>
      </c>
      <c r="AE87" s="346">
        <f t="shared" si="40"/>
        <v>0</v>
      </c>
      <c r="AF87" s="346">
        <f t="shared" si="41"/>
        <v>0</v>
      </c>
      <c r="AG87" s="346">
        <f t="shared" si="42"/>
        <v>0</v>
      </c>
      <c r="AH87" s="346">
        <f t="shared" si="43"/>
        <v>0</v>
      </c>
      <c r="AI87" s="445">
        <f t="shared" si="44"/>
        <v>0</v>
      </c>
      <c r="AJ87" s="446">
        <f t="shared" si="45"/>
        <v>6918.7707</v>
      </c>
    </row>
    <row r="88" spans="2:36" s="167" customFormat="1" ht="22.5" x14ac:dyDescent="0.25">
      <c r="B88" s="384" t="s">
        <v>227</v>
      </c>
      <c r="C88" s="385">
        <v>88489</v>
      </c>
      <c r="D88" s="386" t="s">
        <v>198</v>
      </c>
      <c r="E88" s="277" t="s">
        <v>17</v>
      </c>
      <c r="F88" s="387">
        <v>12.16</v>
      </c>
      <c r="G88" s="387">
        <v>404.37</v>
      </c>
      <c r="H88" s="444"/>
      <c r="I88" s="444"/>
      <c r="J88" s="443"/>
      <c r="K88" s="444"/>
      <c r="L88" s="444"/>
      <c r="M88" s="444"/>
      <c r="N88" s="387"/>
      <c r="O88" s="387"/>
      <c r="P88" s="444"/>
      <c r="Q88" s="444"/>
      <c r="R88" s="444">
        <v>0</v>
      </c>
      <c r="S88" s="444">
        <f>VLOOKUP(B88,'MEMÓRIA MEDIÇÃO 12'!$A$7:$F$202,6,FALSE)</f>
        <v>0</v>
      </c>
      <c r="T88" s="387">
        <f t="shared" si="37"/>
        <v>0</v>
      </c>
      <c r="U88" s="387">
        <f t="shared" si="46"/>
        <v>404.37</v>
      </c>
      <c r="V88" s="387">
        <f t="shared" si="47"/>
        <v>4917.1392000000005</v>
      </c>
      <c r="W88" s="346">
        <f t="shared" si="33"/>
        <v>0</v>
      </c>
      <c r="X88" s="346">
        <f t="shared" si="34"/>
        <v>0</v>
      </c>
      <c r="Y88" s="346">
        <f t="shared" si="27"/>
        <v>0</v>
      </c>
      <c r="Z88" s="346">
        <f t="shared" si="35"/>
        <v>0</v>
      </c>
      <c r="AA88" s="346">
        <f t="shared" si="36"/>
        <v>0</v>
      </c>
      <c r="AB88" s="346">
        <f t="shared" si="30"/>
        <v>0</v>
      </c>
      <c r="AC88" s="346">
        <f t="shared" si="38"/>
        <v>0</v>
      </c>
      <c r="AD88" s="346">
        <f t="shared" si="39"/>
        <v>0</v>
      </c>
      <c r="AE88" s="346">
        <f t="shared" si="40"/>
        <v>0</v>
      </c>
      <c r="AF88" s="346">
        <f t="shared" si="41"/>
        <v>0</v>
      </c>
      <c r="AG88" s="346">
        <f t="shared" si="42"/>
        <v>0</v>
      </c>
      <c r="AH88" s="346">
        <f t="shared" si="43"/>
        <v>0</v>
      </c>
      <c r="AI88" s="445">
        <f t="shared" si="44"/>
        <v>0</v>
      </c>
      <c r="AJ88" s="446">
        <f t="shared" si="45"/>
        <v>4917.1392000000005</v>
      </c>
    </row>
    <row r="89" spans="2:36" s="167" customFormat="1" ht="14.45" customHeight="1" x14ac:dyDescent="0.25">
      <c r="B89" s="348">
        <v>1.1000000000000001</v>
      </c>
      <c r="C89" s="348" t="s">
        <v>229</v>
      </c>
      <c r="D89" s="386"/>
      <c r="E89" s="277"/>
      <c r="F89" s="387"/>
      <c r="G89" s="387"/>
      <c r="H89" s="444"/>
      <c r="I89" s="444"/>
      <c r="J89" s="443"/>
      <c r="K89" s="444"/>
      <c r="L89" s="444"/>
      <c r="M89" s="444"/>
      <c r="N89" s="387"/>
      <c r="O89" s="387"/>
      <c r="P89" s="444"/>
      <c r="Q89" s="444"/>
      <c r="R89" s="444">
        <v>0</v>
      </c>
      <c r="S89" s="444">
        <f>VLOOKUP(B89,'MEMÓRIA MEDIÇÃO 12'!$A$7:$F$202,6,FALSE)</f>
        <v>0</v>
      </c>
      <c r="T89" s="387">
        <f t="shared" si="37"/>
        <v>0</v>
      </c>
      <c r="U89" s="387"/>
      <c r="V89" s="387"/>
      <c r="W89" s="346">
        <f t="shared" si="33"/>
        <v>0</v>
      </c>
      <c r="X89" s="346">
        <f t="shared" si="34"/>
        <v>0</v>
      </c>
      <c r="Y89" s="346">
        <f t="shared" si="27"/>
        <v>0</v>
      </c>
      <c r="Z89" s="346">
        <f t="shared" si="35"/>
        <v>0</v>
      </c>
      <c r="AA89" s="346">
        <f t="shared" si="36"/>
        <v>0</v>
      </c>
      <c r="AB89" s="346">
        <f t="shared" si="30"/>
        <v>0</v>
      </c>
      <c r="AC89" s="346">
        <f t="shared" si="38"/>
        <v>0</v>
      </c>
      <c r="AD89" s="346">
        <f t="shared" si="39"/>
        <v>0</v>
      </c>
      <c r="AE89" s="346">
        <f t="shared" si="40"/>
        <v>0</v>
      </c>
      <c r="AF89" s="346">
        <f t="shared" si="41"/>
        <v>0</v>
      </c>
      <c r="AG89" s="346">
        <f t="shared" si="42"/>
        <v>0</v>
      </c>
      <c r="AH89" s="346">
        <f t="shared" si="43"/>
        <v>0</v>
      </c>
      <c r="AI89" s="445">
        <f t="shared" si="44"/>
        <v>0</v>
      </c>
      <c r="AJ89" s="446">
        <f t="shared" si="45"/>
        <v>0</v>
      </c>
    </row>
    <row r="90" spans="2:36" s="167" customFormat="1" ht="33.75" x14ac:dyDescent="0.25">
      <c r="B90" s="384" t="s">
        <v>230</v>
      </c>
      <c r="C90" s="385">
        <v>92868</v>
      </c>
      <c r="D90" s="386" t="s">
        <v>232</v>
      </c>
      <c r="E90" s="245" t="s">
        <v>166</v>
      </c>
      <c r="F90" s="245">
        <v>13.45</v>
      </c>
      <c r="G90" s="387">
        <v>121</v>
      </c>
      <c r="H90" s="444"/>
      <c r="I90" s="444"/>
      <c r="J90" s="443"/>
      <c r="K90" s="444"/>
      <c r="L90" s="444"/>
      <c r="M90" s="444"/>
      <c r="N90" s="387"/>
      <c r="O90" s="387"/>
      <c r="P90" s="444"/>
      <c r="Q90" s="444">
        <v>121</v>
      </c>
      <c r="R90" s="444">
        <v>0</v>
      </c>
      <c r="S90" s="444">
        <f>VLOOKUP(B90,'MEMÓRIA MEDIÇÃO 12'!$A$7:$F$202,6,FALSE)</f>
        <v>0</v>
      </c>
      <c r="T90" s="387">
        <f t="shared" si="37"/>
        <v>121</v>
      </c>
      <c r="U90" s="387">
        <f t="shared" ref="U90:U117" si="48">G90-T90</f>
        <v>0</v>
      </c>
      <c r="V90" s="387">
        <f t="shared" ref="V90:V117" si="49">F90*G90</f>
        <v>1627.4499999999998</v>
      </c>
      <c r="W90" s="346">
        <f t="shared" si="33"/>
        <v>0</v>
      </c>
      <c r="X90" s="346">
        <f t="shared" si="34"/>
        <v>0</v>
      </c>
      <c r="Y90" s="346">
        <f t="shared" si="27"/>
        <v>0</v>
      </c>
      <c r="Z90" s="346">
        <f t="shared" si="35"/>
        <v>0</v>
      </c>
      <c r="AA90" s="346">
        <f t="shared" si="36"/>
        <v>0</v>
      </c>
      <c r="AB90" s="346">
        <f t="shared" si="30"/>
        <v>0</v>
      </c>
      <c r="AC90" s="346">
        <f t="shared" si="38"/>
        <v>0</v>
      </c>
      <c r="AD90" s="346">
        <f t="shared" si="39"/>
        <v>0</v>
      </c>
      <c r="AE90" s="346">
        <f t="shared" si="40"/>
        <v>0</v>
      </c>
      <c r="AF90" s="346">
        <f t="shared" si="41"/>
        <v>1627.45</v>
      </c>
      <c r="AG90" s="346">
        <f t="shared" si="42"/>
        <v>0</v>
      </c>
      <c r="AH90" s="346">
        <f t="shared" si="43"/>
        <v>0</v>
      </c>
      <c r="AI90" s="445">
        <f t="shared" si="44"/>
        <v>1627.45</v>
      </c>
      <c r="AJ90" s="446">
        <f t="shared" si="45"/>
        <v>0</v>
      </c>
    </row>
    <row r="91" spans="2:36" s="167" customFormat="1" ht="22.5" x14ac:dyDescent="0.25">
      <c r="B91" s="384" t="s">
        <v>233</v>
      </c>
      <c r="C91" s="385">
        <v>91937</v>
      </c>
      <c r="D91" s="386" t="s">
        <v>235</v>
      </c>
      <c r="E91" s="245" t="s">
        <v>166</v>
      </c>
      <c r="F91" s="245">
        <v>11.14</v>
      </c>
      <c r="G91" s="387">
        <v>76</v>
      </c>
      <c r="H91" s="444"/>
      <c r="I91" s="444"/>
      <c r="J91" s="443"/>
      <c r="K91" s="444"/>
      <c r="L91" s="444"/>
      <c r="M91" s="444"/>
      <c r="N91" s="387"/>
      <c r="O91" s="387"/>
      <c r="P91" s="444"/>
      <c r="Q91" s="444"/>
      <c r="R91" s="444">
        <v>0</v>
      </c>
      <c r="S91" s="444">
        <f>VLOOKUP(B91,'MEMÓRIA MEDIÇÃO 12'!$A$7:$F$202,6,FALSE)</f>
        <v>0</v>
      </c>
      <c r="T91" s="387">
        <f t="shared" si="37"/>
        <v>0</v>
      </c>
      <c r="U91" s="387">
        <f t="shared" si="48"/>
        <v>76</v>
      </c>
      <c r="V91" s="387">
        <f t="shared" si="49"/>
        <v>846.6400000000001</v>
      </c>
      <c r="W91" s="346">
        <f t="shared" si="33"/>
        <v>0</v>
      </c>
      <c r="X91" s="346">
        <f t="shared" si="34"/>
        <v>0</v>
      </c>
      <c r="Y91" s="346">
        <f t="shared" ref="Y91:Y122" si="50">F91*J91</f>
        <v>0</v>
      </c>
      <c r="Z91" s="346">
        <f t="shared" si="35"/>
        <v>0</v>
      </c>
      <c r="AA91" s="346">
        <f t="shared" si="36"/>
        <v>0</v>
      </c>
      <c r="AB91" s="346">
        <f t="shared" si="30"/>
        <v>0</v>
      </c>
      <c r="AC91" s="346">
        <f t="shared" si="38"/>
        <v>0</v>
      </c>
      <c r="AD91" s="346">
        <f t="shared" si="39"/>
        <v>0</v>
      </c>
      <c r="AE91" s="346">
        <f t="shared" si="40"/>
        <v>0</v>
      </c>
      <c r="AF91" s="346">
        <f t="shared" si="41"/>
        <v>0</v>
      </c>
      <c r="AG91" s="346">
        <f t="shared" si="42"/>
        <v>0</v>
      </c>
      <c r="AH91" s="346">
        <f t="shared" si="43"/>
        <v>0</v>
      </c>
      <c r="AI91" s="445">
        <f t="shared" si="44"/>
        <v>0</v>
      </c>
      <c r="AJ91" s="446">
        <f t="shared" si="45"/>
        <v>846.6400000000001</v>
      </c>
    </row>
    <row r="92" spans="2:36" s="167" customFormat="1" ht="33.75" x14ac:dyDescent="0.25">
      <c r="B92" s="384" t="s">
        <v>236</v>
      </c>
      <c r="C92" s="385">
        <v>91924</v>
      </c>
      <c r="D92" s="386" t="s">
        <v>238</v>
      </c>
      <c r="E92" s="245" t="s">
        <v>37</v>
      </c>
      <c r="F92" s="245">
        <v>2.7</v>
      </c>
      <c r="G92" s="387">
        <v>1253.8</v>
      </c>
      <c r="H92" s="444"/>
      <c r="I92" s="444"/>
      <c r="J92" s="443"/>
      <c r="K92" s="444"/>
      <c r="L92" s="444"/>
      <c r="M92" s="444"/>
      <c r="N92" s="387"/>
      <c r="O92" s="387"/>
      <c r="P92" s="444"/>
      <c r="Q92" s="444"/>
      <c r="R92" s="444">
        <v>0</v>
      </c>
      <c r="S92" s="444">
        <f>VLOOKUP(B92,'MEMÓRIA MEDIÇÃO 12'!$A$7:$F$202,6,FALSE)</f>
        <v>0</v>
      </c>
      <c r="T92" s="387">
        <f t="shared" si="37"/>
        <v>0</v>
      </c>
      <c r="U92" s="387">
        <f t="shared" si="48"/>
        <v>1253.8</v>
      </c>
      <c r="V92" s="387">
        <f t="shared" si="49"/>
        <v>3385.26</v>
      </c>
      <c r="W92" s="346">
        <f t="shared" si="33"/>
        <v>0</v>
      </c>
      <c r="X92" s="346">
        <f t="shared" si="34"/>
        <v>0</v>
      </c>
      <c r="Y92" s="346">
        <f t="shared" si="50"/>
        <v>0</v>
      </c>
      <c r="Z92" s="346">
        <f t="shared" si="35"/>
        <v>0</v>
      </c>
      <c r="AA92" s="346">
        <f t="shared" si="36"/>
        <v>0</v>
      </c>
      <c r="AB92" s="346">
        <f t="shared" si="30"/>
        <v>0</v>
      </c>
      <c r="AC92" s="346">
        <f t="shared" si="38"/>
        <v>0</v>
      </c>
      <c r="AD92" s="346">
        <f t="shared" si="39"/>
        <v>0</v>
      </c>
      <c r="AE92" s="346">
        <f t="shared" si="40"/>
        <v>0</v>
      </c>
      <c r="AF92" s="346">
        <f t="shared" si="41"/>
        <v>0</v>
      </c>
      <c r="AG92" s="346">
        <f t="shared" si="42"/>
        <v>0</v>
      </c>
      <c r="AH92" s="346">
        <f t="shared" si="43"/>
        <v>0</v>
      </c>
      <c r="AI92" s="445">
        <f t="shared" si="44"/>
        <v>0</v>
      </c>
      <c r="AJ92" s="446">
        <f t="shared" si="45"/>
        <v>3385.26</v>
      </c>
    </row>
    <row r="93" spans="2:36" s="167" customFormat="1" ht="33.75" x14ac:dyDescent="0.25">
      <c r="B93" s="384" t="s">
        <v>239</v>
      </c>
      <c r="C93" s="385">
        <v>91926</v>
      </c>
      <c r="D93" s="386" t="s">
        <v>241</v>
      </c>
      <c r="E93" s="245" t="s">
        <v>37</v>
      </c>
      <c r="F93" s="245">
        <v>3.98</v>
      </c>
      <c r="G93" s="387">
        <v>1496.3</v>
      </c>
      <c r="H93" s="444"/>
      <c r="I93" s="444"/>
      <c r="J93" s="443"/>
      <c r="K93" s="444"/>
      <c r="L93" s="444"/>
      <c r="M93" s="444"/>
      <c r="N93" s="387"/>
      <c r="O93" s="387"/>
      <c r="P93" s="444"/>
      <c r="Q93" s="444"/>
      <c r="R93" s="444">
        <v>0</v>
      </c>
      <c r="S93" s="444">
        <f>VLOOKUP(B93,'MEMÓRIA MEDIÇÃO 12'!$A$7:$F$202,6,FALSE)</f>
        <v>0</v>
      </c>
      <c r="T93" s="387">
        <f t="shared" si="37"/>
        <v>0</v>
      </c>
      <c r="U93" s="387">
        <f t="shared" si="48"/>
        <v>1496.3</v>
      </c>
      <c r="V93" s="387">
        <f t="shared" si="49"/>
        <v>5955.2739999999994</v>
      </c>
      <c r="W93" s="346">
        <f t="shared" si="33"/>
        <v>0</v>
      </c>
      <c r="X93" s="346">
        <f t="shared" si="34"/>
        <v>0</v>
      </c>
      <c r="Y93" s="346">
        <f t="shared" si="50"/>
        <v>0</v>
      </c>
      <c r="Z93" s="346">
        <f t="shared" si="35"/>
        <v>0</v>
      </c>
      <c r="AA93" s="346">
        <f t="shared" si="36"/>
        <v>0</v>
      </c>
      <c r="AB93" s="346">
        <f t="shared" si="30"/>
        <v>0</v>
      </c>
      <c r="AC93" s="346">
        <f t="shared" si="38"/>
        <v>0</v>
      </c>
      <c r="AD93" s="346">
        <f t="shared" si="39"/>
        <v>0</v>
      </c>
      <c r="AE93" s="346">
        <f t="shared" si="40"/>
        <v>0</v>
      </c>
      <c r="AF93" s="346">
        <f t="shared" si="41"/>
        <v>0</v>
      </c>
      <c r="AG93" s="346">
        <f t="shared" si="42"/>
        <v>0</v>
      </c>
      <c r="AH93" s="346">
        <f t="shared" si="43"/>
        <v>0</v>
      </c>
      <c r="AI93" s="445">
        <f t="shared" si="44"/>
        <v>0</v>
      </c>
      <c r="AJ93" s="446">
        <f t="shared" si="45"/>
        <v>5955.2739999999994</v>
      </c>
    </row>
    <row r="94" spans="2:36" s="167" customFormat="1" ht="33.75" x14ac:dyDescent="0.25">
      <c r="B94" s="384" t="s">
        <v>242</v>
      </c>
      <c r="C94" s="385">
        <v>91928</v>
      </c>
      <c r="D94" s="391" t="s">
        <v>244</v>
      </c>
      <c r="E94" s="245" t="s">
        <v>37</v>
      </c>
      <c r="F94" s="245">
        <v>6.23</v>
      </c>
      <c r="G94" s="387">
        <v>284.60000000000002</v>
      </c>
      <c r="H94" s="278"/>
      <c r="I94" s="278"/>
      <c r="J94" s="443"/>
      <c r="K94" s="278"/>
      <c r="L94" s="278"/>
      <c r="M94" s="278"/>
      <c r="N94" s="278"/>
      <c r="O94" s="278"/>
      <c r="P94" s="278"/>
      <c r="Q94" s="278"/>
      <c r="R94" s="444">
        <v>0</v>
      </c>
      <c r="S94" s="444">
        <f>VLOOKUP(B94,'MEMÓRIA MEDIÇÃO 12'!$A$7:$F$202,6,FALSE)</f>
        <v>0</v>
      </c>
      <c r="T94" s="387">
        <f t="shared" si="37"/>
        <v>0</v>
      </c>
      <c r="U94" s="387">
        <f t="shared" si="48"/>
        <v>284.60000000000002</v>
      </c>
      <c r="V94" s="387">
        <f t="shared" si="49"/>
        <v>1773.0580000000002</v>
      </c>
      <c r="W94" s="346">
        <f t="shared" si="33"/>
        <v>0</v>
      </c>
      <c r="X94" s="346">
        <f t="shared" si="34"/>
        <v>0</v>
      </c>
      <c r="Y94" s="346">
        <f t="shared" si="50"/>
        <v>0</v>
      </c>
      <c r="Z94" s="346">
        <f t="shared" si="35"/>
        <v>0</v>
      </c>
      <c r="AA94" s="346">
        <f t="shared" si="36"/>
        <v>0</v>
      </c>
      <c r="AB94" s="346">
        <f t="shared" si="30"/>
        <v>0</v>
      </c>
      <c r="AC94" s="346">
        <f t="shared" si="38"/>
        <v>0</v>
      </c>
      <c r="AD94" s="346">
        <f t="shared" si="39"/>
        <v>0</v>
      </c>
      <c r="AE94" s="346">
        <f t="shared" si="40"/>
        <v>0</v>
      </c>
      <c r="AF94" s="346">
        <f t="shared" si="41"/>
        <v>0</v>
      </c>
      <c r="AG94" s="346">
        <f t="shared" si="42"/>
        <v>0</v>
      </c>
      <c r="AH94" s="346">
        <f t="shared" si="43"/>
        <v>0</v>
      </c>
      <c r="AI94" s="445">
        <f t="shared" si="44"/>
        <v>0</v>
      </c>
      <c r="AJ94" s="446">
        <f t="shared" si="45"/>
        <v>1773.0580000000002</v>
      </c>
    </row>
    <row r="95" spans="2:36" s="167" customFormat="1" ht="33.75" x14ac:dyDescent="0.25">
      <c r="B95" s="384" t="s">
        <v>245</v>
      </c>
      <c r="C95" s="385">
        <v>91931</v>
      </c>
      <c r="D95" s="386" t="s">
        <v>247</v>
      </c>
      <c r="E95" s="245" t="s">
        <v>37</v>
      </c>
      <c r="F95" s="245">
        <v>9.51</v>
      </c>
      <c r="G95" s="387">
        <v>224</v>
      </c>
      <c r="H95" s="444"/>
      <c r="I95" s="444"/>
      <c r="J95" s="443"/>
      <c r="K95" s="444"/>
      <c r="L95" s="444"/>
      <c r="M95" s="444"/>
      <c r="N95" s="387"/>
      <c r="O95" s="387"/>
      <c r="P95" s="444"/>
      <c r="Q95" s="444"/>
      <c r="R95" s="444">
        <v>0</v>
      </c>
      <c r="S95" s="444">
        <f>VLOOKUP(B95,'MEMÓRIA MEDIÇÃO 12'!$A$7:$F$202,6,FALSE)</f>
        <v>0</v>
      </c>
      <c r="T95" s="387">
        <f t="shared" si="37"/>
        <v>0</v>
      </c>
      <c r="U95" s="387">
        <f t="shared" si="48"/>
        <v>224</v>
      </c>
      <c r="V95" s="387">
        <f t="shared" si="49"/>
        <v>2130.2399999999998</v>
      </c>
      <c r="W95" s="346">
        <f t="shared" si="33"/>
        <v>0</v>
      </c>
      <c r="X95" s="346">
        <f t="shared" si="34"/>
        <v>0</v>
      </c>
      <c r="Y95" s="346">
        <f t="shared" si="50"/>
        <v>0</v>
      </c>
      <c r="Z95" s="346">
        <f t="shared" si="35"/>
        <v>0</v>
      </c>
      <c r="AA95" s="346">
        <f t="shared" si="36"/>
        <v>0</v>
      </c>
      <c r="AB95" s="346">
        <f t="shared" si="30"/>
        <v>0</v>
      </c>
      <c r="AC95" s="346">
        <f t="shared" si="38"/>
        <v>0</v>
      </c>
      <c r="AD95" s="346">
        <f t="shared" si="39"/>
        <v>0</v>
      </c>
      <c r="AE95" s="346">
        <f t="shared" si="40"/>
        <v>0</v>
      </c>
      <c r="AF95" s="346">
        <f t="shared" si="41"/>
        <v>0</v>
      </c>
      <c r="AG95" s="346">
        <f t="shared" si="42"/>
        <v>0</v>
      </c>
      <c r="AH95" s="346">
        <f t="shared" si="43"/>
        <v>0</v>
      </c>
      <c r="AI95" s="445">
        <f t="shared" si="44"/>
        <v>0</v>
      </c>
      <c r="AJ95" s="446">
        <f t="shared" si="45"/>
        <v>2130.2399999999998</v>
      </c>
    </row>
    <row r="96" spans="2:36" s="167" customFormat="1" ht="22.5" x14ac:dyDescent="0.25">
      <c r="B96" s="384" t="s">
        <v>248</v>
      </c>
      <c r="C96" s="385">
        <v>39773</v>
      </c>
      <c r="D96" s="386" t="s">
        <v>250</v>
      </c>
      <c r="E96" s="245" t="s">
        <v>166</v>
      </c>
      <c r="F96" s="245">
        <v>101.17</v>
      </c>
      <c r="G96" s="387">
        <v>2</v>
      </c>
      <c r="H96" s="444"/>
      <c r="I96" s="444"/>
      <c r="J96" s="443"/>
      <c r="K96" s="444"/>
      <c r="L96" s="444"/>
      <c r="M96" s="444"/>
      <c r="N96" s="387"/>
      <c r="O96" s="387"/>
      <c r="P96" s="444"/>
      <c r="Q96" s="444"/>
      <c r="R96" s="444">
        <v>0</v>
      </c>
      <c r="S96" s="444">
        <f>VLOOKUP(B96,'MEMÓRIA MEDIÇÃO 12'!$A$7:$F$202,6,FALSE)</f>
        <v>0</v>
      </c>
      <c r="T96" s="387">
        <f t="shared" si="37"/>
        <v>0</v>
      </c>
      <c r="U96" s="387">
        <f t="shared" si="48"/>
        <v>2</v>
      </c>
      <c r="V96" s="387">
        <f t="shared" si="49"/>
        <v>202.34</v>
      </c>
      <c r="W96" s="346">
        <f t="shared" si="33"/>
        <v>0</v>
      </c>
      <c r="X96" s="346">
        <f t="shared" si="34"/>
        <v>0</v>
      </c>
      <c r="Y96" s="346">
        <f t="shared" si="50"/>
        <v>0</v>
      </c>
      <c r="Z96" s="346">
        <f t="shared" si="35"/>
        <v>0</v>
      </c>
      <c r="AA96" s="346">
        <f t="shared" si="36"/>
        <v>0</v>
      </c>
      <c r="AB96" s="346">
        <f t="shared" si="30"/>
        <v>0</v>
      </c>
      <c r="AC96" s="346">
        <f t="shared" si="38"/>
        <v>0</v>
      </c>
      <c r="AD96" s="346">
        <f t="shared" si="39"/>
        <v>0</v>
      </c>
      <c r="AE96" s="346">
        <f t="shared" si="40"/>
        <v>0</v>
      </c>
      <c r="AF96" s="346">
        <f t="shared" si="41"/>
        <v>0</v>
      </c>
      <c r="AG96" s="346">
        <f t="shared" si="42"/>
        <v>0</v>
      </c>
      <c r="AH96" s="346">
        <f t="shared" si="43"/>
        <v>0</v>
      </c>
      <c r="AI96" s="445">
        <f t="shared" si="44"/>
        <v>0</v>
      </c>
      <c r="AJ96" s="446">
        <f t="shared" si="45"/>
        <v>202.34</v>
      </c>
    </row>
    <row r="97" spans="2:36" s="167" customFormat="1" ht="22.5" x14ac:dyDescent="0.25">
      <c r="B97" s="384" t="s">
        <v>251</v>
      </c>
      <c r="C97" s="385">
        <v>101890</v>
      </c>
      <c r="D97" s="386" t="s">
        <v>253</v>
      </c>
      <c r="E97" s="245" t="s">
        <v>166</v>
      </c>
      <c r="F97" s="245">
        <v>15.35</v>
      </c>
      <c r="G97" s="387">
        <v>19</v>
      </c>
      <c r="H97" s="444"/>
      <c r="I97" s="444"/>
      <c r="J97" s="443"/>
      <c r="K97" s="444"/>
      <c r="L97" s="444"/>
      <c r="M97" s="444"/>
      <c r="N97" s="387"/>
      <c r="O97" s="387"/>
      <c r="P97" s="444"/>
      <c r="Q97" s="444"/>
      <c r="R97" s="444">
        <v>0</v>
      </c>
      <c r="S97" s="444">
        <f>VLOOKUP(B97,'MEMÓRIA MEDIÇÃO 12'!$A$7:$F$202,6,FALSE)</f>
        <v>0</v>
      </c>
      <c r="T97" s="387">
        <f t="shared" si="37"/>
        <v>0</v>
      </c>
      <c r="U97" s="387">
        <f t="shared" si="48"/>
        <v>19</v>
      </c>
      <c r="V97" s="387">
        <f t="shared" si="49"/>
        <v>291.64999999999998</v>
      </c>
      <c r="W97" s="346">
        <f t="shared" si="33"/>
        <v>0</v>
      </c>
      <c r="X97" s="346">
        <f t="shared" si="34"/>
        <v>0</v>
      </c>
      <c r="Y97" s="346">
        <f t="shared" si="50"/>
        <v>0</v>
      </c>
      <c r="Z97" s="346">
        <f t="shared" si="35"/>
        <v>0</v>
      </c>
      <c r="AA97" s="346">
        <f t="shared" si="36"/>
        <v>0</v>
      </c>
      <c r="AB97" s="346">
        <f t="shared" si="30"/>
        <v>0</v>
      </c>
      <c r="AC97" s="346">
        <f t="shared" si="38"/>
        <v>0</v>
      </c>
      <c r="AD97" s="346">
        <f t="shared" si="39"/>
        <v>0</v>
      </c>
      <c r="AE97" s="346">
        <f t="shared" si="40"/>
        <v>0</v>
      </c>
      <c r="AF97" s="346">
        <f t="shared" si="41"/>
        <v>0</v>
      </c>
      <c r="AG97" s="346">
        <f t="shared" si="42"/>
        <v>0</v>
      </c>
      <c r="AH97" s="346">
        <f t="shared" si="43"/>
        <v>0</v>
      </c>
      <c r="AI97" s="445">
        <f t="shared" si="44"/>
        <v>0</v>
      </c>
      <c r="AJ97" s="446">
        <f t="shared" si="45"/>
        <v>291.64999999999998</v>
      </c>
    </row>
    <row r="98" spans="2:36" s="167" customFormat="1" ht="22.5" x14ac:dyDescent="0.25">
      <c r="B98" s="384" t="s">
        <v>254</v>
      </c>
      <c r="C98" s="385">
        <v>93670</v>
      </c>
      <c r="D98" s="386" t="s">
        <v>256</v>
      </c>
      <c r="E98" s="245" t="s">
        <v>166</v>
      </c>
      <c r="F98" s="245">
        <v>73.97</v>
      </c>
      <c r="G98" s="387">
        <v>1</v>
      </c>
      <c r="H98" s="444"/>
      <c r="I98" s="444"/>
      <c r="J98" s="443"/>
      <c r="K98" s="444"/>
      <c r="L98" s="444"/>
      <c r="M98" s="444"/>
      <c r="N98" s="387"/>
      <c r="O98" s="387"/>
      <c r="P98" s="444"/>
      <c r="Q98" s="444"/>
      <c r="R98" s="444">
        <v>0</v>
      </c>
      <c r="S98" s="444">
        <f>VLOOKUP(B98,'MEMÓRIA MEDIÇÃO 12'!$A$7:$F$202,6,FALSE)</f>
        <v>0</v>
      </c>
      <c r="T98" s="387">
        <f t="shared" si="37"/>
        <v>0</v>
      </c>
      <c r="U98" s="387">
        <f t="shared" si="48"/>
        <v>1</v>
      </c>
      <c r="V98" s="387">
        <f t="shared" si="49"/>
        <v>73.97</v>
      </c>
      <c r="W98" s="346">
        <f t="shared" si="33"/>
        <v>0</v>
      </c>
      <c r="X98" s="346">
        <f t="shared" si="34"/>
        <v>0</v>
      </c>
      <c r="Y98" s="346">
        <f t="shared" si="50"/>
        <v>0</v>
      </c>
      <c r="Z98" s="346">
        <f t="shared" si="35"/>
        <v>0</v>
      </c>
      <c r="AA98" s="346">
        <f t="shared" si="36"/>
        <v>0</v>
      </c>
      <c r="AB98" s="346">
        <f t="shared" ref="AB98:AB129" si="51">M98*F98</f>
        <v>0</v>
      </c>
      <c r="AC98" s="346">
        <f t="shared" si="38"/>
        <v>0</v>
      </c>
      <c r="AD98" s="346">
        <f t="shared" si="39"/>
        <v>0</v>
      </c>
      <c r="AE98" s="346">
        <f t="shared" si="40"/>
        <v>0</v>
      </c>
      <c r="AF98" s="346">
        <f t="shared" si="41"/>
        <v>0</v>
      </c>
      <c r="AG98" s="346">
        <f t="shared" si="42"/>
        <v>0</v>
      </c>
      <c r="AH98" s="346">
        <f t="shared" si="43"/>
        <v>0</v>
      </c>
      <c r="AI98" s="445">
        <f t="shared" si="44"/>
        <v>0</v>
      </c>
      <c r="AJ98" s="446">
        <f t="shared" si="45"/>
        <v>73.97</v>
      </c>
    </row>
    <row r="99" spans="2:36" s="167" customFormat="1" ht="22.5" x14ac:dyDescent="0.25">
      <c r="B99" s="384" t="s">
        <v>257</v>
      </c>
      <c r="C99" s="385">
        <v>93671</v>
      </c>
      <c r="D99" s="386" t="s">
        <v>259</v>
      </c>
      <c r="E99" s="245" t="s">
        <v>166</v>
      </c>
      <c r="F99" s="245">
        <v>77.569999999999993</v>
      </c>
      <c r="G99" s="387">
        <v>1</v>
      </c>
      <c r="H99" s="444"/>
      <c r="I99" s="444"/>
      <c r="J99" s="443"/>
      <c r="K99" s="444"/>
      <c r="L99" s="444"/>
      <c r="M99" s="444"/>
      <c r="N99" s="387"/>
      <c r="O99" s="387"/>
      <c r="P99" s="444"/>
      <c r="Q99" s="444"/>
      <c r="R99" s="444">
        <v>0</v>
      </c>
      <c r="S99" s="444">
        <f>VLOOKUP(B99,'MEMÓRIA MEDIÇÃO 12'!$A$7:$F$202,6,FALSE)</f>
        <v>0</v>
      </c>
      <c r="T99" s="387">
        <f t="shared" si="37"/>
        <v>0</v>
      </c>
      <c r="U99" s="387">
        <f t="shared" si="48"/>
        <v>1</v>
      </c>
      <c r="V99" s="387">
        <f t="shared" si="49"/>
        <v>77.569999999999993</v>
      </c>
      <c r="W99" s="346">
        <f t="shared" si="33"/>
        <v>0</v>
      </c>
      <c r="X99" s="346">
        <f t="shared" si="34"/>
        <v>0</v>
      </c>
      <c r="Y99" s="346">
        <f t="shared" si="50"/>
        <v>0</v>
      </c>
      <c r="Z99" s="346">
        <f t="shared" si="35"/>
        <v>0</v>
      </c>
      <c r="AA99" s="346">
        <f t="shared" si="36"/>
        <v>0</v>
      </c>
      <c r="AB99" s="346">
        <f t="shared" si="51"/>
        <v>0</v>
      </c>
      <c r="AC99" s="346">
        <f t="shared" si="38"/>
        <v>0</v>
      </c>
      <c r="AD99" s="346">
        <f t="shared" si="39"/>
        <v>0</v>
      </c>
      <c r="AE99" s="346">
        <f t="shared" si="40"/>
        <v>0</v>
      </c>
      <c r="AF99" s="346">
        <f t="shared" si="41"/>
        <v>0</v>
      </c>
      <c r="AG99" s="346">
        <f t="shared" si="42"/>
        <v>0</v>
      </c>
      <c r="AH99" s="346">
        <f t="shared" si="43"/>
        <v>0</v>
      </c>
      <c r="AI99" s="445">
        <f t="shared" si="44"/>
        <v>0</v>
      </c>
      <c r="AJ99" s="446">
        <f t="shared" si="45"/>
        <v>77.569999999999993</v>
      </c>
    </row>
    <row r="100" spans="2:36" s="167" customFormat="1" ht="22.5" x14ac:dyDescent="0.25">
      <c r="B100" s="384" t="s">
        <v>260</v>
      </c>
      <c r="C100" s="385">
        <v>39466</v>
      </c>
      <c r="D100" s="386" t="s">
        <v>262</v>
      </c>
      <c r="E100" s="245" t="s">
        <v>166</v>
      </c>
      <c r="F100" s="245">
        <v>74.81</v>
      </c>
      <c r="G100" s="387">
        <v>6</v>
      </c>
      <c r="H100" s="444"/>
      <c r="I100" s="444"/>
      <c r="J100" s="443"/>
      <c r="K100" s="444"/>
      <c r="L100" s="444"/>
      <c r="M100" s="444"/>
      <c r="N100" s="387"/>
      <c r="O100" s="387"/>
      <c r="P100" s="444"/>
      <c r="Q100" s="444"/>
      <c r="R100" s="444">
        <v>0</v>
      </c>
      <c r="S100" s="444">
        <f>VLOOKUP(B100,'MEMÓRIA MEDIÇÃO 12'!$A$7:$F$202,6,FALSE)</f>
        <v>0</v>
      </c>
      <c r="T100" s="387">
        <f t="shared" si="37"/>
        <v>0</v>
      </c>
      <c r="U100" s="387">
        <f t="shared" si="48"/>
        <v>6</v>
      </c>
      <c r="V100" s="387">
        <f t="shared" si="49"/>
        <v>448.86</v>
      </c>
      <c r="W100" s="346">
        <f t="shared" si="33"/>
        <v>0</v>
      </c>
      <c r="X100" s="346">
        <f t="shared" si="34"/>
        <v>0</v>
      </c>
      <c r="Y100" s="346">
        <f t="shared" si="50"/>
        <v>0</v>
      </c>
      <c r="Z100" s="346">
        <f t="shared" si="35"/>
        <v>0</v>
      </c>
      <c r="AA100" s="346">
        <f t="shared" si="36"/>
        <v>0</v>
      </c>
      <c r="AB100" s="346">
        <f t="shared" si="51"/>
        <v>0</v>
      </c>
      <c r="AC100" s="346">
        <f t="shared" si="38"/>
        <v>0</v>
      </c>
      <c r="AD100" s="346">
        <f t="shared" si="39"/>
        <v>0</v>
      </c>
      <c r="AE100" s="346">
        <f t="shared" si="40"/>
        <v>0</v>
      </c>
      <c r="AF100" s="346">
        <f t="shared" si="41"/>
        <v>0</v>
      </c>
      <c r="AG100" s="346">
        <f t="shared" si="42"/>
        <v>0</v>
      </c>
      <c r="AH100" s="346">
        <f t="shared" si="43"/>
        <v>0</v>
      </c>
      <c r="AI100" s="445">
        <f t="shared" si="44"/>
        <v>0</v>
      </c>
      <c r="AJ100" s="446">
        <f t="shared" si="45"/>
        <v>448.86</v>
      </c>
    </row>
    <row r="101" spans="2:36" s="167" customFormat="1" ht="22.5" x14ac:dyDescent="0.25">
      <c r="B101" s="384" t="s">
        <v>263</v>
      </c>
      <c r="C101" s="385">
        <v>39445</v>
      </c>
      <c r="D101" s="386" t="s">
        <v>265</v>
      </c>
      <c r="E101" s="245" t="s">
        <v>166</v>
      </c>
      <c r="F101" s="245">
        <v>136.80000000000001</v>
      </c>
      <c r="G101" s="387">
        <v>1</v>
      </c>
      <c r="H101" s="444"/>
      <c r="I101" s="444"/>
      <c r="J101" s="443"/>
      <c r="K101" s="444"/>
      <c r="L101" s="444"/>
      <c r="M101" s="444"/>
      <c r="N101" s="387"/>
      <c r="O101" s="387"/>
      <c r="P101" s="444"/>
      <c r="Q101" s="444"/>
      <c r="R101" s="444">
        <v>0</v>
      </c>
      <c r="S101" s="444">
        <f>VLOOKUP(B101,'MEMÓRIA MEDIÇÃO 12'!$A$7:$F$202,6,FALSE)</f>
        <v>0</v>
      </c>
      <c r="T101" s="387">
        <f t="shared" si="37"/>
        <v>0</v>
      </c>
      <c r="U101" s="387">
        <f t="shared" si="48"/>
        <v>1</v>
      </c>
      <c r="V101" s="387">
        <f t="shared" si="49"/>
        <v>136.80000000000001</v>
      </c>
      <c r="W101" s="346">
        <f t="shared" si="33"/>
        <v>0</v>
      </c>
      <c r="X101" s="346">
        <f t="shared" si="34"/>
        <v>0</v>
      </c>
      <c r="Y101" s="346">
        <f t="shared" si="50"/>
        <v>0</v>
      </c>
      <c r="Z101" s="346">
        <f t="shared" si="35"/>
        <v>0</v>
      </c>
      <c r="AA101" s="346">
        <f t="shared" si="36"/>
        <v>0</v>
      </c>
      <c r="AB101" s="346">
        <f t="shared" si="51"/>
        <v>0</v>
      </c>
      <c r="AC101" s="346">
        <f t="shared" si="38"/>
        <v>0</v>
      </c>
      <c r="AD101" s="346">
        <f t="shared" si="39"/>
        <v>0</v>
      </c>
      <c r="AE101" s="346">
        <f t="shared" si="40"/>
        <v>0</v>
      </c>
      <c r="AF101" s="346">
        <f t="shared" si="41"/>
        <v>0</v>
      </c>
      <c r="AG101" s="346">
        <f t="shared" si="42"/>
        <v>0</v>
      </c>
      <c r="AH101" s="346">
        <f t="shared" si="43"/>
        <v>0</v>
      </c>
      <c r="AI101" s="445">
        <f t="shared" si="44"/>
        <v>0</v>
      </c>
      <c r="AJ101" s="446">
        <f t="shared" si="45"/>
        <v>136.80000000000001</v>
      </c>
    </row>
    <row r="102" spans="2:36" s="167" customFormat="1" ht="22.5" x14ac:dyDescent="0.25">
      <c r="B102" s="384" t="s">
        <v>266</v>
      </c>
      <c r="C102" s="385">
        <v>39446</v>
      </c>
      <c r="D102" s="386" t="s">
        <v>268</v>
      </c>
      <c r="E102" s="245" t="s">
        <v>166</v>
      </c>
      <c r="F102" s="245">
        <v>139.25</v>
      </c>
      <c r="G102" s="387">
        <v>1</v>
      </c>
      <c r="H102" s="444"/>
      <c r="I102" s="444"/>
      <c r="J102" s="443"/>
      <c r="K102" s="444"/>
      <c r="L102" s="444"/>
      <c r="M102" s="444"/>
      <c r="N102" s="387"/>
      <c r="O102" s="387"/>
      <c r="P102" s="444"/>
      <c r="Q102" s="444"/>
      <c r="R102" s="444">
        <v>0</v>
      </c>
      <c r="S102" s="444">
        <f>VLOOKUP(B102,'MEMÓRIA MEDIÇÃO 12'!$A$7:$F$202,6,FALSE)</f>
        <v>0</v>
      </c>
      <c r="T102" s="387">
        <f t="shared" si="37"/>
        <v>0</v>
      </c>
      <c r="U102" s="387">
        <f t="shared" si="48"/>
        <v>1</v>
      </c>
      <c r="V102" s="387">
        <f t="shared" si="49"/>
        <v>139.25</v>
      </c>
      <c r="W102" s="346">
        <f t="shared" si="33"/>
        <v>0</v>
      </c>
      <c r="X102" s="346">
        <f t="shared" si="34"/>
        <v>0</v>
      </c>
      <c r="Y102" s="346">
        <f t="shared" si="50"/>
        <v>0</v>
      </c>
      <c r="Z102" s="346">
        <f t="shared" si="35"/>
        <v>0</v>
      </c>
      <c r="AA102" s="346">
        <f t="shared" si="36"/>
        <v>0</v>
      </c>
      <c r="AB102" s="346">
        <f t="shared" si="51"/>
        <v>0</v>
      </c>
      <c r="AC102" s="346">
        <f t="shared" si="38"/>
        <v>0</v>
      </c>
      <c r="AD102" s="346">
        <f t="shared" si="39"/>
        <v>0</v>
      </c>
      <c r="AE102" s="346">
        <f t="shared" si="40"/>
        <v>0</v>
      </c>
      <c r="AF102" s="346">
        <f t="shared" si="41"/>
        <v>0</v>
      </c>
      <c r="AG102" s="346">
        <f t="shared" si="42"/>
        <v>0</v>
      </c>
      <c r="AH102" s="346">
        <f t="shared" si="43"/>
        <v>0</v>
      </c>
      <c r="AI102" s="445">
        <f t="shared" si="44"/>
        <v>0</v>
      </c>
      <c r="AJ102" s="446">
        <f t="shared" si="45"/>
        <v>139.25</v>
      </c>
    </row>
    <row r="103" spans="2:36" s="167" customFormat="1" ht="33.75" x14ac:dyDescent="0.25">
      <c r="B103" s="384" t="s">
        <v>269</v>
      </c>
      <c r="C103" s="385">
        <v>91953</v>
      </c>
      <c r="D103" s="386" t="s">
        <v>271</v>
      </c>
      <c r="E103" s="245" t="s">
        <v>166</v>
      </c>
      <c r="F103" s="245">
        <v>25.8</v>
      </c>
      <c r="G103" s="387">
        <v>24</v>
      </c>
      <c r="H103" s="444"/>
      <c r="I103" s="444"/>
      <c r="J103" s="443"/>
      <c r="K103" s="444"/>
      <c r="L103" s="444"/>
      <c r="M103" s="444"/>
      <c r="N103" s="387"/>
      <c r="O103" s="387"/>
      <c r="P103" s="444"/>
      <c r="Q103" s="444"/>
      <c r="R103" s="444">
        <v>0</v>
      </c>
      <c r="S103" s="444">
        <f>VLOOKUP(B103,'MEMÓRIA MEDIÇÃO 12'!$A$7:$F$202,6,FALSE)</f>
        <v>0</v>
      </c>
      <c r="T103" s="387">
        <f t="shared" si="37"/>
        <v>0</v>
      </c>
      <c r="U103" s="387">
        <f t="shared" si="48"/>
        <v>24</v>
      </c>
      <c r="V103" s="387">
        <f t="shared" si="49"/>
        <v>619.20000000000005</v>
      </c>
      <c r="W103" s="346">
        <f t="shared" si="33"/>
        <v>0</v>
      </c>
      <c r="X103" s="346">
        <f t="shared" si="34"/>
        <v>0</v>
      </c>
      <c r="Y103" s="346">
        <f t="shared" si="50"/>
        <v>0</v>
      </c>
      <c r="Z103" s="346">
        <f t="shared" si="35"/>
        <v>0</v>
      </c>
      <c r="AA103" s="346">
        <f t="shared" si="36"/>
        <v>0</v>
      </c>
      <c r="AB103" s="346">
        <f t="shared" si="51"/>
        <v>0</v>
      </c>
      <c r="AC103" s="346">
        <f t="shared" si="38"/>
        <v>0</v>
      </c>
      <c r="AD103" s="346">
        <f t="shared" si="39"/>
        <v>0</v>
      </c>
      <c r="AE103" s="346">
        <f t="shared" si="40"/>
        <v>0</v>
      </c>
      <c r="AF103" s="346">
        <f t="shared" si="41"/>
        <v>0</v>
      </c>
      <c r="AG103" s="346">
        <f t="shared" si="42"/>
        <v>0</v>
      </c>
      <c r="AH103" s="346">
        <f t="shared" si="43"/>
        <v>0</v>
      </c>
      <c r="AI103" s="445">
        <f t="shared" si="44"/>
        <v>0</v>
      </c>
      <c r="AJ103" s="446">
        <f t="shared" si="45"/>
        <v>619.20000000000005</v>
      </c>
    </row>
    <row r="104" spans="2:36" s="167" customFormat="1" ht="33.75" x14ac:dyDescent="0.25">
      <c r="B104" s="384" t="s">
        <v>272</v>
      </c>
      <c r="C104" s="385">
        <v>91967</v>
      </c>
      <c r="D104" s="386" t="s">
        <v>274</v>
      </c>
      <c r="E104" s="245" t="s">
        <v>166</v>
      </c>
      <c r="F104" s="245">
        <v>53.44</v>
      </c>
      <c r="G104" s="387">
        <v>1</v>
      </c>
      <c r="H104" s="444"/>
      <c r="I104" s="444"/>
      <c r="J104" s="443"/>
      <c r="K104" s="444"/>
      <c r="L104" s="444"/>
      <c r="M104" s="444"/>
      <c r="N104" s="387"/>
      <c r="O104" s="387"/>
      <c r="P104" s="444"/>
      <c r="Q104" s="444"/>
      <c r="R104" s="444">
        <v>0</v>
      </c>
      <c r="S104" s="444">
        <f>VLOOKUP(B104,'MEMÓRIA MEDIÇÃO 12'!$A$7:$F$202,6,FALSE)</f>
        <v>0</v>
      </c>
      <c r="T104" s="387">
        <f t="shared" si="37"/>
        <v>0</v>
      </c>
      <c r="U104" s="387">
        <f t="shared" si="48"/>
        <v>1</v>
      </c>
      <c r="V104" s="387">
        <f t="shared" si="49"/>
        <v>53.44</v>
      </c>
      <c r="W104" s="346">
        <f t="shared" si="33"/>
        <v>0</v>
      </c>
      <c r="X104" s="346">
        <f t="shared" si="34"/>
        <v>0</v>
      </c>
      <c r="Y104" s="346">
        <f t="shared" si="50"/>
        <v>0</v>
      </c>
      <c r="Z104" s="346">
        <f t="shared" si="35"/>
        <v>0</v>
      </c>
      <c r="AA104" s="346">
        <f t="shared" si="36"/>
        <v>0</v>
      </c>
      <c r="AB104" s="346">
        <f t="shared" si="51"/>
        <v>0</v>
      </c>
      <c r="AC104" s="346">
        <f t="shared" si="38"/>
        <v>0</v>
      </c>
      <c r="AD104" s="346">
        <f t="shared" si="39"/>
        <v>0</v>
      </c>
      <c r="AE104" s="346">
        <f t="shared" si="40"/>
        <v>0</v>
      </c>
      <c r="AF104" s="346">
        <f t="shared" si="41"/>
        <v>0</v>
      </c>
      <c r="AG104" s="346">
        <f t="shared" si="42"/>
        <v>0</v>
      </c>
      <c r="AH104" s="346">
        <f t="shared" si="43"/>
        <v>0</v>
      </c>
      <c r="AI104" s="445">
        <f t="shared" si="44"/>
        <v>0</v>
      </c>
      <c r="AJ104" s="446">
        <f t="shared" si="45"/>
        <v>53.44</v>
      </c>
    </row>
    <row r="105" spans="2:36" s="167" customFormat="1" ht="33.75" x14ac:dyDescent="0.25">
      <c r="B105" s="384" t="s">
        <v>275</v>
      </c>
      <c r="C105" s="385">
        <v>92000</v>
      </c>
      <c r="D105" s="386" t="s">
        <v>277</v>
      </c>
      <c r="E105" s="245" t="s">
        <v>166</v>
      </c>
      <c r="F105" s="245">
        <v>27.19</v>
      </c>
      <c r="G105" s="387">
        <v>54</v>
      </c>
      <c r="H105" s="444"/>
      <c r="I105" s="444"/>
      <c r="J105" s="443"/>
      <c r="K105" s="444"/>
      <c r="L105" s="444"/>
      <c r="M105" s="444"/>
      <c r="N105" s="387"/>
      <c r="O105" s="387"/>
      <c r="P105" s="444"/>
      <c r="Q105" s="444"/>
      <c r="R105" s="444">
        <v>0</v>
      </c>
      <c r="S105" s="444">
        <f>VLOOKUP(B105,'MEMÓRIA MEDIÇÃO 12'!$A$7:$F$202,6,FALSE)</f>
        <v>0</v>
      </c>
      <c r="T105" s="387">
        <f t="shared" si="37"/>
        <v>0</v>
      </c>
      <c r="U105" s="387">
        <f t="shared" si="48"/>
        <v>54</v>
      </c>
      <c r="V105" s="387">
        <f t="shared" si="49"/>
        <v>1468.26</v>
      </c>
      <c r="W105" s="346">
        <f t="shared" si="33"/>
        <v>0</v>
      </c>
      <c r="X105" s="346">
        <f t="shared" si="34"/>
        <v>0</v>
      </c>
      <c r="Y105" s="346">
        <f t="shared" si="50"/>
        <v>0</v>
      </c>
      <c r="Z105" s="346">
        <f t="shared" si="35"/>
        <v>0</v>
      </c>
      <c r="AA105" s="346">
        <f t="shared" si="36"/>
        <v>0</v>
      </c>
      <c r="AB105" s="346">
        <f t="shared" si="51"/>
        <v>0</v>
      </c>
      <c r="AC105" s="346">
        <f t="shared" si="38"/>
        <v>0</v>
      </c>
      <c r="AD105" s="346">
        <f t="shared" si="39"/>
        <v>0</v>
      </c>
      <c r="AE105" s="346">
        <f t="shared" si="40"/>
        <v>0</v>
      </c>
      <c r="AF105" s="346">
        <f t="shared" si="41"/>
        <v>0</v>
      </c>
      <c r="AG105" s="346">
        <f t="shared" si="42"/>
        <v>0</v>
      </c>
      <c r="AH105" s="346">
        <f t="shared" si="43"/>
        <v>0</v>
      </c>
      <c r="AI105" s="445">
        <f t="shared" si="44"/>
        <v>0</v>
      </c>
      <c r="AJ105" s="446">
        <f t="shared" si="45"/>
        <v>1468.26</v>
      </c>
    </row>
    <row r="106" spans="2:36" s="167" customFormat="1" ht="33.75" x14ac:dyDescent="0.25">
      <c r="B106" s="384" t="s">
        <v>278</v>
      </c>
      <c r="C106" s="385">
        <v>92008</v>
      </c>
      <c r="D106" s="386" t="s">
        <v>280</v>
      </c>
      <c r="E106" s="245" t="s">
        <v>166</v>
      </c>
      <c r="F106" s="245">
        <v>42.35</v>
      </c>
      <c r="G106" s="387">
        <v>11</v>
      </c>
      <c r="H106" s="444"/>
      <c r="I106" s="444"/>
      <c r="J106" s="443"/>
      <c r="K106" s="444"/>
      <c r="L106" s="444"/>
      <c r="M106" s="444"/>
      <c r="N106" s="387"/>
      <c r="O106" s="387"/>
      <c r="P106" s="444"/>
      <c r="Q106" s="444"/>
      <c r="R106" s="444">
        <v>0</v>
      </c>
      <c r="S106" s="444">
        <f>VLOOKUP(B106,'MEMÓRIA MEDIÇÃO 12'!$A$7:$F$202,6,FALSE)</f>
        <v>0</v>
      </c>
      <c r="T106" s="387">
        <f t="shared" si="37"/>
        <v>0</v>
      </c>
      <c r="U106" s="387">
        <f t="shared" si="48"/>
        <v>11</v>
      </c>
      <c r="V106" s="387">
        <f t="shared" si="49"/>
        <v>465.85</v>
      </c>
      <c r="W106" s="346">
        <f t="shared" si="33"/>
        <v>0</v>
      </c>
      <c r="X106" s="346">
        <f t="shared" si="34"/>
        <v>0</v>
      </c>
      <c r="Y106" s="346">
        <f t="shared" si="50"/>
        <v>0</v>
      </c>
      <c r="Z106" s="346">
        <f t="shared" si="35"/>
        <v>0</v>
      </c>
      <c r="AA106" s="346">
        <f t="shared" si="36"/>
        <v>0</v>
      </c>
      <c r="AB106" s="346">
        <f t="shared" si="51"/>
        <v>0</v>
      </c>
      <c r="AC106" s="346">
        <f t="shared" si="38"/>
        <v>0</v>
      </c>
      <c r="AD106" s="346">
        <f t="shared" si="39"/>
        <v>0</v>
      </c>
      <c r="AE106" s="346">
        <f t="shared" si="40"/>
        <v>0</v>
      </c>
      <c r="AF106" s="346">
        <f t="shared" si="41"/>
        <v>0</v>
      </c>
      <c r="AG106" s="346">
        <f t="shared" si="42"/>
        <v>0</v>
      </c>
      <c r="AH106" s="346">
        <f t="shared" si="43"/>
        <v>0</v>
      </c>
      <c r="AI106" s="445">
        <f t="shared" si="44"/>
        <v>0</v>
      </c>
      <c r="AJ106" s="446">
        <f t="shared" si="45"/>
        <v>465.85</v>
      </c>
    </row>
    <row r="107" spans="2:36" s="167" customFormat="1" ht="33.75" x14ac:dyDescent="0.25">
      <c r="B107" s="384" t="s">
        <v>281</v>
      </c>
      <c r="C107" s="385">
        <v>91959</v>
      </c>
      <c r="D107" s="391" t="s">
        <v>283</v>
      </c>
      <c r="E107" s="245" t="s">
        <v>166</v>
      </c>
      <c r="F107" s="245">
        <v>39.619999999999997</v>
      </c>
      <c r="G107" s="387">
        <v>2</v>
      </c>
      <c r="H107" s="278"/>
      <c r="I107" s="278"/>
      <c r="J107" s="443"/>
      <c r="K107" s="278"/>
      <c r="L107" s="278"/>
      <c r="M107" s="278"/>
      <c r="N107" s="278"/>
      <c r="O107" s="278"/>
      <c r="P107" s="278"/>
      <c r="Q107" s="278"/>
      <c r="R107" s="444">
        <v>0</v>
      </c>
      <c r="S107" s="444">
        <f>VLOOKUP(B107,'MEMÓRIA MEDIÇÃO 12'!$A$7:$F$202,6,FALSE)</f>
        <v>0</v>
      </c>
      <c r="T107" s="387">
        <f t="shared" si="37"/>
        <v>0</v>
      </c>
      <c r="U107" s="387">
        <f t="shared" si="48"/>
        <v>2</v>
      </c>
      <c r="V107" s="387">
        <f t="shared" si="49"/>
        <v>79.239999999999995</v>
      </c>
      <c r="W107" s="346">
        <f t="shared" si="33"/>
        <v>0</v>
      </c>
      <c r="X107" s="346">
        <f t="shared" si="34"/>
        <v>0</v>
      </c>
      <c r="Y107" s="346">
        <f t="shared" si="50"/>
        <v>0</v>
      </c>
      <c r="Z107" s="346">
        <f t="shared" si="35"/>
        <v>0</v>
      </c>
      <c r="AA107" s="346">
        <f t="shared" si="36"/>
        <v>0</v>
      </c>
      <c r="AB107" s="346">
        <f t="shared" si="51"/>
        <v>0</v>
      </c>
      <c r="AC107" s="346">
        <f t="shared" si="38"/>
        <v>0</v>
      </c>
      <c r="AD107" s="346">
        <f t="shared" si="39"/>
        <v>0</v>
      </c>
      <c r="AE107" s="346">
        <f t="shared" si="40"/>
        <v>0</v>
      </c>
      <c r="AF107" s="346">
        <f t="shared" si="41"/>
        <v>0</v>
      </c>
      <c r="AG107" s="346">
        <f t="shared" si="42"/>
        <v>0</v>
      </c>
      <c r="AH107" s="346">
        <f t="shared" si="43"/>
        <v>0</v>
      </c>
      <c r="AI107" s="445">
        <f t="shared" si="44"/>
        <v>0</v>
      </c>
      <c r="AJ107" s="446">
        <f t="shared" si="45"/>
        <v>79.239999999999995</v>
      </c>
    </row>
    <row r="108" spans="2:36" s="167" customFormat="1" ht="33.75" x14ac:dyDescent="0.25">
      <c r="B108" s="384" t="s">
        <v>284</v>
      </c>
      <c r="C108" s="385">
        <v>91834</v>
      </c>
      <c r="D108" s="391" t="s">
        <v>286</v>
      </c>
      <c r="E108" s="245" t="s">
        <v>37</v>
      </c>
      <c r="F108" s="245">
        <v>9.77</v>
      </c>
      <c r="G108" s="387">
        <v>830.48</v>
      </c>
      <c r="H108" s="278"/>
      <c r="I108" s="278"/>
      <c r="J108" s="443"/>
      <c r="K108" s="278"/>
      <c r="L108" s="278"/>
      <c r="M108" s="443">
        <f>'MEMORIAL DE CALCULO 06'!K413</f>
        <v>150</v>
      </c>
      <c r="N108" s="278"/>
      <c r="O108" s="443">
        <f>'MEMORIAL DE CALCULO 08'!K434</f>
        <v>200</v>
      </c>
      <c r="P108" s="278"/>
      <c r="Q108" s="278"/>
      <c r="R108" s="444">
        <v>0</v>
      </c>
      <c r="S108" s="444">
        <f>VLOOKUP(B108,'MEMÓRIA MEDIÇÃO 12'!$A$7:$F$202,6,FALSE)</f>
        <v>0</v>
      </c>
      <c r="T108" s="387">
        <f t="shared" si="37"/>
        <v>350</v>
      </c>
      <c r="U108" s="387">
        <f t="shared" si="48"/>
        <v>480.48</v>
      </c>
      <c r="V108" s="387">
        <f>F108*G108</f>
        <v>8113.7896000000001</v>
      </c>
      <c r="W108" s="346">
        <f t="shared" si="33"/>
        <v>0</v>
      </c>
      <c r="X108" s="346">
        <f t="shared" si="34"/>
        <v>0</v>
      </c>
      <c r="Y108" s="346">
        <f t="shared" si="50"/>
        <v>0</v>
      </c>
      <c r="Z108" s="346">
        <f t="shared" si="35"/>
        <v>0</v>
      </c>
      <c r="AA108" s="346">
        <f t="shared" si="36"/>
        <v>0</v>
      </c>
      <c r="AB108" s="346">
        <f t="shared" si="51"/>
        <v>1465.5</v>
      </c>
      <c r="AC108" s="346">
        <f t="shared" si="38"/>
        <v>0</v>
      </c>
      <c r="AD108" s="346">
        <f t="shared" si="39"/>
        <v>1954</v>
      </c>
      <c r="AE108" s="346">
        <f t="shared" si="40"/>
        <v>0</v>
      </c>
      <c r="AF108" s="346">
        <f t="shared" si="41"/>
        <v>0</v>
      </c>
      <c r="AG108" s="346">
        <f t="shared" si="42"/>
        <v>0</v>
      </c>
      <c r="AH108" s="346">
        <f t="shared" si="43"/>
        <v>0</v>
      </c>
      <c r="AI108" s="445">
        <f t="shared" si="44"/>
        <v>3419.5</v>
      </c>
      <c r="AJ108" s="446">
        <f t="shared" si="45"/>
        <v>4694.2896000000001</v>
      </c>
    </row>
    <row r="109" spans="2:36" s="167" customFormat="1" ht="33.75" x14ac:dyDescent="0.25">
      <c r="B109" s="384" t="s">
        <v>287</v>
      </c>
      <c r="C109" s="385">
        <v>91868</v>
      </c>
      <c r="D109" s="386" t="s">
        <v>289</v>
      </c>
      <c r="E109" s="245" t="s">
        <v>37</v>
      </c>
      <c r="F109" s="245">
        <v>13.05</v>
      </c>
      <c r="G109" s="387">
        <v>55.97</v>
      </c>
      <c r="H109" s="444"/>
      <c r="I109" s="444"/>
      <c r="J109" s="443"/>
      <c r="K109" s="444"/>
      <c r="L109" s="444"/>
      <c r="M109" s="444"/>
      <c r="N109" s="387"/>
      <c r="O109" s="444">
        <f>'MEMORIAL DE CALCULO 08'!K436</f>
        <v>55.97</v>
      </c>
      <c r="P109" s="444"/>
      <c r="Q109" s="444"/>
      <c r="R109" s="444">
        <v>0</v>
      </c>
      <c r="S109" s="444">
        <f>VLOOKUP(B109,'MEMÓRIA MEDIÇÃO 12'!$A$7:$F$202,6,FALSE)</f>
        <v>0</v>
      </c>
      <c r="T109" s="387">
        <f t="shared" si="37"/>
        <v>55.97</v>
      </c>
      <c r="U109" s="387">
        <f t="shared" si="48"/>
        <v>0</v>
      </c>
      <c r="V109" s="387">
        <f t="shared" si="49"/>
        <v>730.4085</v>
      </c>
      <c r="W109" s="346">
        <f t="shared" si="33"/>
        <v>0</v>
      </c>
      <c r="X109" s="346">
        <f t="shared" si="34"/>
        <v>0</v>
      </c>
      <c r="Y109" s="346">
        <f t="shared" si="50"/>
        <v>0</v>
      </c>
      <c r="Z109" s="346">
        <f t="shared" si="35"/>
        <v>0</v>
      </c>
      <c r="AA109" s="346">
        <f t="shared" si="36"/>
        <v>0</v>
      </c>
      <c r="AB109" s="346">
        <f t="shared" si="51"/>
        <v>0</v>
      </c>
      <c r="AC109" s="346">
        <f t="shared" si="38"/>
        <v>0</v>
      </c>
      <c r="AD109" s="346">
        <f t="shared" si="39"/>
        <v>730.4</v>
      </c>
      <c r="AE109" s="346">
        <f t="shared" si="40"/>
        <v>0</v>
      </c>
      <c r="AF109" s="346">
        <f t="shared" si="41"/>
        <v>0</v>
      </c>
      <c r="AG109" s="346">
        <f t="shared" si="42"/>
        <v>0</v>
      </c>
      <c r="AH109" s="346">
        <f t="shared" si="43"/>
        <v>0</v>
      </c>
      <c r="AI109" s="445">
        <f t="shared" si="44"/>
        <v>730.4</v>
      </c>
      <c r="AJ109" s="446">
        <f t="shared" si="45"/>
        <v>8.5000000000263753E-3</v>
      </c>
    </row>
    <row r="110" spans="2:36" s="167" customFormat="1" ht="33.75" x14ac:dyDescent="0.25">
      <c r="B110" s="384" t="s">
        <v>290</v>
      </c>
      <c r="C110" s="385">
        <v>91867</v>
      </c>
      <c r="D110" s="386" t="s">
        <v>292</v>
      </c>
      <c r="E110" s="245" t="s">
        <v>37</v>
      </c>
      <c r="F110" s="245">
        <v>9.18</v>
      </c>
      <c r="G110" s="387">
        <v>36.19</v>
      </c>
      <c r="H110" s="444"/>
      <c r="I110" s="444"/>
      <c r="J110" s="443"/>
      <c r="K110" s="444"/>
      <c r="L110" s="444"/>
      <c r="M110" s="444"/>
      <c r="N110" s="387"/>
      <c r="O110" s="444">
        <f>'MEMORIAL DE CALCULO 08'!K438</f>
        <v>36.19</v>
      </c>
      <c r="P110" s="444"/>
      <c r="Q110" s="444"/>
      <c r="R110" s="444">
        <v>0</v>
      </c>
      <c r="S110" s="444">
        <f>VLOOKUP(B110,'MEMÓRIA MEDIÇÃO 12'!$A$7:$F$202,6,FALSE)</f>
        <v>0</v>
      </c>
      <c r="T110" s="387">
        <f t="shared" si="37"/>
        <v>36.19</v>
      </c>
      <c r="U110" s="387">
        <f t="shared" si="48"/>
        <v>0</v>
      </c>
      <c r="V110" s="387">
        <f t="shared" si="49"/>
        <v>332.2242</v>
      </c>
      <c r="W110" s="346">
        <f t="shared" ref="W110:W141" si="52">F110*H110</f>
        <v>0</v>
      </c>
      <c r="X110" s="346">
        <f t="shared" ref="X110:X141" si="53">F110*I110</f>
        <v>0</v>
      </c>
      <c r="Y110" s="346">
        <f t="shared" si="50"/>
        <v>0</v>
      </c>
      <c r="Z110" s="346">
        <f t="shared" ref="Z110:Z141" si="54">TRUNC(F110*K110,2)</f>
        <v>0</v>
      </c>
      <c r="AA110" s="346">
        <f t="shared" ref="AA110:AA141" si="55">TRUNC(F110*L110,2)</f>
        <v>0</v>
      </c>
      <c r="AB110" s="346">
        <f t="shared" si="51"/>
        <v>0</v>
      </c>
      <c r="AC110" s="346">
        <f t="shared" si="38"/>
        <v>0</v>
      </c>
      <c r="AD110" s="346">
        <f t="shared" si="39"/>
        <v>332.22</v>
      </c>
      <c r="AE110" s="346">
        <f t="shared" si="40"/>
        <v>0</v>
      </c>
      <c r="AF110" s="346">
        <f t="shared" si="41"/>
        <v>0</v>
      </c>
      <c r="AG110" s="346">
        <f t="shared" si="42"/>
        <v>0</v>
      </c>
      <c r="AH110" s="346">
        <f t="shared" si="43"/>
        <v>0</v>
      </c>
      <c r="AI110" s="445">
        <f t="shared" si="44"/>
        <v>332.22</v>
      </c>
      <c r="AJ110" s="446">
        <f t="shared" si="45"/>
        <v>4.1999999999688953E-3</v>
      </c>
    </row>
    <row r="111" spans="2:36" s="167" customFormat="1" ht="22.5" x14ac:dyDescent="0.25">
      <c r="B111" s="384" t="s">
        <v>293</v>
      </c>
      <c r="C111" s="385">
        <v>101654</v>
      </c>
      <c r="D111" s="386" t="s">
        <v>295</v>
      </c>
      <c r="E111" s="245" t="s">
        <v>166</v>
      </c>
      <c r="F111" s="245">
        <v>289.93</v>
      </c>
      <c r="G111" s="387">
        <v>15</v>
      </c>
      <c r="H111" s="444"/>
      <c r="I111" s="444"/>
      <c r="J111" s="443"/>
      <c r="K111" s="444"/>
      <c r="L111" s="444"/>
      <c r="M111" s="444"/>
      <c r="N111" s="387"/>
      <c r="O111" s="387"/>
      <c r="P111" s="444"/>
      <c r="Q111" s="444"/>
      <c r="R111" s="444">
        <v>0</v>
      </c>
      <c r="S111" s="444">
        <f>VLOOKUP(B111,'MEMÓRIA MEDIÇÃO 12'!$A$7:$F$202,6,FALSE)</f>
        <v>0</v>
      </c>
      <c r="T111" s="387">
        <f t="shared" si="37"/>
        <v>0</v>
      </c>
      <c r="U111" s="387">
        <f t="shared" si="48"/>
        <v>15</v>
      </c>
      <c r="V111" s="387">
        <f t="shared" si="49"/>
        <v>4348.95</v>
      </c>
      <c r="W111" s="346">
        <f t="shared" si="52"/>
        <v>0</v>
      </c>
      <c r="X111" s="346">
        <f t="shared" si="53"/>
        <v>0</v>
      </c>
      <c r="Y111" s="346">
        <f t="shared" si="50"/>
        <v>0</v>
      </c>
      <c r="Z111" s="346">
        <f t="shared" si="54"/>
        <v>0</v>
      </c>
      <c r="AA111" s="346">
        <f t="shared" si="55"/>
        <v>0</v>
      </c>
      <c r="AB111" s="346">
        <f t="shared" si="51"/>
        <v>0</v>
      </c>
      <c r="AC111" s="346">
        <f t="shared" ref="AC111:AC142" si="56">F111*N111</f>
        <v>0</v>
      </c>
      <c r="AD111" s="346">
        <f t="shared" si="39"/>
        <v>0</v>
      </c>
      <c r="AE111" s="346">
        <f t="shared" si="40"/>
        <v>0</v>
      </c>
      <c r="AF111" s="346">
        <f t="shared" si="41"/>
        <v>0</v>
      </c>
      <c r="AG111" s="346">
        <f t="shared" si="42"/>
        <v>0</v>
      </c>
      <c r="AH111" s="346">
        <f t="shared" si="43"/>
        <v>0</v>
      </c>
      <c r="AI111" s="445">
        <f t="shared" si="44"/>
        <v>0</v>
      </c>
      <c r="AJ111" s="446">
        <f t="shared" si="45"/>
        <v>4348.95</v>
      </c>
    </row>
    <row r="112" spans="2:36" s="167" customFormat="1" ht="22.5" x14ac:dyDescent="0.25">
      <c r="B112" s="384" t="s">
        <v>296</v>
      </c>
      <c r="C112" s="385">
        <v>103782</v>
      </c>
      <c r="D112" s="386" t="s">
        <v>298</v>
      </c>
      <c r="E112" s="245" t="s">
        <v>166</v>
      </c>
      <c r="F112" s="245">
        <v>33.380000000000003</v>
      </c>
      <c r="G112" s="387">
        <v>76</v>
      </c>
      <c r="H112" s="444"/>
      <c r="I112" s="444"/>
      <c r="J112" s="443"/>
      <c r="K112" s="444"/>
      <c r="L112" s="444"/>
      <c r="M112" s="444"/>
      <c r="N112" s="387"/>
      <c r="O112" s="387"/>
      <c r="P112" s="444"/>
      <c r="Q112" s="444"/>
      <c r="R112" s="444">
        <v>0</v>
      </c>
      <c r="S112" s="444">
        <f>VLOOKUP(B112,'MEMÓRIA MEDIÇÃO 12'!$A$7:$F$202,6,FALSE)</f>
        <v>0</v>
      </c>
      <c r="T112" s="387">
        <f t="shared" si="37"/>
        <v>0</v>
      </c>
      <c r="U112" s="387">
        <f t="shared" si="48"/>
        <v>76</v>
      </c>
      <c r="V112" s="387">
        <f t="shared" si="49"/>
        <v>2536.88</v>
      </c>
      <c r="W112" s="346">
        <f t="shared" si="52"/>
        <v>0</v>
      </c>
      <c r="X112" s="346">
        <f t="shared" si="53"/>
        <v>0</v>
      </c>
      <c r="Y112" s="346">
        <f t="shared" si="50"/>
        <v>0</v>
      </c>
      <c r="Z112" s="346">
        <f t="shared" si="54"/>
        <v>0</v>
      </c>
      <c r="AA112" s="346">
        <f t="shared" si="55"/>
        <v>0</v>
      </c>
      <c r="AB112" s="346">
        <f t="shared" si="51"/>
        <v>0</v>
      </c>
      <c r="AC112" s="346">
        <f t="shared" si="56"/>
        <v>0</v>
      </c>
      <c r="AD112" s="346">
        <f t="shared" si="39"/>
        <v>0</v>
      </c>
      <c r="AE112" s="346">
        <f t="shared" si="40"/>
        <v>0</v>
      </c>
      <c r="AF112" s="346">
        <f t="shared" si="41"/>
        <v>0</v>
      </c>
      <c r="AG112" s="346">
        <f t="shared" si="42"/>
        <v>0</v>
      </c>
      <c r="AH112" s="346">
        <f t="shared" si="43"/>
        <v>0</v>
      </c>
      <c r="AI112" s="445">
        <f t="shared" si="44"/>
        <v>0</v>
      </c>
      <c r="AJ112" s="446">
        <f t="shared" si="45"/>
        <v>2536.88</v>
      </c>
    </row>
    <row r="113" spans="2:36" s="167" customFormat="1" ht="33.75" x14ac:dyDescent="0.25">
      <c r="B113" s="384" t="s">
        <v>299</v>
      </c>
      <c r="C113" s="385">
        <v>101509</v>
      </c>
      <c r="D113" s="386" t="s">
        <v>301</v>
      </c>
      <c r="E113" s="245" t="s">
        <v>166</v>
      </c>
      <c r="F113" s="245">
        <v>1759.39</v>
      </c>
      <c r="G113" s="387">
        <v>1</v>
      </c>
      <c r="H113" s="444"/>
      <c r="I113" s="444"/>
      <c r="J113" s="443"/>
      <c r="K113" s="444"/>
      <c r="L113" s="444"/>
      <c r="M113" s="444"/>
      <c r="N113" s="387"/>
      <c r="O113" s="387"/>
      <c r="P113" s="444"/>
      <c r="Q113" s="444"/>
      <c r="R113" s="444">
        <v>0</v>
      </c>
      <c r="S113" s="444">
        <f>VLOOKUP(B113,'MEMÓRIA MEDIÇÃO 12'!$A$7:$F$202,6,FALSE)</f>
        <v>0</v>
      </c>
      <c r="T113" s="387">
        <f t="shared" si="37"/>
        <v>0</v>
      </c>
      <c r="U113" s="387">
        <f t="shared" si="48"/>
        <v>1</v>
      </c>
      <c r="V113" s="387">
        <f t="shared" si="49"/>
        <v>1759.39</v>
      </c>
      <c r="W113" s="346">
        <f t="shared" si="52"/>
        <v>0</v>
      </c>
      <c r="X113" s="346">
        <f t="shared" si="53"/>
        <v>0</v>
      </c>
      <c r="Y113" s="346">
        <f t="shared" si="50"/>
        <v>0</v>
      </c>
      <c r="Z113" s="346">
        <f t="shared" si="54"/>
        <v>0</v>
      </c>
      <c r="AA113" s="346">
        <f t="shared" si="55"/>
        <v>0</v>
      </c>
      <c r="AB113" s="346">
        <f t="shared" si="51"/>
        <v>0</v>
      </c>
      <c r="AC113" s="346">
        <f t="shared" si="56"/>
        <v>0</v>
      </c>
      <c r="AD113" s="346">
        <f t="shared" si="39"/>
        <v>0</v>
      </c>
      <c r="AE113" s="346">
        <f t="shared" si="40"/>
        <v>0</v>
      </c>
      <c r="AF113" s="346">
        <f t="shared" si="41"/>
        <v>0</v>
      </c>
      <c r="AG113" s="346">
        <f t="shared" si="42"/>
        <v>0</v>
      </c>
      <c r="AH113" s="346">
        <f t="shared" si="43"/>
        <v>0</v>
      </c>
      <c r="AI113" s="445">
        <f t="shared" si="44"/>
        <v>0</v>
      </c>
      <c r="AJ113" s="446">
        <f t="shared" si="45"/>
        <v>1759.39</v>
      </c>
    </row>
    <row r="114" spans="2:36" s="167" customFormat="1" ht="33.75" x14ac:dyDescent="0.25">
      <c r="B114" s="384" t="s">
        <v>302</v>
      </c>
      <c r="C114" s="385">
        <v>5044</v>
      </c>
      <c r="D114" s="386" t="s">
        <v>304</v>
      </c>
      <c r="E114" s="245" t="s">
        <v>166</v>
      </c>
      <c r="F114" s="245">
        <v>924.88</v>
      </c>
      <c r="G114" s="387">
        <v>1</v>
      </c>
      <c r="H114" s="444"/>
      <c r="I114" s="444"/>
      <c r="J114" s="443"/>
      <c r="K114" s="444"/>
      <c r="L114" s="444"/>
      <c r="M114" s="444"/>
      <c r="N114" s="387"/>
      <c r="O114" s="387"/>
      <c r="P114" s="444"/>
      <c r="Q114" s="444"/>
      <c r="R114" s="444">
        <v>0</v>
      </c>
      <c r="S114" s="444">
        <f>VLOOKUP(B114,'MEMÓRIA MEDIÇÃO 12'!$A$7:$F$202,6,FALSE)</f>
        <v>0</v>
      </c>
      <c r="T114" s="387">
        <f t="shared" si="37"/>
        <v>0</v>
      </c>
      <c r="U114" s="387">
        <f t="shared" si="48"/>
        <v>1</v>
      </c>
      <c r="V114" s="387">
        <f t="shared" si="49"/>
        <v>924.88</v>
      </c>
      <c r="W114" s="346">
        <f t="shared" si="52"/>
        <v>0</v>
      </c>
      <c r="X114" s="346">
        <f t="shared" si="53"/>
        <v>0</v>
      </c>
      <c r="Y114" s="346">
        <f t="shared" si="50"/>
        <v>0</v>
      </c>
      <c r="Z114" s="346">
        <f t="shared" si="54"/>
        <v>0</v>
      </c>
      <c r="AA114" s="346">
        <f t="shared" si="55"/>
        <v>0</v>
      </c>
      <c r="AB114" s="346">
        <f t="shared" si="51"/>
        <v>0</v>
      </c>
      <c r="AC114" s="346">
        <f t="shared" si="56"/>
        <v>0</v>
      </c>
      <c r="AD114" s="346">
        <f t="shared" si="39"/>
        <v>0</v>
      </c>
      <c r="AE114" s="346">
        <f t="shared" si="40"/>
        <v>0</v>
      </c>
      <c r="AF114" s="346">
        <f t="shared" si="41"/>
        <v>0</v>
      </c>
      <c r="AG114" s="346">
        <f t="shared" si="42"/>
        <v>0</v>
      </c>
      <c r="AH114" s="346">
        <f t="shared" si="43"/>
        <v>0</v>
      </c>
      <c r="AI114" s="445">
        <f t="shared" si="44"/>
        <v>0</v>
      </c>
      <c r="AJ114" s="446">
        <f t="shared" si="45"/>
        <v>924.88</v>
      </c>
    </row>
    <row r="115" spans="2:36" s="167" customFormat="1" ht="45" x14ac:dyDescent="0.25">
      <c r="B115" s="384" t="s">
        <v>305</v>
      </c>
      <c r="C115" s="385">
        <v>101879</v>
      </c>
      <c r="D115" s="386" t="s">
        <v>307</v>
      </c>
      <c r="E115" s="245" t="s">
        <v>166</v>
      </c>
      <c r="F115" s="245">
        <v>555.51</v>
      </c>
      <c r="G115" s="387">
        <v>2</v>
      </c>
      <c r="H115" s="444"/>
      <c r="I115" s="444"/>
      <c r="J115" s="443"/>
      <c r="K115" s="444"/>
      <c r="L115" s="444"/>
      <c r="M115" s="444"/>
      <c r="N115" s="387"/>
      <c r="O115" s="387"/>
      <c r="P115" s="444"/>
      <c r="Q115" s="444"/>
      <c r="R115" s="444">
        <v>0</v>
      </c>
      <c r="S115" s="444">
        <f>VLOOKUP(B115,'MEMÓRIA MEDIÇÃO 12'!$A$7:$F$202,6,FALSE)</f>
        <v>0</v>
      </c>
      <c r="T115" s="387">
        <f t="shared" si="37"/>
        <v>0</v>
      </c>
      <c r="U115" s="387">
        <f t="shared" si="48"/>
        <v>2</v>
      </c>
      <c r="V115" s="387">
        <f t="shared" si="49"/>
        <v>1111.02</v>
      </c>
      <c r="W115" s="346">
        <f t="shared" si="52"/>
        <v>0</v>
      </c>
      <c r="X115" s="346">
        <f t="shared" si="53"/>
        <v>0</v>
      </c>
      <c r="Y115" s="346">
        <f t="shared" si="50"/>
        <v>0</v>
      </c>
      <c r="Z115" s="346">
        <f t="shared" si="54"/>
        <v>0</v>
      </c>
      <c r="AA115" s="346">
        <f t="shared" si="55"/>
        <v>0</v>
      </c>
      <c r="AB115" s="346">
        <f t="shared" si="51"/>
        <v>0</v>
      </c>
      <c r="AC115" s="346">
        <f t="shared" si="56"/>
        <v>0</v>
      </c>
      <c r="AD115" s="346">
        <f t="shared" si="39"/>
        <v>0</v>
      </c>
      <c r="AE115" s="346">
        <f t="shared" si="40"/>
        <v>0</v>
      </c>
      <c r="AF115" s="346">
        <f t="shared" si="41"/>
        <v>0</v>
      </c>
      <c r="AG115" s="346">
        <f t="shared" si="42"/>
        <v>0</v>
      </c>
      <c r="AH115" s="346">
        <f t="shared" si="43"/>
        <v>0</v>
      </c>
      <c r="AI115" s="445">
        <f t="shared" si="44"/>
        <v>0</v>
      </c>
      <c r="AJ115" s="446">
        <f t="shared" si="45"/>
        <v>1111.02</v>
      </c>
    </row>
    <row r="116" spans="2:36" s="167" customFormat="1" ht="33.75" x14ac:dyDescent="0.25">
      <c r="B116" s="384" t="s">
        <v>308</v>
      </c>
      <c r="C116" s="385">
        <v>5044</v>
      </c>
      <c r="D116" s="386" t="s">
        <v>304</v>
      </c>
      <c r="E116" s="245" t="s">
        <v>166</v>
      </c>
      <c r="F116" s="245">
        <v>924.88</v>
      </c>
      <c r="G116" s="387">
        <v>1</v>
      </c>
      <c r="H116" s="444"/>
      <c r="I116" s="444"/>
      <c r="J116" s="443"/>
      <c r="K116" s="444"/>
      <c r="L116" s="444"/>
      <c r="M116" s="444"/>
      <c r="N116" s="387"/>
      <c r="O116" s="387"/>
      <c r="P116" s="444"/>
      <c r="Q116" s="444"/>
      <c r="R116" s="444">
        <v>0</v>
      </c>
      <c r="S116" s="444">
        <f>VLOOKUP(B116,'MEMÓRIA MEDIÇÃO 12'!$A$7:$F$202,6,FALSE)</f>
        <v>0</v>
      </c>
      <c r="T116" s="387">
        <f t="shared" si="37"/>
        <v>0</v>
      </c>
      <c r="U116" s="387">
        <f t="shared" si="48"/>
        <v>1</v>
      </c>
      <c r="V116" s="387">
        <f t="shared" si="49"/>
        <v>924.88</v>
      </c>
      <c r="W116" s="346">
        <f t="shared" si="52"/>
        <v>0</v>
      </c>
      <c r="X116" s="346">
        <f t="shared" si="53"/>
        <v>0</v>
      </c>
      <c r="Y116" s="346">
        <f t="shared" si="50"/>
        <v>0</v>
      </c>
      <c r="Z116" s="346">
        <f t="shared" si="54"/>
        <v>0</v>
      </c>
      <c r="AA116" s="346">
        <f t="shared" si="55"/>
        <v>0</v>
      </c>
      <c r="AB116" s="346">
        <f t="shared" si="51"/>
        <v>0</v>
      </c>
      <c r="AC116" s="346">
        <f t="shared" si="56"/>
        <v>0</v>
      </c>
      <c r="AD116" s="346">
        <f t="shared" si="39"/>
        <v>0</v>
      </c>
      <c r="AE116" s="346">
        <f t="shared" si="40"/>
        <v>0</v>
      </c>
      <c r="AF116" s="346">
        <f t="shared" si="41"/>
        <v>0</v>
      </c>
      <c r="AG116" s="346">
        <f t="shared" si="42"/>
        <v>0</v>
      </c>
      <c r="AH116" s="346">
        <f t="shared" si="43"/>
        <v>0</v>
      </c>
      <c r="AI116" s="445">
        <f t="shared" si="44"/>
        <v>0</v>
      </c>
      <c r="AJ116" s="446">
        <f t="shared" si="45"/>
        <v>924.88</v>
      </c>
    </row>
    <row r="117" spans="2:36" s="167" customFormat="1" ht="33.75" x14ac:dyDescent="0.25">
      <c r="B117" s="384" t="s">
        <v>309</v>
      </c>
      <c r="C117" s="385">
        <v>92023</v>
      </c>
      <c r="D117" s="386" t="s">
        <v>311</v>
      </c>
      <c r="E117" s="245" t="s">
        <v>166</v>
      </c>
      <c r="F117" s="245">
        <v>43.88</v>
      </c>
      <c r="G117" s="387">
        <v>5</v>
      </c>
      <c r="H117" s="444"/>
      <c r="I117" s="444"/>
      <c r="J117" s="443"/>
      <c r="K117" s="444"/>
      <c r="L117" s="444"/>
      <c r="M117" s="444"/>
      <c r="N117" s="387"/>
      <c r="O117" s="387"/>
      <c r="P117" s="444"/>
      <c r="Q117" s="444"/>
      <c r="R117" s="444">
        <v>0</v>
      </c>
      <c r="S117" s="444">
        <f>VLOOKUP(B117,'MEMÓRIA MEDIÇÃO 12'!$A$7:$F$202,6,FALSE)</f>
        <v>0</v>
      </c>
      <c r="T117" s="387">
        <f t="shared" si="37"/>
        <v>0</v>
      </c>
      <c r="U117" s="387">
        <f t="shared" si="48"/>
        <v>5</v>
      </c>
      <c r="V117" s="387">
        <f t="shared" si="49"/>
        <v>219.4</v>
      </c>
      <c r="W117" s="346">
        <f t="shared" si="52"/>
        <v>0</v>
      </c>
      <c r="X117" s="346">
        <f t="shared" si="53"/>
        <v>0</v>
      </c>
      <c r="Y117" s="346">
        <f t="shared" si="50"/>
        <v>0</v>
      </c>
      <c r="Z117" s="346">
        <f t="shared" si="54"/>
        <v>0</v>
      </c>
      <c r="AA117" s="346">
        <f t="shared" si="55"/>
        <v>0</v>
      </c>
      <c r="AB117" s="346">
        <f t="shared" si="51"/>
        <v>0</v>
      </c>
      <c r="AC117" s="346">
        <f t="shared" si="56"/>
        <v>0</v>
      </c>
      <c r="AD117" s="346">
        <f t="shared" si="39"/>
        <v>0</v>
      </c>
      <c r="AE117" s="346">
        <f t="shared" si="40"/>
        <v>0</v>
      </c>
      <c r="AF117" s="346">
        <f t="shared" si="41"/>
        <v>0</v>
      </c>
      <c r="AG117" s="346">
        <f t="shared" si="42"/>
        <v>0</v>
      </c>
      <c r="AH117" s="346">
        <f t="shared" si="43"/>
        <v>0</v>
      </c>
      <c r="AI117" s="445">
        <f t="shared" si="44"/>
        <v>0</v>
      </c>
      <c r="AJ117" s="446">
        <f t="shared" si="45"/>
        <v>219.4</v>
      </c>
    </row>
    <row r="118" spans="2:36" s="167" customFormat="1" x14ac:dyDescent="0.25">
      <c r="B118" s="347" t="s">
        <v>312</v>
      </c>
      <c r="C118" s="349" t="s">
        <v>313</v>
      </c>
      <c r="D118" s="386"/>
      <c r="E118" s="245"/>
      <c r="F118" s="245"/>
      <c r="G118" s="387"/>
      <c r="H118" s="444"/>
      <c r="I118" s="444"/>
      <c r="J118" s="443"/>
      <c r="K118" s="444"/>
      <c r="L118" s="444"/>
      <c r="M118" s="444"/>
      <c r="N118" s="387"/>
      <c r="O118" s="387"/>
      <c r="P118" s="444"/>
      <c r="Q118" s="444"/>
      <c r="R118" s="444">
        <v>0</v>
      </c>
      <c r="S118" s="444">
        <f>VLOOKUP(B118,'MEMÓRIA MEDIÇÃO 12'!$A$7:$F$202,6,FALSE)</f>
        <v>0</v>
      </c>
      <c r="T118" s="387">
        <f t="shared" si="37"/>
        <v>0</v>
      </c>
      <c r="U118" s="387"/>
      <c r="V118" s="387"/>
      <c r="W118" s="346">
        <f t="shared" si="52"/>
        <v>0</v>
      </c>
      <c r="X118" s="346">
        <f t="shared" si="53"/>
        <v>0</v>
      </c>
      <c r="Y118" s="346">
        <f t="shared" si="50"/>
        <v>0</v>
      </c>
      <c r="Z118" s="346">
        <f t="shared" si="54"/>
        <v>0</v>
      </c>
      <c r="AA118" s="346">
        <f t="shared" si="55"/>
        <v>0</v>
      </c>
      <c r="AB118" s="346">
        <f t="shared" si="51"/>
        <v>0</v>
      </c>
      <c r="AC118" s="346">
        <f t="shared" si="56"/>
        <v>0</v>
      </c>
      <c r="AD118" s="346">
        <f t="shared" si="39"/>
        <v>0</v>
      </c>
      <c r="AE118" s="346">
        <f t="shared" si="40"/>
        <v>0</v>
      </c>
      <c r="AF118" s="346">
        <f t="shared" si="41"/>
        <v>0</v>
      </c>
      <c r="AG118" s="346">
        <f t="shared" si="42"/>
        <v>0</v>
      </c>
      <c r="AH118" s="346">
        <f t="shared" si="43"/>
        <v>0</v>
      </c>
      <c r="AI118" s="445">
        <f t="shared" si="44"/>
        <v>0</v>
      </c>
      <c r="AJ118" s="446">
        <f t="shared" si="45"/>
        <v>0</v>
      </c>
    </row>
    <row r="119" spans="2:36" s="167" customFormat="1" ht="22.5" x14ac:dyDescent="0.25">
      <c r="B119" s="384" t="s">
        <v>314</v>
      </c>
      <c r="C119" s="385">
        <v>96620</v>
      </c>
      <c r="D119" s="386" t="s">
        <v>316</v>
      </c>
      <c r="E119" s="277" t="s">
        <v>41</v>
      </c>
      <c r="F119" s="245">
        <v>593.44000000000005</v>
      </c>
      <c r="G119" s="387">
        <v>35.340000000000003</v>
      </c>
      <c r="H119" s="444"/>
      <c r="I119" s="444"/>
      <c r="J119" s="443"/>
      <c r="K119" s="444"/>
      <c r="L119" s="444"/>
      <c r="M119" s="444"/>
      <c r="N119" s="444">
        <v>10.199999999999999</v>
      </c>
      <c r="O119" s="444">
        <f>'MEMORIAL DE CALCULO 08'!K441</f>
        <v>21.53</v>
      </c>
      <c r="P119" s="444"/>
      <c r="Q119" s="444"/>
      <c r="R119" s="444">
        <v>0</v>
      </c>
      <c r="S119" s="444">
        <f>VLOOKUP(B119,'MEMÓRIA MEDIÇÃO 12'!$A$7:$F$202,6,FALSE)</f>
        <v>0</v>
      </c>
      <c r="T119" s="387">
        <f t="shared" si="37"/>
        <v>31.73</v>
      </c>
      <c r="U119" s="387">
        <f t="shared" ref="U119:U126" si="57">G119-T119</f>
        <v>3.610000000000003</v>
      </c>
      <c r="V119" s="387">
        <f t="shared" ref="V119:V126" si="58">F119*G119</f>
        <v>20972.169600000005</v>
      </c>
      <c r="W119" s="346">
        <f t="shared" si="52"/>
        <v>0</v>
      </c>
      <c r="X119" s="346">
        <f t="shared" si="53"/>
        <v>0</v>
      </c>
      <c r="Y119" s="346">
        <f t="shared" si="50"/>
        <v>0</v>
      </c>
      <c r="Z119" s="346">
        <f t="shared" si="54"/>
        <v>0</v>
      </c>
      <c r="AA119" s="346">
        <f t="shared" si="55"/>
        <v>0</v>
      </c>
      <c r="AB119" s="346">
        <f t="shared" si="51"/>
        <v>0</v>
      </c>
      <c r="AC119" s="346">
        <f t="shared" si="56"/>
        <v>6053.0879999999997</v>
      </c>
      <c r="AD119" s="346">
        <f t="shared" si="39"/>
        <v>12776.76</v>
      </c>
      <c r="AE119" s="346">
        <f t="shared" si="40"/>
        <v>0</v>
      </c>
      <c r="AF119" s="346">
        <f t="shared" si="41"/>
        <v>0</v>
      </c>
      <c r="AG119" s="346">
        <f t="shared" si="42"/>
        <v>0</v>
      </c>
      <c r="AH119" s="346">
        <f t="shared" si="43"/>
        <v>0</v>
      </c>
      <c r="AI119" s="445">
        <f t="shared" si="44"/>
        <v>18829.847999999998</v>
      </c>
      <c r="AJ119" s="446">
        <f t="shared" si="45"/>
        <v>2142.3216000000066</v>
      </c>
    </row>
    <row r="120" spans="2:36" s="167" customFormat="1" ht="67.5" x14ac:dyDescent="0.25">
      <c r="B120" s="384" t="s">
        <v>317</v>
      </c>
      <c r="C120" s="385">
        <v>94439</v>
      </c>
      <c r="D120" s="386" t="s">
        <v>319</v>
      </c>
      <c r="E120" s="277" t="s">
        <v>17</v>
      </c>
      <c r="F120" s="245">
        <v>46.08</v>
      </c>
      <c r="G120" s="387">
        <v>722.78</v>
      </c>
      <c r="H120" s="444"/>
      <c r="I120" s="444"/>
      <c r="J120" s="443"/>
      <c r="K120" s="444"/>
      <c r="L120" s="444"/>
      <c r="M120" s="444"/>
      <c r="N120" s="387"/>
      <c r="O120" s="444">
        <f>'MEMORIAL DE CALCULO 08'!K443</f>
        <v>116.27</v>
      </c>
      <c r="P120" s="444"/>
      <c r="Q120" s="444"/>
      <c r="R120" s="444">
        <v>0</v>
      </c>
      <c r="S120" s="444">
        <f>VLOOKUP(B120,'MEMÓRIA MEDIÇÃO 12'!$A$7:$F$202,6,FALSE)</f>
        <v>480.73</v>
      </c>
      <c r="T120" s="387">
        <f t="shared" si="37"/>
        <v>597</v>
      </c>
      <c r="U120" s="387">
        <f t="shared" si="57"/>
        <v>125.77999999999997</v>
      </c>
      <c r="V120" s="387">
        <f t="shared" si="58"/>
        <v>33305.702399999995</v>
      </c>
      <c r="W120" s="346">
        <f t="shared" si="52"/>
        <v>0</v>
      </c>
      <c r="X120" s="346">
        <f t="shared" si="53"/>
        <v>0</v>
      </c>
      <c r="Y120" s="346">
        <f t="shared" si="50"/>
        <v>0</v>
      </c>
      <c r="Z120" s="346">
        <f t="shared" si="54"/>
        <v>0</v>
      </c>
      <c r="AA120" s="346">
        <f t="shared" si="55"/>
        <v>0</v>
      </c>
      <c r="AB120" s="346">
        <f t="shared" si="51"/>
        <v>0</v>
      </c>
      <c r="AC120" s="346">
        <f t="shared" si="56"/>
        <v>0</v>
      </c>
      <c r="AD120" s="346">
        <f t="shared" si="39"/>
        <v>5357.72</v>
      </c>
      <c r="AE120" s="346">
        <f t="shared" si="40"/>
        <v>0</v>
      </c>
      <c r="AF120" s="346">
        <f t="shared" si="41"/>
        <v>0</v>
      </c>
      <c r="AG120" s="346">
        <f t="shared" si="42"/>
        <v>0</v>
      </c>
      <c r="AH120" s="346">
        <f t="shared" si="43"/>
        <v>22152.04</v>
      </c>
      <c r="AI120" s="445">
        <f t="shared" si="44"/>
        <v>27509.760000000002</v>
      </c>
      <c r="AJ120" s="446">
        <f t="shared" si="45"/>
        <v>5795.9423999999926</v>
      </c>
    </row>
    <row r="121" spans="2:36" s="167" customFormat="1" ht="33.75" x14ac:dyDescent="0.25">
      <c r="B121" s="384" t="s">
        <v>320</v>
      </c>
      <c r="C121" s="385">
        <v>87257</v>
      </c>
      <c r="D121" s="386" t="s">
        <v>322</v>
      </c>
      <c r="E121" s="277" t="s">
        <v>17</v>
      </c>
      <c r="F121" s="245">
        <v>95.14</v>
      </c>
      <c r="G121" s="387">
        <v>634.5</v>
      </c>
      <c r="H121" s="444"/>
      <c r="I121" s="444"/>
      <c r="J121" s="443"/>
      <c r="K121" s="444"/>
      <c r="L121" s="444"/>
      <c r="M121" s="444"/>
      <c r="N121" s="387"/>
      <c r="O121" s="387"/>
      <c r="P121" s="444"/>
      <c r="Q121" s="444"/>
      <c r="R121" s="444">
        <v>0</v>
      </c>
      <c r="S121" s="444">
        <f>VLOOKUP(B121,'MEMÓRIA MEDIÇÃO 12'!$A$7:$F$202,6,FALSE)</f>
        <v>0</v>
      </c>
      <c r="T121" s="387">
        <f t="shared" si="37"/>
        <v>0</v>
      </c>
      <c r="U121" s="387">
        <f t="shared" si="57"/>
        <v>634.5</v>
      </c>
      <c r="V121" s="387">
        <f t="shared" si="58"/>
        <v>60366.33</v>
      </c>
      <c r="W121" s="346">
        <f t="shared" si="52"/>
        <v>0</v>
      </c>
      <c r="X121" s="346">
        <f t="shared" si="53"/>
        <v>0</v>
      </c>
      <c r="Y121" s="346">
        <f t="shared" si="50"/>
        <v>0</v>
      </c>
      <c r="Z121" s="346">
        <f t="shared" si="54"/>
        <v>0</v>
      </c>
      <c r="AA121" s="346">
        <f t="shared" si="55"/>
        <v>0</v>
      </c>
      <c r="AB121" s="346">
        <f t="shared" si="51"/>
        <v>0</v>
      </c>
      <c r="AC121" s="346">
        <f t="shared" si="56"/>
        <v>0</v>
      </c>
      <c r="AD121" s="346">
        <f t="shared" si="39"/>
        <v>0</v>
      </c>
      <c r="AE121" s="346">
        <f t="shared" si="40"/>
        <v>0</v>
      </c>
      <c r="AF121" s="346">
        <f t="shared" si="41"/>
        <v>0</v>
      </c>
      <c r="AG121" s="346">
        <f t="shared" si="42"/>
        <v>0</v>
      </c>
      <c r="AH121" s="346">
        <f t="shared" si="43"/>
        <v>0</v>
      </c>
      <c r="AI121" s="445">
        <f t="shared" si="44"/>
        <v>0</v>
      </c>
      <c r="AJ121" s="446">
        <f t="shared" si="45"/>
        <v>60366.33</v>
      </c>
    </row>
    <row r="122" spans="2:36" s="167" customFormat="1" ht="33.75" x14ac:dyDescent="0.25">
      <c r="B122" s="384" t="s">
        <v>323</v>
      </c>
      <c r="C122" s="385">
        <v>92403</v>
      </c>
      <c r="D122" s="386" t="s">
        <v>325</v>
      </c>
      <c r="E122" s="277" t="s">
        <v>17</v>
      </c>
      <c r="F122" s="245">
        <v>51.12</v>
      </c>
      <c r="G122" s="387">
        <v>371.39499999999902</v>
      </c>
      <c r="H122" s="444"/>
      <c r="I122" s="444"/>
      <c r="J122" s="443"/>
      <c r="K122" s="444"/>
      <c r="L122" s="444"/>
      <c r="M122" s="444"/>
      <c r="N122" s="387"/>
      <c r="O122" s="387"/>
      <c r="P122" s="444"/>
      <c r="Q122" s="444"/>
      <c r="R122" s="444">
        <v>0</v>
      </c>
      <c r="S122" s="444">
        <f>VLOOKUP(B122,'MEMÓRIA MEDIÇÃO 12'!$A$7:$F$202,6,FALSE)</f>
        <v>0</v>
      </c>
      <c r="T122" s="387">
        <f t="shared" si="37"/>
        <v>0</v>
      </c>
      <c r="U122" s="387">
        <f t="shared" si="57"/>
        <v>371.39499999999902</v>
      </c>
      <c r="V122" s="387">
        <f t="shared" si="58"/>
        <v>18985.712399999949</v>
      </c>
      <c r="W122" s="346">
        <f t="shared" si="52"/>
        <v>0</v>
      </c>
      <c r="X122" s="346">
        <f t="shared" si="53"/>
        <v>0</v>
      </c>
      <c r="Y122" s="346">
        <f t="shared" si="50"/>
        <v>0</v>
      </c>
      <c r="Z122" s="346">
        <f t="shared" si="54"/>
        <v>0</v>
      </c>
      <c r="AA122" s="346">
        <f t="shared" si="55"/>
        <v>0</v>
      </c>
      <c r="AB122" s="346">
        <f t="shared" si="51"/>
        <v>0</v>
      </c>
      <c r="AC122" s="346">
        <f t="shared" si="56"/>
        <v>0</v>
      </c>
      <c r="AD122" s="346">
        <f t="shared" si="39"/>
        <v>0</v>
      </c>
      <c r="AE122" s="346">
        <f t="shared" si="40"/>
        <v>0</v>
      </c>
      <c r="AF122" s="346">
        <f t="shared" si="41"/>
        <v>0</v>
      </c>
      <c r="AG122" s="346">
        <f t="shared" si="42"/>
        <v>0</v>
      </c>
      <c r="AH122" s="346">
        <f t="shared" si="43"/>
        <v>0</v>
      </c>
      <c r="AI122" s="445">
        <f t="shared" si="44"/>
        <v>0</v>
      </c>
      <c r="AJ122" s="446">
        <f t="shared" si="45"/>
        <v>18985.712399999949</v>
      </c>
    </row>
    <row r="123" spans="2:36" s="167" customFormat="1" ht="56.25" x14ac:dyDescent="0.25">
      <c r="B123" s="384" t="s">
        <v>326</v>
      </c>
      <c r="C123" s="385">
        <v>94273</v>
      </c>
      <c r="D123" s="386" t="s">
        <v>328</v>
      </c>
      <c r="E123" s="277" t="s">
        <v>37</v>
      </c>
      <c r="F123" s="245">
        <v>47.25</v>
      </c>
      <c r="G123" s="387">
        <v>126.37</v>
      </c>
      <c r="H123" s="444"/>
      <c r="I123" s="444"/>
      <c r="J123" s="443"/>
      <c r="K123" s="444"/>
      <c r="L123" s="444"/>
      <c r="M123" s="444"/>
      <c r="N123" s="387"/>
      <c r="O123" s="387"/>
      <c r="P123" s="444"/>
      <c r="Q123" s="444"/>
      <c r="R123" s="444">
        <v>59.53</v>
      </c>
      <c r="S123" s="444">
        <f>VLOOKUP(B123,'MEMÓRIA MEDIÇÃO 12'!$A$7:$F$202,6,FALSE)</f>
        <v>0</v>
      </c>
      <c r="T123" s="387">
        <f t="shared" si="37"/>
        <v>59.53</v>
      </c>
      <c r="U123" s="387">
        <f t="shared" si="57"/>
        <v>66.84</v>
      </c>
      <c r="V123" s="387">
        <f t="shared" si="58"/>
        <v>5970.9825000000001</v>
      </c>
      <c r="W123" s="346">
        <f t="shared" si="52"/>
        <v>0</v>
      </c>
      <c r="X123" s="346">
        <f t="shared" si="53"/>
        <v>0</v>
      </c>
      <c r="Y123" s="346">
        <f t="shared" ref="Y123:Y154" si="59">F123*J123</f>
        <v>0</v>
      </c>
      <c r="Z123" s="346">
        <f t="shared" si="54"/>
        <v>0</v>
      </c>
      <c r="AA123" s="346">
        <f t="shared" si="55"/>
        <v>0</v>
      </c>
      <c r="AB123" s="346">
        <f t="shared" si="51"/>
        <v>0</v>
      </c>
      <c r="AC123" s="346">
        <f t="shared" si="56"/>
        <v>0</v>
      </c>
      <c r="AD123" s="346">
        <f t="shared" si="39"/>
        <v>0</v>
      </c>
      <c r="AE123" s="346">
        <f t="shared" si="40"/>
        <v>0</v>
      </c>
      <c r="AF123" s="346">
        <f t="shared" si="41"/>
        <v>0</v>
      </c>
      <c r="AG123" s="346">
        <f t="shared" si="42"/>
        <v>2812.79</v>
      </c>
      <c r="AH123" s="346">
        <f t="shared" si="43"/>
        <v>0</v>
      </c>
      <c r="AI123" s="445">
        <f t="shared" si="44"/>
        <v>2812.79</v>
      </c>
      <c r="AJ123" s="446">
        <f t="shared" si="45"/>
        <v>3158.1925000000001</v>
      </c>
    </row>
    <row r="124" spans="2:36" s="167" customFormat="1" ht="22.5" x14ac:dyDescent="0.25">
      <c r="B124" s="384" t="s">
        <v>329</v>
      </c>
      <c r="C124" s="385">
        <v>368</v>
      </c>
      <c r="D124" s="386" t="s">
        <v>331</v>
      </c>
      <c r="E124" s="277" t="s">
        <v>41</v>
      </c>
      <c r="F124" s="245">
        <v>70.77</v>
      </c>
      <c r="G124" s="387">
        <v>7.46</v>
      </c>
      <c r="H124" s="444"/>
      <c r="I124" s="444"/>
      <c r="J124" s="443"/>
      <c r="K124" s="444"/>
      <c r="L124" s="444"/>
      <c r="M124" s="444"/>
      <c r="N124" s="387"/>
      <c r="O124" s="387"/>
      <c r="P124" s="444"/>
      <c r="Q124" s="444"/>
      <c r="R124" s="444">
        <v>0</v>
      </c>
      <c r="S124" s="444">
        <f>VLOOKUP(B124,'MEMÓRIA MEDIÇÃO 12'!$A$7:$F$202,6,FALSE)</f>
        <v>0</v>
      </c>
      <c r="T124" s="387">
        <f t="shared" si="37"/>
        <v>0</v>
      </c>
      <c r="U124" s="387">
        <f t="shared" si="57"/>
        <v>7.46</v>
      </c>
      <c r="V124" s="387">
        <f t="shared" si="58"/>
        <v>527.94420000000002</v>
      </c>
      <c r="W124" s="346">
        <f t="shared" si="52"/>
        <v>0</v>
      </c>
      <c r="X124" s="346">
        <f t="shared" si="53"/>
        <v>0</v>
      </c>
      <c r="Y124" s="346">
        <f t="shared" si="59"/>
        <v>0</v>
      </c>
      <c r="Z124" s="346">
        <f t="shared" si="54"/>
        <v>0</v>
      </c>
      <c r="AA124" s="346">
        <f t="shared" si="55"/>
        <v>0</v>
      </c>
      <c r="AB124" s="346">
        <f t="shared" si="51"/>
        <v>0</v>
      </c>
      <c r="AC124" s="346">
        <f t="shared" si="56"/>
        <v>0</v>
      </c>
      <c r="AD124" s="346">
        <f t="shared" si="39"/>
        <v>0</v>
      </c>
      <c r="AE124" s="346">
        <f t="shared" si="40"/>
        <v>0</v>
      </c>
      <c r="AF124" s="346">
        <f t="shared" si="41"/>
        <v>0</v>
      </c>
      <c r="AG124" s="346">
        <f t="shared" si="42"/>
        <v>0</v>
      </c>
      <c r="AH124" s="346">
        <f t="shared" si="43"/>
        <v>0</v>
      </c>
      <c r="AI124" s="445">
        <f t="shared" si="44"/>
        <v>0</v>
      </c>
      <c r="AJ124" s="446">
        <f t="shared" si="45"/>
        <v>527.94420000000002</v>
      </c>
    </row>
    <row r="125" spans="2:36" s="167" customFormat="1" x14ac:dyDescent="0.25">
      <c r="B125" s="384" t="s">
        <v>332</v>
      </c>
      <c r="C125" s="385">
        <v>98504</v>
      </c>
      <c r="D125" s="386" t="s">
        <v>334</v>
      </c>
      <c r="E125" s="277" t="s">
        <v>17</v>
      </c>
      <c r="F125" s="245">
        <v>15.87</v>
      </c>
      <c r="G125" s="387">
        <v>25.6</v>
      </c>
      <c r="H125" s="444"/>
      <c r="I125" s="444"/>
      <c r="J125" s="443"/>
      <c r="K125" s="444"/>
      <c r="L125" s="444"/>
      <c r="M125" s="444"/>
      <c r="N125" s="387"/>
      <c r="O125" s="387"/>
      <c r="P125" s="444"/>
      <c r="Q125" s="444"/>
      <c r="R125" s="444">
        <v>0</v>
      </c>
      <c r="S125" s="444">
        <f>VLOOKUP(B125,'MEMÓRIA MEDIÇÃO 12'!$A$7:$F$202,6,FALSE)</f>
        <v>0</v>
      </c>
      <c r="T125" s="387">
        <f t="shared" si="37"/>
        <v>0</v>
      </c>
      <c r="U125" s="387">
        <f t="shared" si="57"/>
        <v>25.6</v>
      </c>
      <c r="V125" s="387">
        <f t="shared" si="58"/>
        <v>406.27199999999999</v>
      </c>
      <c r="W125" s="346">
        <f t="shared" si="52"/>
        <v>0</v>
      </c>
      <c r="X125" s="346">
        <f t="shared" si="53"/>
        <v>0</v>
      </c>
      <c r="Y125" s="346">
        <f t="shared" si="59"/>
        <v>0</v>
      </c>
      <c r="Z125" s="346">
        <f t="shared" si="54"/>
        <v>0</v>
      </c>
      <c r="AA125" s="346">
        <f t="shared" si="55"/>
        <v>0</v>
      </c>
      <c r="AB125" s="346">
        <f t="shared" si="51"/>
        <v>0</v>
      </c>
      <c r="AC125" s="346">
        <f t="shared" si="56"/>
        <v>0</v>
      </c>
      <c r="AD125" s="346">
        <f t="shared" si="39"/>
        <v>0</v>
      </c>
      <c r="AE125" s="346">
        <f t="shared" si="40"/>
        <v>0</v>
      </c>
      <c r="AF125" s="346">
        <f t="shared" si="41"/>
        <v>0</v>
      </c>
      <c r="AG125" s="346">
        <f t="shared" si="42"/>
        <v>0</v>
      </c>
      <c r="AH125" s="346">
        <f t="shared" si="43"/>
        <v>0</v>
      </c>
      <c r="AI125" s="445">
        <f t="shared" si="44"/>
        <v>0</v>
      </c>
      <c r="AJ125" s="446">
        <f t="shared" si="45"/>
        <v>406.27199999999999</v>
      </c>
    </row>
    <row r="126" spans="2:36" s="167" customFormat="1" ht="22.5" x14ac:dyDescent="0.25">
      <c r="B126" s="384" t="s">
        <v>335</v>
      </c>
      <c r="C126" s="385">
        <v>103913</v>
      </c>
      <c r="D126" s="386" t="s">
        <v>337</v>
      </c>
      <c r="E126" s="277" t="s">
        <v>17</v>
      </c>
      <c r="F126" s="245">
        <v>117.96</v>
      </c>
      <c r="G126" s="387">
        <v>39.6</v>
      </c>
      <c r="H126" s="444"/>
      <c r="I126" s="444"/>
      <c r="J126" s="443"/>
      <c r="K126" s="444"/>
      <c r="L126" s="444"/>
      <c r="M126" s="444"/>
      <c r="N126" s="387"/>
      <c r="O126" s="387"/>
      <c r="P126" s="444"/>
      <c r="Q126" s="444"/>
      <c r="R126" s="444">
        <v>0</v>
      </c>
      <c r="S126" s="444">
        <f>VLOOKUP(B126,'MEMÓRIA MEDIÇÃO 12'!$A$7:$F$202,6,FALSE)</f>
        <v>0</v>
      </c>
      <c r="T126" s="387">
        <f t="shared" si="37"/>
        <v>0</v>
      </c>
      <c r="U126" s="387">
        <f t="shared" si="57"/>
        <v>39.6</v>
      </c>
      <c r="V126" s="387">
        <f t="shared" si="58"/>
        <v>4671.2160000000003</v>
      </c>
      <c r="W126" s="346">
        <f t="shared" si="52"/>
        <v>0</v>
      </c>
      <c r="X126" s="346">
        <f t="shared" si="53"/>
        <v>0</v>
      </c>
      <c r="Y126" s="346">
        <f t="shared" si="59"/>
        <v>0</v>
      </c>
      <c r="Z126" s="346">
        <f t="shared" si="54"/>
        <v>0</v>
      </c>
      <c r="AA126" s="346">
        <f t="shared" si="55"/>
        <v>0</v>
      </c>
      <c r="AB126" s="346">
        <f t="shared" si="51"/>
        <v>0</v>
      </c>
      <c r="AC126" s="346">
        <f t="shared" si="56"/>
        <v>0</v>
      </c>
      <c r="AD126" s="346">
        <f t="shared" si="39"/>
        <v>0</v>
      </c>
      <c r="AE126" s="346">
        <f t="shared" si="40"/>
        <v>0</v>
      </c>
      <c r="AF126" s="346">
        <f t="shared" si="41"/>
        <v>0</v>
      </c>
      <c r="AG126" s="346">
        <f t="shared" si="42"/>
        <v>0</v>
      </c>
      <c r="AH126" s="346">
        <f t="shared" si="43"/>
        <v>0</v>
      </c>
      <c r="AI126" s="445">
        <f t="shared" si="44"/>
        <v>0</v>
      </c>
      <c r="AJ126" s="446">
        <f t="shared" si="45"/>
        <v>4671.2160000000003</v>
      </c>
    </row>
    <row r="127" spans="2:36" s="167" customFormat="1" x14ac:dyDescent="0.25">
      <c r="B127" s="347" t="s">
        <v>338</v>
      </c>
      <c r="C127" s="349" t="s">
        <v>339</v>
      </c>
      <c r="D127" s="386"/>
      <c r="E127" s="277"/>
      <c r="F127" s="245"/>
      <c r="G127" s="387"/>
      <c r="H127" s="444"/>
      <c r="I127" s="444"/>
      <c r="J127" s="443"/>
      <c r="K127" s="444"/>
      <c r="L127" s="444"/>
      <c r="M127" s="444"/>
      <c r="N127" s="387"/>
      <c r="O127" s="387"/>
      <c r="P127" s="444"/>
      <c r="Q127" s="444"/>
      <c r="R127" s="444">
        <v>0</v>
      </c>
      <c r="S127" s="444">
        <f>VLOOKUP(B127,'MEMÓRIA MEDIÇÃO 12'!$A$7:$F$202,6,FALSE)</f>
        <v>0</v>
      </c>
      <c r="T127" s="387">
        <f t="shared" si="37"/>
        <v>0</v>
      </c>
      <c r="U127" s="387"/>
      <c r="V127" s="387"/>
      <c r="W127" s="346">
        <f t="shared" si="52"/>
        <v>0</v>
      </c>
      <c r="X127" s="346">
        <f t="shared" si="53"/>
        <v>0</v>
      </c>
      <c r="Y127" s="346">
        <f t="shared" si="59"/>
        <v>0</v>
      </c>
      <c r="Z127" s="346">
        <f t="shared" si="54"/>
        <v>0</v>
      </c>
      <c r="AA127" s="346">
        <f t="shared" si="55"/>
        <v>0</v>
      </c>
      <c r="AB127" s="346">
        <f t="shared" si="51"/>
        <v>0</v>
      </c>
      <c r="AC127" s="346">
        <f t="shared" si="56"/>
        <v>0</v>
      </c>
      <c r="AD127" s="346">
        <f t="shared" si="39"/>
        <v>0</v>
      </c>
      <c r="AE127" s="346">
        <f t="shared" si="40"/>
        <v>0</v>
      </c>
      <c r="AF127" s="346">
        <f t="shared" si="41"/>
        <v>0</v>
      </c>
      <c r="AG127" s="346">
        <f t="shared" si="42"/>
        <v>0</v>
      </c>
      <c r="AH127" s="346">
        <f t="shared" si="43"/>
        <v>0</v>
      </c>
      <c r="AI127" s="445">
        <f t="shared" si="44"/>
        <v>0</v>
      </c>
      <c r="AJ127" s="446">
        <f t="shared" si="45"/>
        <v>0</v>
      </c>
    </row>
    <row r="128" spans="2:36" s="167" customFormat="1" ht="45" x14ac:dyDescent="0.25">
      <c r="B128" s="384" t="s">
        <v>340</v>
      </c>
      <c r="C128" s="385">
        <v>94207</v>
      </c>
      <c r="D128" s="386" t="s">
        <v>342</v>
      </c>
      <c r="E128" s="277" t="s">
        <v>17</v>
      </c>
      <c r="F128" s="245">
        <v>69.180000000000007</v>
      </c>
      <c r="G128" s="387">
        <v>629.87310000000002</v>
      </c>
      <c r="H128" s="444"/>
      <c r="I128" s="444"/>
      <c r="J128" s="443"/>
      <c r="K128" s="444"/>
      <c r="L128" s="444"/>
      <c r="M128" s="444"/>
      <c r="N128" s="387"/>
      <c r="O128" s="387"/>
      <c r="P128" s="444"/>
      <c r="Q128" s="444"/>
      <c r="R128" s="444">
        <v>471.51</v>
      </c>
      <c r="S128" s="444">
        <f>VLOOKUP(B128,'MEMÓRIA MEDIÇÃO 12'!$A$7:$F$202,6,FALSE)</f>
        <v>0</v>
      </c>
      <c r="T128" s="387">
        <f t="shared" si="37"/>
        <v>471.51</v>
      </c>
      <c r="U128" s="387">
        <f t="shared" ref="U128:U136" si="60">G128-T128</f>
        <v>158.36310000000003</v>
      </c>
      <c r="V128" s="387">
        <f t="shared" ref="V128:V136" si="61">F128*G128</f>
        <v>43574.621058000004</v>
      </c>
      <c r="W128" s="346">
        <f t="shared" si="52"/>
        <v>0</v>
      </c>
      <c r="X128" s="346">
        <f t="shared" si="53"/>
        <v>0</v>
      </c>
      <c r="Y128" s="346">
        <f t="shared" si="59"/>
        <v>0</v>
      </c>
      <c r="Z128" s="346">
        <f t="shared" si="54"/>
        <v>0</v>
      </c>
      <c r="AA128" s="346">
        <f t="shared" si="55"/>
        <v>0</v>
      </c>
      <c r="AB128" s="346">
        <f t="shared" si="51"/>
        <v>0</v>
      </c>
      <c r="AC128" s="346">
        <f t="shared" si="56"/>
        <v>0</v>
      </c>
      <c r="AD128" s="346">
        <f t="shared" si="39"/>
        <v>0</v>
      </c>
      <c r="AE128" s="346">
        <f t="shared" si="40"/>
        <v>0</v>
      </c>
      <c r="AF128" s="346">
        <f t="shared" si="41"/>
        <v>0</v>
      </c>
      <c r="AG128" s="346">
        <f t="shared" si="42"/>
        <v>32619.06</v>
      </c>
      <c r="AH128" s="346">
        <f t="shared" si="43"/>
        <v>0</v>
      </c>
      <c r="AI128" s="445">
        <f t="shared" si="44"/>
        <v>32619.06</v>
      </c>
      <c r="AJ128" s="446">
        <f t="shared" si="45"/>
        <v>10955.561058000003</v>
      </c>
    </row>
    <row r="129" spans="2:36" s="167" customFormat="1" ht="33.75" x14ac:dyDescent="0.25">
      <c r="B129" s="384" t="s">
        <v>343</v>
      </c>
      <c r="C129" s="385">
        <v>98546</v>
      </c>
      <c r="D129" s="386" t="s">
        <v>345</v>
      </c>
      <c r="E129" s="277" t="s">
        <v>17</v>
      </c>
      <c r="F129" s="245">
        <v>109.11</v>
      </c>
      <c r="G129" s="387">
        <v>201.28</v>
      </c>
      <c r="H129" s="444"/>
      <c r="I129" s="444"/>
      <c r="J129" s="443"/>
      <c r="K129" s="444"/>
      <c r="L129" s="444"/>
      <c r="M129" s="444"/>
      <c r="N129" s="387"/>
      <c r="O129" s="387"/>
      <c r="P129" s="444"/>
      <c r="Q129" s="444"/>
      <c r="R129" s="444">
        <v>100.66499999999999</v>
      </c>
      <c r="S129" s="444">
        <f>VLOOKUP(B129,'MEMÓRIA MEDIÇÃO 12'!$A$7:$F$202,6,FALSE)</f>
        <v>44.995999999999995</v>
      </c>
      <c r="T129" s="387">
        <f t="shared" si="37"/>
        <v>145.661</v>
      </c>
      <c r="U129" s="387">
        <f t="shared" si="60"/>
        <v>55.619</v>
      </c>
      <c r="V129" s="387">
        <f t="shared" si="61"/>
        <v>21961.660800000001</v>
      </c>
      <c r="W129" s="346">
        <f t="shared" si="52"/>
        <v>0</v>
      </c>
      <c r="X129" s="346">
        <f t="shared" si="53"/>
        <v>0</v>
      </c>
      <c r="Y129" s="346">
        <f t="shared" si="59"/>
        <v>0</v>
      </c>
      <c r="Z129" s="346">
        <f t="shared" si="54"/>
        <v>0</v>
      </c>
      <c r="AA129" s="346">
        <f t="shared" si="55"/>
        <v>0</v>
      </c>
      <c r="AB129" s="346">
        <f t="shared" si="51"/>
        <v>0</v>
      </c>
      <c r="AC129" s="346">
        <f t="shared" si="56"/>
        <v>0</v>
      </c>
      <c r="AD129" s="346">
        <f t="shared" si="39"/>
        <v>0</v>
      </c>
      <c r="AE129" s="346">
        <f t="shared" si="40"/>
        <v>0</v>
      </c>
      <c r="AF129" s="346">
        <f t="shared" si="41"/>
        <v>0</v>
      </c>
      <c r="AG129" s="346">
        <f t="shared" si="42"/>
        <v>10983.56</v>
      </c>
      <c r="AH129" s="346">
        <f t="shared" si="43"/>
        <v>4909.51</v>
      </c>
      <c r="AI129" s="445">
        <f t="shared" si="44"/>
        <v>15893.07</v>
      </c>
      <c r="AJ129" s="446">
        <f t="shared" si="45"/>
        <v>6068.5908000000018</v>
      </c>
    </row>
    <row r="130" spans="2:36" s="167" customFormat="1" ht="33.75" x14ac:dyDescent="0.25">
      <c r="B130" s="384" t="s">
        <v>346</v>
      </c>
      <c r="C130" s="385">
        <v>98565</v>
      </c>
      <c r="D130" s="386" t="s">
        <v>348</v>
      </c>
      <c r="E130" s="277" t="s">
        <v>17</v>
      </c>
      <c r="F130" s="245">
        <v>46.12</v>
      </c>
      <c r="G130" s="387">
        <v>402.57</v>
      </c>
      <c r="H130" s="444"/>
      <c r="I130" s="444"/>
      <c r="J130" s="443"/>
      <c r="K130" s="444"/>
      <c r="L130" s="444"/>
      <c r="M130" s="444"/>
      <c r="N130" s="387"/>
      <c r="O130" s="387"/>
      <c r="P130" s="444"/>
      <c r="Q130" s="444"/>
      <c r="R130" s="444">
        <v>0</v>
      </c>
      <c r="S130" s="444">
        <f>VLOOKUP(B130,'MEMÓRIA MEDIÇÃO 12'!$A$7:$F$202,6,FALSE)</f>
        <v>44.995999999999995</v>
      </c>
      <c r="T130" s="387">
        <f t="shared" si="37"/>
        <v>44.995999999999995</v>
      </c>
      <c r="U130" s="387">
        <f t="shared" si="60"/>
        <v>357.57400000000001</v>
      </c>
      <c r="V130" s="387">
        <f t="shared" si="61"/>
        <v>18566.528399999999</v>
      </c>
      <c r="W130" s="346">
        <f t="shared" si="52"/>
        <v>0</v>
      </c>
      <c r="X130" s="346">
        <f t="shared" si="53"/>
        <v>0</v>
      </c>
      <c r="Y130" s="346">
        <f t="shared" si="59"/>
        <v>0</v>
      </c>
      <c r="Z130" s="346">
        <f t="shared" si="54"/>
        <v>0</v>
      </c>
      <c r="AA130" s="346">
        <f t="shared" si="55"/>
        <v>0</v>
      </c>
      <c r="AB130" s="346">
        <f t="shared" ref="AB130:AB161" si="62">M130*F130</f>
        <v>0</v>
      </c>
      <c r="AC130" s="346">
        <f t="shared" si="56"/>
        <v>0</v>
      </c>
      <c r="AD130" s="346">
        <f t="shared" si="39"/>
        <v>0</v>
      </c>
      <c r="AE130" s="346">
        <f t="shared" si="40"/>
        <v>0</v>
      </c>
      <c r="AF130" s="346">
        <f t="shared" si="41"/>
        <v>0</v>
      </c>
      <c r="AG130" s="346">
        <f t="shared" si="42"/>
        <v>0</v>
      </c>
      <c r="AH130" s="346">
        <f t="shared" si="43"/>
        <v>2075.2199999999998</v>
      </c>
      <c r="AI130" s="445">
        <f t="shared" si="44"/>
        <v>2075.2199999999998</v>
      </c>
      <c r="AJ130" s="446">
        <f t="shared" si="45"/>
        <v>16491.308399999998</v>
      </c>
    </row>
    <row r="131" spans="2:36" s="167" customFormat="1" ht="45" x14ac:dyDescent="0.25">
      <c r="B131" s="384" t="s">
        <v>349</v>
      </c>
      <c r="C131" s="385">
        <v>100374</v>
      </c>
      <c r="D131" s="386" t="s">
        <v>351</v>
      </c>
      <c r="E131" s="277" t="s">
        <v>166</v>
      </c>
      <c r="F131" s="245">
        <v>2472.0700000000002</v>
      </c>
      <c r="G131" s="387">
        <v>10</v>
      </c>
      <c r="H131" s="444"/>
      <c r="I131" s="444"/>
      <c r="J131" s="443"/>
      <c r="K131" s="444"/>
      <c r="L131" s="444"/>
      <c r="M131" s="444"/>
      <c r="N131" s="387"/>
      <c r="O131" s="387"/>
      <c r="P131" s="444"/>
      <c r="Q131" s="444"/>
      <c r="R131" s="444">
        <v>10</v>
      </c>
      <c r="S131" s="444">
        <f>VLOOKUP(B131,'MEMÓRIA MEDIÇÃO 12'!$A$7:$F$202,6,FALSE)</f>
        <v>0</v>
      </c>
      <c r="T131" s="387">
        <f t="shared" si="37"/>
        <v>10</v>
      </c>
      <c r="U131" s="387">
        <f t="shared" si="60"/>
        <v>0</v>
      </c>
      <c r="V131" s="387">
        <f t="shared" si="61"/>
        <v>24720.7</v>
      </c>
      <c r="W131" s="346">
        <f t="shared" si="52"/>
        <v>0</v>
      </c>
      <c r="X131" s="346">
        <f t="shared" si="53"/>
        <v>0</v>
      </c>
      <c r="Y131" s="346">
        <f t="shared" si="59"/>
        <v>0</v>
      </c>
      <c r="Z131" s="346">
        <f t="shared" si="54"/>
        <v>0</v>
      </c>
      <c r="AA131" s="346">
        <f t="shared" si="55"/>
        <v>0</v>
      </c>
      <c r="AB131" s="346">
        <f t="shared" si="62"/>
        <v>0</v>
      </c>
      <c r="AC131" s="346">
        <f t="shared" si="56"/>
        <v>0</v>
      </c>
      <c r="AD131" s="346">
        <f t="shared" si="39"/>
        <v>0</v>
      </c>
      <c r="AE131" s="346">
        <f t="shared" si="40"/>
        <v>0</v>
      </c>
      <c r="AF131" s="346">
        <f t="shared" si="41"/>
        <v>0</v>
      </c>
      <c r="AG131" s="346">
        <f t="shared" si="42"/>
        <v>24720.7</v>
      </c>
      <c r="AH131" s="346">
        <f t="shared" si="43"/>
        <v>0</v>
      </c>
      <c r="AI131" s="445">
        <f t="shared" si="44"/>
        <v>24720.7</v>
      </c>
      <c r="AJ131" s="446">
        <f t="shared" si="45"/>
        <v>0</v>
      </c>
    </row>
    <row r="132" spans="2:36" s="167" customFormat="1" ht="45" x14ac:dyDescent="0.25">
      <c r="B132" s="384" t="s">
        <v>352</v>
      </c>
      <c r="C132" s="385">
        <v>100375</v>
      </c>
      <c r="D132" s="386" t="s">
        <v>354</v>
      </c>
      <c r="E132" s="277" t="s">
        <v>166</v>
      </c>
      <c r="F132" s="245">
        <v>2766.14</v>
      </c>
      <c r="G132" s="387">
        <v>10</v>
      </c>
      <c r="H132" s="444"/>
      <c r="I132" s="444"/>
      <c r="J132" s="443"/>
      <c r="K132" s="444"/>
      <c r="L132" s="444"/>
      <c r="M132" s="444"/>
      <c r="N132" s="387"/>
      <c r="O132" s="387"/>
      <c r="P132" s="444"/>
      <c r="Q132" s="444"/>
      <c r="R132" s="444">
        <v>10</v>
      </c>
      <c r="S132" s="444">
        <f>VLOOKUP(B132,'MEMÓRIA MEDIÇÃO 12'!$A$7:$F$202,6,FALSE)</f>
        <v>0</v>
      </c>
      <c r="T132" s="387">
        <f t="shared" si="37"/>
        <v>10</v>
      </c>
      <c r="U132" s="387">
        <f t="shared" si="60"/>
        <v>0</v>
      </c>
      <c r="V132" s="387">
        <f t="shared" si="61"/>
        <v>27661.399999999998</v>
      </c>
      <c r="W132" s="346">
        <f t="shared" si="52"/>
        <v>0</v>
      </c>
      <c r="X132" s="346">
        <f t="shared" si="53"/>
        <v>0</v>
      </c>
      <c r="Y132" s="346">
        <f t="shared" si="59"/>
        <v>0</v>
      </c>
      <c r="Z132" s="346">
        <f t="shared" si="54"/>
        <v>0</v>
      </c>
      <c r="AA132" s="346">
        <f t="shared" si="55"/>
        <v>0</v>
      </c>
      <c r="AB132" s="346">
        <f t="shared" si="62"/>
        <v>0</v>
      </c>
      <c r="AC132" s="346">
        <f t="shared" si="56"/>
        <v>0</v>
      </c>
      <c r="AD132" s="346">
        <f t="shared" si="39"/>
        <v>0</v>
      </c>
      <c r="AE132" s="346">
        <f t="shared" si="40"/>
        <v>0</v>
      </c>
      <c r="AF132" s="346">
        <f t="shared" si="41"/>
        <v>0</v>
      </c>
      <c r="AG132" s="346">
        <f t="shared" si="42"/>
        <v>27661.4</v>
      </c>
      <c r="AH132" s="346">
        <f t="shared" si="43"/>
        <v>0</v>
      </c>
      <c r="AI132" s="445">
        <f t="shared" si="44"/>
        <v>27661.4</v>
      </c>
      <c r="AJ132" s="446">
        <f t="shared" si="45"/>
        <v>0</v>
      </c>
    </row>
    <row r="133" spans="2:36" s="167" customFormat="1" ht="33.75" x14ac:dyDescent="0.25">
      <c r="B133" s="384" t="s">
        <v>355</v>
      </c>
      <c r="C133" s="385">
        <v>92544</v>
      </c>
      <c r="D133" s="386" t="s">
        <v>357</v>
      </c>
      <c r="E133" s="277" t="s">
        <v>17</v>
      </c>
      <c r="F133" s="245">
        <v>15.3</v>
      </c>
      <c r="G133" s="387">
        <v>629.87</v>
      </c>
      <c r="H133" s="444"/>
      <c r="I133" s="444"/>
      <c r="J133" s="443"/>
      <c r="K133" s="444"/>
      <c r="L133" s="444"/>
      <c r="M133" s="444"/>
      <c r="N133" s="387"/>
      <c r="O133" s="387"/>
      <c r="P133" s="444"/>
      <c r="Q133" s="444"/>
      <c r="R133" s="444">
        <v>471.51</v>
      </c>
      <c r="S133" s="444">
        <f>VLOOKUP(B133,'MEMÓRIA MEDIÇÃO 12'!$A$7:$F$202,6,FALSE)</f>
        <v>0</v>
      </c>
      <c r="T133" s="387">
        <f t="shared" si="37"/>
        <v>471.51</v>
      </c>
      <c r="U133" s="387">
        <f t="shared" si="60"/>
        <v>158.36000000000001</v>
      </c>
      <c r="V133" s="387">
        <f t="shared" si="61"/>
        <v>9637.0110000000004</v>
      </c>
      <c r="W133" s="346">
        <f t="shared" si="52"/>
        <v>0</v>
      </c>
      <c r="X133" s="346">
        <f t="shared" si="53"/>
        <v>0</v>
      </c>
      <c r="Y133" s="346">
        <f t="shared" si="59"/>
        <v>0</v>
      </c>
      <c r="Z133" s="346">
        <f t="shared" si="54"/>
        <v>0</v>
      </c>
      <c r="AA133" s="346">
        <f t="shared" si="55"/>
        <v>0</v>
      </c>
      <c r="AB133" s="346">
        <f t="shared" si="62"/>
        <v>0</v>
      </c>
      <c r="AC133" s="346">
        <f t="shared" si="56"/>
        <v>0</v>
      </c>
      <c r="AD133" s="346">
        <f t="shared" si="39"/>
        <v>0</v>
      </c>
      <c r="AE133" s="346">
        <f t="shared" si="40"/>
        <v>0</v>
      </c>
      <c r="AF133" s="346">
        <f t="shared" si="41"/>
        <v>0</v>
      </c>
      <c r="AG133" s="346">
        <f t="shared" si="42"/>
        <v>7214.1</v>
      </c>
      <c r="AH133" s="346">
        <f t="shared" si="43"/>
        <v>0</v>
      </c>
      <c r="AI133" s="445">
        <f t="shared" si="44"/>
        <v>7214.1</v>
      </c>
      <c r="AJ133" s="446">
        <f t="shared" si="45"/>
        <v>2422.9110000000001</v>
      </c>
    </row>
    <row r="134" spans="2:36" s="167" customFormat="1" ht="33.75" x14ac:dyDescent="0.25">
      <c r="B134" s="384" t="s">
        <v>358</v>
      </c>
      <c r="C134" s="385">
        <v>100435</v>
      </c>
      <c r="D134" s="386" t="s">
        <v>360</v>
      </c>
      <c r="E134" s="277" t="s">
        <v>37</v>
      </c>
      <c r="F134" s="245">
        <v>84.59</v>
      </c>
      <c r="G134" s="387">
        <v>113.1</v>
      </c>
      <c r="H134" s="444"/>
      <c r="I134" s="444"/>
      <c r="J134" s="443"/>
      <c r="K134" s="444"/>
      <c r="L134" s="444"/>
      <c r="M134" s="444"/>
      <c r="N134" s="387"/>
      <c r="O134" s="387"/>
      <c r="P134" s="444"/>
      <c r="Q134" s="444"/>
      <c r="R134" s="444">
        <v>0</v>
      </c>
      <c r="S134" s="444">
        <f>VLOOKUP(B134,'MEMÓRIA MEDIÇÃO 12'!$A$7:$F$202,6,FALSE)</f>
        <v>0</v>
      </c>
      <c r="T134" s="387">
        <f t="shared" si="37"/>
        <v>0</v>
      </c>
      <c r="U134" s="387">
        <f t="shared" si="60"/>
        <v>113.1</v>
      </c>
      <c r="V134" s="387">
        <f t="shared" si="61"/>
        <v>9567.128999999999</v>
      </c>
      <c r="W134" s="346">
        <f t="shared" si="52"/>
        <v>0</v>
      </c>
      <c r="X134" s="346">
        <f t="shared" si="53"/>
        <v>0</v>
      </c>
      <c r="Y134" s="346">
        <f t="shared" si="59"/>
        <v>0</v>
      </c>
      <c r="Z134" s="346">
        <f t="shared" si="54"/>
        <v>0</v>
      </c>
      <c r="AA134" s="346">
        <f t="shared" si="55"/>
        <v>0</v>
      </c>
      <c r="AB134" s="346">
        <f t="shared" si="62"/>
        <v>0</v>
      </c>
      <c r="AC134" s="346">
        <f t="shared" si="56"/>
        <v>0</v>
      </c>
      <c r="AD134" s="346">
        <f t="shared" si="39"/>
        <v>0</v>
      </c>
      <c r="AE134" s="346">
        <f t="shared" si="40"/>
        <v>0</v>
      </c>
      <c r="AF134" s="346">
        <f t="shared" si="41"/>
        <v>0</v>
      </c>
      <c r="AG134" s="346">
        <f t="shared" si="42"/>
        <v>0</v>
      </c>
      <c r="AH134" s="346">
        <f t="shared" si="43"/>
        <v>0</v>
      </c>
      <c r="AI134" s="445">
        <f t="shared" si="44"/>
        <v>0</v>
      </c>
      <c r="AJ134" s="446">
        <f t="shared" si="45"/>
        <v>9567.128999999999</v>
      </c>
    </row>
    <row r="135" spans="2:36" s="167" customFormat="1" ht="33.75" x14ac:dyDescent="0.25">
      <c r="B135" s="384" t="s">
        <v>361</v>
      </c>
      <c r="C135" s="385">
        <v>94229</v>
      </c>
      <c r="D135" s="386" t="s">
        <v>363</v>
      </c>
      <c r="E135" s="277" t="s">
        <v>37</v>
      </c>
      <c r="F135" s="245">
        <v>165.04</v>
      </c>
      <c r="G135" s="387">
        <v>106.23</v>
      </c>
      <c r="H135" s="444"/>
      <c r="I135" s="444"/>
      <c r="J135" s="443"/>
      <c r="K135" s="444"/>
      <c r="L135" s="444"/>
      <c r="M135" s="444"/>
      <c r="N135" s="387"/>
      <c r="O135" s="387"/>
      <c r="P135" s="444"/>
      <c r="Q135" s="444"/>
      <c r="R135" s="444">
        <v>0</v>
      </c>
      <c r="S135" s="444">
        <f>VLOOKUP(B135,'MEMÓRIA MEDIÇÃO 12'!$A$7:$F$202,6,FALSE)</f>
        <v>52.6</v>
      </c>
      <c r="T135" s="387">
        <f t="shared" si="37"/>
        <v>52.6</v>
      </c>
      <c r="U135" s="387">
        <f t="shared" si="60"/>
        <v>53.63</v>
      </c>
      <c r="V135" s="387">
        <f t="shared" si="61"/>
        <v>17532.199199999999</v>
      </c>
      <c r="W135" s="346">
        <f t="shared" si="52"/>
        <v>0</v>
      </c>
      <c r="X135" s="346">
        <f t="shared" si="53"/>
        <v>0</v>
      </c>
      <c r="Y135" s="346">
        <f t="shared" si="59"/>
        <v>0</v>
      </c>
      <c r="Z135" s="346">
        <f t="shared" si="54"/>
        <v>0</v>
      </c>
      <c r="AA135" s="346">
        <f t="shared" si="55"/>
        <v>0</v>
      </c>
      <c r="AB135" s="346">
        <f t="shared" si="62"/>
        <v>0</v>
      </c>
      <c r="AC135" s="346">
        <f t="shared" si="56"/>
        <v>0</v>
      </c>
      <c r="AD135" s="346">
        <f t="shared" si="39"/>
        <v>0</v>
      </c>
      <c r="AE135" s="346">
        <f t="shared" si="40"/>
        <v>0</v>
      </c>
      <c r="AF135" s="346">
        <f t="shared" si="41"/>
        <v>0</v>
      </c>
      <c r="AG135" s="346">
        <f t="shared" si="42"/>
        <v>0</v>
      </c>
      <c r="AH135" s="346">
        <f t="shared" si="43"/>
        <v>8681.1</v>
      </c>
      <c r="AI135" s="445">
        <f t="shared" si="44"/>
        <v>8681.1</v>
      </c>
      <c r="AJ135" s="446">
        <f t="shared" si="45"/>
        <v>8851.0991999999987</v>
      </c>
    </row>
    <row r="136" spans="2:36" s="167" customFormat="1" ht="22.5" x14ac:dyDescent="0.25">
      <c r="B136" s="384" t="s">
        <v>364</v>
      </c>
      <c r="C136" s="385">
        <v>96113</v>
      </c>
      <c r="D136" s="386" t="s">
        <v>366</v>
      </c>
      <c r="E136" s="277" t="s">
        <v>17</v>
      </c>
      <c r="F136" s="245">
        <v>34.25</v>
      </c>
      <c r="G136" s="387">
        <v>634.5</v>
      </c>
      <c r="H136" s="444"/>
      <c r="I136" s="444"/>
      <c r="J136" s="443"/>
      <c r="K136" s="444"/>
      <c r="L136" s="444"/>
      <c r="M136" s="444"/>
      <c r="N136" s="387"/>
      <c r="O136" s="387"/>
      <c r="P136" s="444"/>
      <c r="Q136" s="444"/>
      <c r="R136" s="444">
        <v>0</v>
      </c>
      <c r="S136" s="444">
        <f>VLOOKUP(B136,'MEMÓRIA MEDIÇÃO 12'!$A$7:$F$202,6,FALSE)</f>
        <v>0</v>
      </c>
      <c r="T136" s="387">
        <f t="shared" si="37"/>
        <v>0</v>
      </c>
      <c r="U136" s="387">
        <f t="shared" si="60"/>
        <v>634.5</v>
      </c>
      <c r="V136" s="387">
        <f t="shared" si="61"/>
        <v>21731.625</v>
      </c>
      <c r="W136" s="346">
        <f t="shared" si="52"/>
        <v>0</v>
      </c>
      <c r="X136" s="346">
        <f t="shared" si="53"/>
        <v>0</v>
      </c>
      <c r="Y136" s="346">
        <f t="shared" si="59"/>
        <v>0</v>
      </c>
      <c r="Z136" s="346">
        <f t="shared" si="54"/>
        <v>0</v>
      </c>
      <c r="AA136" s="346">
        <f t="shared" si="55"/>
        <v>0</v>
      </c>
      <c r="AB136" s="346">
        <f t="shared" si="62"/>
        <v>0</v>
      </c>
      <c r="AC136" s="346">
        <f t="shared" si="56"/>
        <v>0</v>
      </c>
      <c r="AD136" s="346">
        <f t="shared" si="39"/>
        <v>0</v>
      </c>
      <c r="AE136" s="346">
        <f t="shared" si="40"/>
        <v>0</v>
      </c>
      <c r="AF136" s="346">
        <f t="shared" si="41"/>
        <v>0</v>
      </c>
      <c r="AG136" s="346">
        <f t="shared" si="42"/>
        <v>0</v>
      </c>
      <c r="AH136" s="346">
        <f t="shared" si="43"/>
        <v>0</v>
      </c>
      <c r="AI136" s="445">
        <f t="shared" si="44"/>
        <v>0</v>
      </c>
      <c r="AJ136" s="446">
        <f t="shared" si="45"/>
        <v>21731.625</v>
      </c>
    </row>
    <row r="137" spans="2:36" s="167" customFormat="1" ht="14.45" customHeight="1" x14ac:dyDescent="0.25">
      <c r="B137" s="347">
        <v>1.1299999999999999</v>
      </c>
      <c r="C137" s="348" t="s">
        <v>368</v>
      </c>
      <c r="D137" s="386"/>
      <c r="E137" s="277"/>
      <c r="F137" s="245"/>
      <c r="G137" s="387"/>
      <c r="H137" s="444"/>
      <c r="I137" s="444"/>
      <c r="J137" s="443"/>
      <c r="K137" s="444"/>
      <c r="L137" s="444"/>
      <c r="M137" s="444"/>
      <c r="N137" s="387"/>
      <c r="O137" s="387"/>
      <c r="P137" s="444"/>
      <c r="Q137" s="444"/>
      <c r="R137" s="444">
        <v>0</v>
      </c>
      <c r="S137" s="444">
        <f>VLOOKUP(B137,'MEMÓRIA MEDIÇÃO 12'!$A$7:$F$202,6,FALSE)</f>
        <v>0</v>
      </c>
      <c r="T137" s="387">
        <f t="shared" si="37"/>
        <v>0</v>
      </c>
      <c r="U137" s="387"/>
      <c r="V137" s="387"/>
      <c r="W137" s="346">
        <f t="shared" si="52"/>
        <v>0</v>
      </c>
      <c r="X137" s="346">
        <f t="shared" si="53"/>
        <v>0</v>
      </c>
      <c r="Y137" s="346">
        <f t="shared" si="59"/>
        <v>0</v>
      </c>
      <c r="Z137" s="346">
        <f t="shared" si="54"/>
        <v>0</v>
      </c>
      <c r="AA137" s="346">
        <f t="shared" si="55"/>
        <v>0</v>
      </c>
      <c r="AB137" s="346">
        <f t="shared" si="62"/>
        <v>0</v>
      </c>
      <c r="AC137" s="346">
        <f t="shared" si="56"/>
        <v>0</v>
      </c>
      <c r="AD137" s="346">
        <f t="shared" si="39"/>
        <v>0</v>
      </c>
      <c r="AE137" s="346">
        <f t="shared" si="40"/>
        <v>0</v>
      </c>
      <c r="AF137" s="346">
        <f t="shared" si="41"/>
        <v>0</v>
      </c>
      <c r="AG137" s="346">
        <f t="shared" si="42"/>
        <v>0</v>
      </c>
      <c r="AH137" s="346">
        <f t="shared" si="43"/>
        <v>0</v>
      </c>
      <c r="AI137" s="445">
        <f t="shared" si="44"/>
        <v>0</v>
      </c>
      <c r="AJ137" s="446">
        <f t="shared" si="45"/>
        <v>0</v>
      </c>
    </row>
    <row r="138" spans="2:36" s="167" customFormat="1" ht="56.25" x14ac:dyDescent="0.25">
      <c r="B138" s="384" t="s">
        <v>369</v>
      </c>
      <c r="C138" s="385">
        <v>91785</v>
      </c>
      <c r="D138" s="386" t="s">
        <v>371</v>
      </c>
      <c r="E138" s="277" t="s">
        <v>37</v>
      </c>
      <c r="F138" s="245">
        <v>39.15</v>
      </c>
      <c r="G138" s="387">
        <v>98.77</v>
      </c>
      <c r="H138" s="443"/>
      <c r="I138" s="444"/>
      <c r="J138" s="443"/>
      <c r="K138" s="444"/>
      <c r="L138" s="444"/>
      <c r="M138" s="444"/>
      <c r="N138" s="444"/>
      <c r="O138" s="444">
        <v>98.77</v>
      </c>
      <c r="P138" s="444"/>
      <c r="Q138" s="444"/>
      <c r="R138" s="444">
        <v>0</v>
      </c>
      <c r="S138" s="444">
        <f>VLOOKUP(B138,'MEMÓRIA MEDIÇÃO 12'!$A$7:$F$202,6,FALSE)</f>
        <v>0</v>
      </c>
      <c r="T138" s="387">
        <f t="shared" si="37"/>
        <v>98.77</v>
      </c>
      <c r="U138" s="387">
        <f t="shared" ref="U138:U159" si="63">G138-T138</f>
        <v>0</v>
      </c>
      <c r="V138" s="387">
        <f t="shared" ref="V138:V159" si="64">F138*G138</f>
        <v>3866.8454999999999</v>
      </c>
      <c r="W138" s="346">
        <f t="shared" si="52"/>
        <v>0</v>
      </c>
      <c r="X138" s="346">
        <f t="shared" si="53"/>
        <v>0</v>
      </c>
      <c r="Y138" s="346">
        <f t="shared" si="59"/>
        <v>0</v>
      </c>
      <c r="Z138" s="346">
        <f t="shared" si="54"/>
        <v>0</v>
      </c>
      <c r="AA138" s="346">
        <f t="shared" si="55"/>
        <v>0</v>
      </c>
      <c r="AB138" s="346">
        <f t="shared" si="62"/>
        <v>0</v>
      </c>
      <c r="AC138" s="346">
        <f t="shared" si="56"/>
        <v>0</v>
      </c>
      <c r="AD138" s="346">
        <f t="shared" si="39"/>
        <v>3866.84</v>
      </c>
      <c r="AE138" s="346">
        <f t="shared" si="40"/>
        <v>0</v>
      </c>
      <c r="AF138" s="346">
        <f t="shared" si="41"/>
        <v>0</v>
      </c>
      <c r="AG138" s="346">
        <f t="shared" si="42"/>
        <v>0</v>
      </c>
      <c r="AH138" s="346">
        <f t="shared" si="43"/>
        <v>0</v>
      </c>
      <c r="AI138" s="445">
        <f t="shared" si="44"/>
        <v>3866.84</v>
      </c>
      <c r="AJ138" s="446">
        <f t="shared" si="45"/>
        <v>5.4999999997562554E-3</v>
      </c>
    </row>
    <row r="139" spans="2:36" s="167" customFormat="1" ht="56.25" x14ac:dyDescent="0.25">
      <c r="B139" s="384" t="s">
        <v>372</v>
      </c>
      <c r="C139" s="385">
        <v>91784</v>
      </c>
      <c r="D139" s="386" t="s">
        <v>374</v>
      </c>
      <c r="E139" s="277" t="s">
        <v>37</v>
      </c>
      <c r="F139" s="245">
        <v>40.17</v>
      </c>
      <c r="G139" s="387">
        <v>62.17</v>
      </c>
      <c r="H139" s="443"/>
      <c r="I139" s="444"/>
      <c r="J139" s="443"/>
      <c r="K139" s="444"/>
      <c r="L139" s="444"/>
      <c r="M139" s="444"/>
      <c r="N139" s="444"/>
      <c r="O139" s="444">
        <v>62.17</v>
      </c>
      <c r="P139" s="444"/>
      <c r="Q139" s="444"/>
      <c r="R139" s="444">
        <v>0</v>
      </c>
      <c r="S139" s="444">
        <f>VLOOKUP(B139,'MEMÓRIA MEDIÇÃO 12'!$A$7:$F$202,6,FALSE)</f>
        <v>0</v>
      </c>
      <c r="T139" s="387">
        <f t="shared" si="37"/>
        <v>62.17</v>
      </c>
      <c r="U139" s="387">
        <f t="shared" si="63"/>
        <v>0</v>
      </c>
      <c r="V139" s="387">
        <f t="shared" si="64"/>
        <v>2497.3689000000004</v>
      </c>
      <c r="W139" s="346">
        <f t="shared" si="52"/>
        <v>0</v>
      </c>
      <c r="X139" s="346">
        <f t="shared" si="53"/>
        <v>0</v>
      </c>
      <c r="Y139" s="346">
        <f t="shared" si="59"/>
        <v>0</v>
      </c>
      <c r="Z139" s="346">
        <f t="shared" si="54"/>
        <v>0</v>
      </c>
      <c r="AA139" s="346">
        <f t="shared" si="55"/>
        <v>0</v>
      </c>
      <c r="AB139" s="346">
        <f t="shared" si="62"/>
        <v>0</v>
      </c>
      <c r="AC139" s="346">
        <f t="shared" si="56"/>
        <v>0</v>
      </c>
      <c r="AD139" s="346">
        <f t="shared" si="39"/>
        <v>2497.36</v>
      </c>
      <c r="AE139" s="346">
        <f t="shared" si="40"/>
        <v>0</v>
      </c>
      <c r="AF139" s="346">
        <f t="shared" si="41"/>
        <v>0</v>
      </c>
      <c r="AG139" s="346">
        <f t="shared" si="42"/>
        <v>0</v>
      </c>
      <c r="AH139" s="346">
        <f t="shared" si="43"/>
        <v>0</v>
      </c>
      <c r="AI139" s="445">
        <f t="shared" si="44"/>
        <v>2497.36</v>
      </c>
      <c r="AJ139" s="446">
        <f t="shared" si="45"/>
        <v>8.9000000002670276E-3</v>
      </c>
    </row>
    <row r="140" spans="2:36" s="167" customFormat="1" ht="56.25" x14ac:dyDescent="0.25">
      <c r="B140" s="384" t="s">
        <v>375</v>
      </c>
      <c r="C140" s="385">
        <v>91786</v>
      </c>
      <c r="D140" s="386" t="s">
        <v>377</v>
      </c>
      <c r="E140" s="277" t="s">
        <v>37</v>
      </c>
      <c r="F140" s="245">
        <v>30.41</v>
      </c>
      <c r="G140" s="387">
        <v>24.75</v>
      </c>
      <c r="H140" s="443"/>
      <c r="I140" s="444"/>
      <c r="J140" s="443"/>
      <c r="K140" s="444"/>
      <c r="L140" s="444"/>
      <c r="M140" s="444"/>
      <c r="N140" s="444"/>
      <c r="O140" s="444"/>
      <c r="P140" s="444"/>
      <c r="Q140" s="444"/>
      <c r="R140" s="444">
        <v>24.75</v>
      </c>
      <c r="S140" s="444">
        <f>VLOOKUP(B140,'MEMÓRIA MEDIÇÃO 12'!$A$7:$F$202,6,FALSE)</f>
        <v>0</v>
      </c>
      <c r="T140" s="387">
        <f t="shared" si="37"/>
        <v>24.75</v>
      </c>
      <c r="U140" s="387">
        <f t="shared" si="63"/>
        <v>0</v>
      </c>
      <c r="V140" s="387">
        <f t="shared" si="64"/>
        <v>752.64750000000004</v>
      </c>
      <c r="W140" s="346">
        <f t="shared" si="52"/>
        <v>0</v>
      </c>
      <c r="X140" s="346">
        <f t="shared" si="53"/>
        <v>0</v>
      </c>
      <c r="Y140" s="346">
        <f t="shared" si="59"/>
        <v>0</v>
      </c>
      <c r="Z140" s="346">
        <f t="shared" si="54"/>
        <v>0</v>
      </c>
      <c r="AA140" s="346">
        <f t="shared" si="55"/>
        <v>0</v>
      </c>
      <c r="AB140" s="346">
        <f t="shared" si="62"/>
        <v>0</v>
      </c>
      <c r="AC140" s="346">
        <f t="shared" si="56"/>
        <v>0</v>
      </c>
      <c r="AD140" s="346">
        <f t="shared" si="39"/>
        <v>0</v>
      </c>
      <c r="AE140" s="346">
        <f t="shared" si="40"/>
        <v>0</v>
      </c>
      <c r="AF140" s="346">
        <f t="shared" si="41"/>
        <v>0</v>
      </c>
      <c r="AG140" s="346">
        <f t="shared" si="42"/>
        <v>752.65</v>
      </c>
      <c r="AH140" s="346">
        <f t="shared" si="43"/>
        <v>0</v>
      </c>
      <c r="AI140" s="445">
        <f t="shared" si="44"/>
        <v>752.65</v>
      </c>
      <c r="AJ140" s="446">
        <f t="shared" si="45"/>
        <v>-2.4999999999408828E-3</v>
      </c>
    </row>
    <row r="141" spans="2:36" s="167" customFormat="1" ht="45" x14ac:dyDescent="0.25">
      <c r="B141" s="384" t="s">
        <v>378</v>
      </c>
      <c r="C141" s="385">
        <v>91787</v>
      </c>
      <c r="D141" s="386" t="s">
        <v>380</v>
      </c>
      <c r="E141" s="277" t="s">
        <v>37</v>
      </c>
      <c r="F141" s="245">
        <v>36.86</v>
      </c>
      <c r="G141" s="387">
        <v>25.92</v>
      </c>
      <c r="H141" s="443"/>
      <c r="I141" s="444"/>
      <c r="J141" s="443"/>
      <c r="K141" s="444"/>
      <c r="L141" s="444"/>
      <c r="M141" s="444"/>
      <c r="N141" s="444"/>
      <c r="O141" s="444"/>
      <c r="P141" s="444"/>
      <c r="Q141" s="444"/>
      <c r="R141" s="444">
        <v>25.92</v>
      </c>
      <c r="S141" s="444">
        <f>VLOOKUP(B141,'MEMÓRIA MEDIÇÃO 12'!$A$7:$F$202,6,FALSE)</f>
        <v>0</v>
      </c>
      <c r="T141" s="387">
        <f t="shared" si="37"/>
        <v>25.92</v>
      </c>
      <c r="U141" s="387">
        <f t="shared" si="63"/>
        <v>0</v>
      </c>
      <c r="V141" s="387">
        <f t="shared" si="64"/>
        <v>955.41120000000001</v>
      </c>
      <c r="W141" s="346">
        <f t="shared" si="52"/>
        <v>0</v>
      </c>
      <c r="X141" s="346">
        <f t="shared" si="53"/>
        <v>0</v>
      </c>
      <c r="Y141" s="346">
        <f t="shared" si="59"/>
        <v>0</v>
      </c>
      <c r="Z141" s="346">
        <f t="shared" si="54"/>
        <v>0</v>
      </c>
      <c r="AA141" s="346">
        <f t="shared" si="55"/>
        <v>0</v>
      </c>
      <c r="AB141" s="346">
        <f t="shared" si="62"/>
        <v>0</v>
      </c>
      <c r="AC141" s="346">
        <f t="shared" si="56"/>
        <v>0</v>
      </c>
      <c r="AD141" s="346">
        <f t="shared" si="39"/>
        <v>0</v>
      </c>
      <c r="AE141" s="346">
        <f t="shared" si="40"/>
        <v>0</v>
      </c>
      <c r="AF141" s="346">
        <f t="shared" si="41"/>
        <v>0</v>
      </c>
      <c r="AG141" s="346">
        <f t="shared" si="42"/>
        <v>955.41</v>
      </c>
      <c r="AH141" s="346">
        <f t="shared" si="43"/>
        <v>0</v>
      </c>
      <c r="AI141" s="445">
        <f t="shared" si="44"/>
        <v>955.41</v>
      </c>
      <c r="AJ141" s="446">
        <f t="shared" si="45"/>
        <v>1.2000000000398359E-3</v>
      </c>
    </row>
    <row r="142" spans="2:36" s="167" customFormat="1" ht="33.75" x14ac:dyDescent="0.25">
      <c r="B142" s="384" t="s">
        <v>381</v>
      </c>
      <c r="C142" s="385">
        <v>89987</v>
      </c>
      <c r="D142" s="386" t="s">
        <v>383</v>
      </c>
      <c r="E142" s="277" t="s">
        <v>166</v>
      </c>
      <c r="F142" s="245">
        <v>102.73</v>
      </c>
      <c r="G142" s="387">
        <v>10</v>
      </c>
      <c r="H142" s="443"/>
      <c r="I142" s="444"/>
      <c r="J142" s="443"/>
      <c r="K142" s="444"/>
      <c r="L142" s="444"/>
      <c r="M142" s="444"/>
      <c r="N142" s="444"/>
      <c r="O142" s="444"/>
      <c r="P142" s="444"/>
      <c r="Q142" s="444"/>
      <c r="R142" s="444">
        <v>10</v>
      </c>
      <c r="S142" s="444">
        <f>VLOOKUP(B142,'MEMÓRIA MEDIÇÃO 12'!$A$7:$F$202,6,FALSE)</f>
        <v>0</v>
      </c>
      <c r="T142" s="387">
        <f t="shared" si="37"/>
        <v>10</v>
      </c>
      <c r="U142" s="387">
        <f t="shared" si="63"/>
        <v>0</v>
      </c>
      <c r="V142" s="387">
        <f t="shared" si="64"/>
        <v>1027.3</v>
      </c>
      <c r="W142" s="346">
        <f t="shared" ref="W142:W173" si="65">F142*H142</f>
        <v>0</v>
      </c>
      <c r="X142" s="346">
        <f t="shared" ref="X142:X173" si="66">F142*I142</f>
        <v>0</v>
      </c>
      <c r="Y142" s="346">
        <f t="shared" si="59"/>
        <v>0</v>
      </c>
      <c r="Z142" s="346">
        <f t="shared" ref="Z142:Z173" si="67">TRUNC(F142*K142,2)</f>
        <v>0</v>
      </c>
      <c r="AA142" s="346">
        <f t="shared" ref="AA142:AA173" si="68">TRUNC(F142*L142,2)</f>
        <v>0</v>
      </c>
      <c r="AB142" s="346">
        <f t="shared" si="62"/>
        <v>0</v>
      </c>
      <c r="AC142" s="346">
        <f t="shared" si="56"/>
        <v>0</v>
      </c>
      <c r="AD142" s="346">
        <f t="shared" si="39"/>
        <v>0</v>
      </c>
      <c r="AE142" s="346">
        <f t="shared" si="40"/>
        <v>0</v>
      </c>
      <c r="AF142" s="346">
        <f t="shared" si="41"/>
        <v>0</v>
      </c>
      <c r="AG142" s="346">
        <f t="shared" si="42"/>
        <v>1027.3</v>
      </c>
      <c r="AH142" s="346">
        <f t="shared" si="43"/>
        <v>0</v>
      </c>
      <c r="AI142" s="445">
        <f t="shared" si="44"/>
        <v>1027.3</v>
      </c>
      <c r="AJ142" s="446">
        <f t="shared" si="45"/>
        <v>0</v>
      </c>
    </row>
    <row r="143" spans="2:36" s="167" customFormat="1" ht="22.5" x14ac:dyDescent="0.25">
      <c r="B143" s="384" t="s">
        <v>384</v>
      </c>
      <c r="C143" s="385">
        <v>94490</v>
      </c>
      <c r="D143" s="386" t="s">
        <v>386</v>
      </c>
      <c r="E143" s="277" t="s">
        <v>166</v>
      </c>
      <c r="F143" s="245">
        <v>29.96</v>
      </c>
      <c r="G143" s="387">
        <v>2</v>
      </c>
      <c r="H143" s="443"/>
      <c r="I143" s="444"/>
      <c r="J143" s="443"/>
      <c r="K143" s="444"/>
      <c r="L143" s="444"/>
      <c r="M143" s="444"/>
      <c r="N143" s="444"/>
      <c r="O143" s="444"/>
      <c r="P143" s="444"/>
      <c r="Q143" s="444"/>
      <c r="R143" s="444">
        <v>0</v>
      </c>
      <c r="S143" s="444">
        <f>VLOOKUP(B143,'MEMÓRIA MEDIÇÃO 12'!$A$7:$F$202,6,FALSE)</f>
        <v>0</v>
      </c>
      <c r="T143" s="387">
        <f t="shared" ref="T143:T206" si="69">H143+I143+J143+K143+L143+M143+N143+O143+P143+Q143+R143+S143</f>
        <v>0</v>
      </c>
      <c r="U143" s="387">
        <f t="shared" si="63"/>
        <v>2</v>
      </c>
      <c r="V143" s="387">
        <f t="shared" si="64"/>
        <v>59.92</v>
      </c>
      <c r="W143" s="346">
        <f t="shared" si="65"/>
        <v>0</v>
      </c>
      <c r="X143" s="346">
        <f t="shared" si="66"/>
        <v>0</v>
      </c>
      <c r="Y143" s="346">
        <f t="shared" si="59"/>
        <v>0</v>
      </c>
      <c r="Z143" s="346">
        <f t="shared" si="67"/>
        <v>0</v>
      </c>
      <c r="AA143" s="346">
        <f t="shared" si="68"/>
        <v>0</v>
      </c>
      <c r="AB143" s="346">
        <f t="shared" si="62"/>
        <v>0</v>
      </c>
      <c r="AC143" s="346">
        <f t="shared" ref="AC143:AC174" si="70">F143*N143</f>
        <v>0</v>
      </c>
      <c r="AD143" s="346">
        <f t="shared" ref="AD143:AD195" si="71">TRUNC(F143*O143,2)</f>
        <v>0</v>
      </c>
      <c r="AE143" s="346">
        <f t="shared" ref="AE143:AE195" si="72">TRUNC(F143*P143,2)</f>
        <v>0</v>
      </c>
      <c r="AF143" s="346">
        <f t="shared" ref="AF143:AF195" si="73">TRUNC(F143*Q143,2)</f>
        <v>0</v>
      </c>
      <c r="AG143" s="346">
        <f t="shared" ref="AG143:AG206" si="74">ROUND(R143*F143,2)</f>
        <v>0</v>
      </c>
      <c r="AH143" s="346">
        <f t="shared" ref="AH143:AH206" si="75">ROUND(S143*F143,2)</f>
        <v>0</v>
      </c>
      <c r="AI143" s="445">
        <f t="shared" ref="AI143:AI206" si="76">W143+X143+Y143+Z143+AA143+AB143+AC143+AD143+AE143+AF143+AG143+AH143</f>
        <v>0</v>
      </c>
      <c r="AJ143" s="446">
        <f t="shared" ref="AJ143:AJ195" si="77">V143-AI143</f>
        <v>59.92</v>
      </c>
    </row>
    <row r="144" spans="2:36" s="167" customFormat="1" ht="33.75" x14ac:dyDescent="0.25">
      <c r="B144" s="384" t="s">
        <v>387</v>
      </c>
      <c r="C144" s="385">
        <v>89985</v>
      </c>
      <c r="D144" s="386" t="s">
        <v>389</v>
      </c>
      <c r="E144" s="277" t="s">
        <v>166</v>
      </c>
      <c r="F144" s="245">
        <v>97.38</v>
      </c>
      <c r="G144" s="387">
        <v>6</v>
      </c>
      <c r="H144" s="443"/>
      <c r="I144" s="444"/>
      <c r="J144" s="443"/>
      <c r="K144" s="444"/>
      <c r="L144" s="444"/>
      <c r="M144" s="444"/>
      <c r="N144" s="387"/>
      <c r="O144" s="387"/>
      <c r="P144" s="444"/>
      <c r="Q144" s="444"/>
      <c r="R144" s="444">
        <v>6</v>
      </c>
      <c r="S144" s="444">
        <f>VLOOKUP(B144,'MEMÓRIA MEDIÇÃO 12'!$A$7:$F$202,6,FALSE)</f>
        <v>0</v>
      </c>
      <c r="T144" s="387">
        <f t="shared" si="69"/>
        <v>6</v>
      </c>
      <c r="U144" s="387">
        <f t="shared" si="63"/>
        <v>0</v>
      </c>
      <c r="V144" s="387">
        <f t="shared" si="64"/>
        <v>584.28</v>
      </c>
      <c r="W144" s="346">
        <f t="shared" si="65"/>
        <v>0</v>
      </c>
      <c r="X144" s="346">
        <f t="shared" si="66"/>
        <v>0</v>
      </c>
      <c r="Y144" s="346">
        <f t="shared" si="59"/>
        <v>0</v>
      </c>
      <c r="Z144" s="346">
        <f t="shared" si="67"/>
        <v>0</v>
      </c>
      <c r="AA144" s="346">
        <f t="shared" si="68"/>
        <v>0</v>
      </c>
      <c r="AB144" s="346">
        <f t="shared" si="62"/>
        <v>0</v>
      </c>
      <c r="AC144" s="346">
        <f t="shared" si="70"/>
        <v>0</v>
      </c>
      <c r="AD144" s="346">
        <f t="shared" si="71"/>
        <v>0</v>
      </c>
      <c r="AE144" s="346">
        <f t="shared" si="72"/>
        <v>0</v>
      </c>
      <c r="AF144" s="346">
        <f t="shared" si="73"/>
        <v>0</v>
      </c>
      <c r="AG144" s="346">
        <f t="shared" si="74"/>
        <v>584.28</v>
      </c>
      <c r="AH144" s="346">
        <f t="shared" si="75"/>
        <v>0</v>
      </c>
      <c r="AI144" s="445">
        <f t="shared" si="76"/>
        <v>584.28</v>
      </c>
      <c r="AJ144" s="446">
        <f t="shared" si="77"/>
        <v>0</v>
      </c>
    </row>
    <row r="145" spans="2:36" s="167" customFormat="1" ht="33.75" x14ac:dyDescent="0.25">
      <c r="B145" s="384" t="s">
        <v>390</v>
      </c>
      <c r="C145" s="385">
        <v>102613</v>
      </c>
      <c r="D145" s="386" t="s">
        <v>392</v>
      </c>
      <c r="E145" s="277" t="s">
        <v>166</v>
      </c>
      <c r="F145" s="245">
        <v>742.5</v>
      </c>
      <c r="G145" s="387">
        <v>2</v>
      </c>
      <c r="H145" s="443"/>
      <c r="I145" s="444"/>
      <c r="J145" s="443"/>
      <c r="K145" s="444"/>
      <c r="L145" s="444"/>
      <c r="M145" s="444"/>
      <c r="N145" s="387"/>
      <c r="O145" s="387"/>
      <c r="P145" s="444"/>
      <c r="Q145" s="444"/>
      <c r="R145" s="444">
        <v>2</v>
      </c>
      <c r="S145" s="444">
        <f>VLOOKUP(B145,'MEMÓRIA MEDIÇÃO 12'!$A$7:$F$202,6,FALSE)</f>
        <v>0</v>
      </c>
      <c r="T145" s="387">
        <f t="shared" si="69"/>
        <v>2</v>
      </c>
      <c r="U145" s="387">
        <f t="shared" si="63"/>
        <v>0</v>
      </c>
      <c r="V145" s="387">
        <f t="shared" si="64"/>
        <v>1485</v>
      </c>
      <c r="W145" s="346">
        <f t="shared" si="65"/>
        <v>0</v>
      </c>
      <c r="X145" s="346">
        <f t="shared" si="66"/>
        <v>0</v>
      </c>
      <c r="Y145" s="346">
        <f t="shared" si="59"/>
        <v>0</v>
      </c>
      <c r="Z145" s="346">
        <f t="shared" si="67"/>
        <v>0</v>
      </c>
      <c r="AA145" s="346">
        <f t="shared" si="68"/>
        <v>0</v>
      </c>
      <c r="AB145" s="346">
        <f t="shared" si="62"/>
        <v>0</v>
      </c>
      <c r="AC145" s="346">
        <f t="shared" si="70"/>
        <v>0</v>
      </c>
      <c r="AD145" s="346">
        <f t="shared" si="71"/>
        <v>0</v>
      </c>
      <c r="AE145" s="346">
        <f t="shared" si="72"/>
        <v>0</v>
      </c>
      <c r="AF145" s="346">
        <f t="shared" si="73"/>
        <v>0</v>
      </c>
      <c r="AG145" s="346">
        <f t="shared" si="74"/>
        <v>1485</v>
      </c>
      <c r="AH145" s="346">
        <f t="shared" si="75"/>
        <v>0</v>
      </c>
      <c r="AI145" s="445">
        <f t="shared" si="76"/>
        <v>1485</v>
      </c>
      <c r="AJ145" s="446">
        <f t="shared" si="77"/>
        <v>0</v>
      </c>
    </row>
    <row r="146" spans="2:36" s="167" customFormat="1" ht="22.5" x14ac:dyDescent="0.25">
      <c r="B146" s="384" t="s">
        <v>393</v>
      </c>
      <c r="C146" s="385">
        <v>102609</v>
      </c>
      <c r="D146" s="386" t="s">
        <v>395</v>
      </c>
      <c r="E146" s="277" t="s">
        <v>166</v>
      </c>
      <c r="F146" s="245">
        <v>1379.9</v>
      </c>
      <c r="G146" s="387">
        <v>2</v>
      </c>
      <c r="H146" s="443"/>
      <c r="I146" s="444"/>
      <c r="J146" s="443"/>
      <c r="K146" s="444"/>
      <c r="L146" s="444"/>
      <c r="M146" s="444"/>
      <c r="N146" s="387"/>
      <c r="O146" s="387"/>
      <c r="P146" s="444"/>
      <c r="Q146" s="444"/>
      <c r="R146" s="444">
        <v>2</v>
      </c>
      <c r="S146" s="444">
        <f>VLOOKUP(B146,'MEMÓRIA MEDIÇÃO 12'!$A$7:$F$202,6,FALSE)</f>
        <v>0</v>
      </c>
      <c r="T146" s="387">
        <f t="shared" si="69"/>
        <v>2</v>
      </c>
      <c r="U146" s="387">
        <f t="shared" si="63"/>
        <v>0</v>
      </c>
      <c r="V146" s="387">
        <f t="shared" si="64"/>
        <v>2759.8</v>
      </c>
      <c r="W146" s="346">
        <f t="shared" si="65"/>
        <v>0</v>
      </c>
      <c r="X146" s="346">
        <f t="shared" si="66"/>
        <v>0</v>
      </c>
      <c r="Y146" s="346">
        <f t="shared" si="59"/>
        <v>0</v>
      </c>
      <c r="Z146" s="346">
        <f t="shared" si="67"/>
        <v>0</v>
      </c>
      <c r="AA146" s="346">
        <f t="shared" si="68"/>
        <v>0</v>
      </c>
      <c r="AB146" s="346">
        <f t="shared" si="62"/>
        <v>0</v>
      </c>
      <c r="AC146" s="346">
        <f t="shared" si="70"/>
        <v>0</v>
      </c>
      <c r="AD146" s="346">
        <f t="shared" si="71"/>
        <v>0</v>
      </c>
      <c r="AE146" s="346">
        <f t="shared" si="72"/>
        <v>0</v>
      </c>
      <c r="AF146" s="346">
        <f t="shared" si="73"/>
        <v>0</v>
      </c>
      <c r="AG146" s="346">
        <f t="shared" si="74"/>
        <v>2759.8</v>
      </c>
      <c r="AH146" s="346">
        <f t="shared" si="75"/>
        <v>0</v>
      </c>
      <c r="AI146" s="445">
        <f t="shared" si="76"/>
        <v>2759.8</v>
      </c>
      <c r="AJ146" s="446">
        <f t="shared" si="77"/>
        <v>0</v>
      </c>
    </row>
    <row r="147" spans="2:36" s="167" customFormat="1" ht="22.5" x14ac:dyDescent="0.25">
      <c r="B147" s="384" t="s">
        <v>396</v>
      </c>
      <c r="C147" s="385">
        <v>94796</v>
      </c>
      <c r="D147" s="386" t="s">
        <v>398</v>
      </c>
      <c r="E147" s="277" t="s">
        <v>166</v>
      </c>
      <c r="F147" s="245">
        <v>47</v>
      </c>
      <c r="G147" s="387">
        <v>4</v>
      </c>
      <c r="H147" s="443"/>
      <c r="I147" s="444"/>
      <c r="J147" s="443"/>
      <c r="K147" s="444"/>
      <c r="L147" s="444"/>
      <c r="M147" s="444"/>
      <c r="N147" s="387"/>
      <c r="O147" s="387"/>
      <c r="P147" s="444"/>
      <c r="Q147" s="444"/>
      <c r="R147" s="444">
        <v>0</v>
      </c>
      <c r="S147" s="444">
        <f>VLOOKUP(B147,'MEMÓRIA MEDIÇÃO 12'!$A$7:$F$202,6,FALSE)</f>
        <v>0</v>
      </c>
      <c r="T147" s="387">
        <f t="shared" si="69"/>
        <v>0</v>
      </c>
      <c r="U147" s="387">
        <f t="shared" si="63"/>
        <v>4</v>
      </c>
      <c r="V147" s="387">
        <f t="shared" si="64"/>
        <v>188</v>
      </c>
      <c r="W147" s="346">
        <f t="shared" si="65"/>
        <v>0</v>
      </c>
      <c r="X147" s="346">
        <f t="shared" si="66"/>
        <v>0</v>
      </c>
      <c r="Y147" s="346">
        <f t="shared" si="59"/>
        <v>0</v>
      </c>
      <c r="Z147" s="346">
        <f t="shared" si="67"/>
        <v>0</v>
      </c>
      <c r="AA147" s="346">
        <f t="shared" si="68"/>
        <v>0</v>
      </c>
      <c r="AB147" s="346">
        <f t="shared" si="62"/>
        <v>0</v>
      </c>
      <c r="AC147" s="346">
        <f t="shared" si="70"/>
        <v>0</v>
      </c>
      <c r="AD147" s="346">
        <f t="shared" si="71"/>
        <v>0</v>
      </c>
      <c r="AE147" s="346">
        <f t="shared" si="72"/>
        <v>0</v>
      </c>
      <c r="AF147" s="346">
        <f t="shared" si="73"/>
        <v>0</v>
      </c>
      <c r="AG147" s="346">
        <f t="shared" si="74"/>
        <v>0</v>
      </c>
      <c r="AH147" s="346">
        <f t="shared" si="75"/>
        <v>0</v>
      </c>
      <c r="AI147" s="445">
        <f t="shared" si="76"/>
        <v>0</v>
      </c>
      <c r="AJ147" s="446">
        <f t="shared" si="77"/>
        <v>188</v>
      </c>
    </row>
    <row r="148" spans="2:36" s="167" customFormat="1" ht="22.5" x14ac:dyDescent="0.25">
      <c r="B148" s="384" t="s">
        <v>399</v>
      </c>
      <c r="C148" s="385">
        <v>94491</v>
      </c>
      <c r="D148" s="386" t="s">
        <v>401</v>
      </c>
      <c r="E148" s="277" t="s">
        <v>166</v>
      </c>
      <c r="F148" s="245">
        <v>40.99</v>
      </c>
      <c r="G148" s="387">
        <v>4</v>
      </c>
      <c r="H148" s="443"/>
      <c r="I148" s="444"/>
      <c r="J148" s="443"/>
      <c r="K148" s="444"/>
      <c r="L148" s="444"/>
      <c r="M148" s="444"/>
      <c r="N148" s="387"/>
      <c r="O148" s="387"/>
      <c r="P148" s="444"/>
      <c r="Q148" s="444"/>
      <c r="R148" s="444">
        <v>0</v>
      </c>
      <c r="S148" s="444">
        <f>VLOOKUP(B148,'MEMÓRIA MEDIÇÃO 12'!$A$7:$F$202,6,FALSE)</f>
        <v>0</v>
      </c>
      <c r="T148" s="387">
        <f t="shared" si="69"/>
        <v>0</v>
      </c>
      <c r="U148" s="387">
        <f t="shared" si="63"/>
        <v>4</v>
      </c>
      <c r="V148" s="387">
        <f t="shared" si="64"/>
        <v>163.96</v>
      </c>
      <c r="W148" s="346">
        <f t="shared" si="65"/>
        <v>0</v>
      </c>
      <c r="X148" s="346">
        <f t="shared" si="66"/>
        <v>0</v>
      </c>
      <c r="Y148" s="346">
        <f t="shared" si="59"/>
        <v>0</v>
      </c>
      <c r="Z148" s="346">
        <f t="shared" si="67"/>
        <v>0</v>
      </c>
      <c r="AA148" s="346">
        <f t="shared" si="68"/>
        <v>0</v>
      </c>
      <c r="AB148" s="346">
        <f t="shared" si="62"/>
        <v>0</v>
      </c>
      <c r="AC148" s="346">
        <f t="shared" si="70"/>
        <v>0</v>
      </c>
      <c r="AD148" s="346">
        <f t="shared" si="71"/>
        <v>0</v>
      </c>
      <c r="AE148" s="346">
        <f t="shared" si="72"/>
        <v>0</v>
      </c>
      <c r="AF148" s="346">
        <f t="shared" si="73"/>
        <v>0</v>
      </c>
      <c r="AG148" s="346">
        <f t="shared" si="74"/>
        <v>0</v>
      </c>
      <c r="AH148" s="346">
        <f t="shared" si="75"/>
        <v>0</v>
      </c>
      <c r="AI148" s="445">
        <f t="shared" si="76"/>
        <v>0</v>
      </c>
      <c r="AJ148" s="446">
        <f t="shared" si="77"/>
        <v>163.96</v>
      </c>
    </row>
    <row r="149" spans="2:36" s="167" customFormat="1" ht="22.5" x14ac:dyDescent="0.25">
      <c r="B149" s="384" t="s">
        <v>402</v>
      </c>
      <c r="C149" s="385">
        <v>94492</v>
      </c>
      <c r="D149" s="386" t="s">
        <v>404</v>
      </c>
      <c r="E149" s="277" t="s">
        <v>166</v>
      </c>
      <c r="F149" s="245">
        <v>42.12</v>
      </c>
      <c r="G149" s="387">
        <v>2</v>
      </c>
      <c r="H149" s="443"/>
      <c r="I149" s="444"/>
      <c r="J149" s="443"/>
      <c r="K149" s="444"/>
      <c r="L149" s="444"/>
      <c r="M149" s="444"/>
      <c r="N149" s="387"/>
      <c r="O149" s="387"/>
      <c r="P149" s="444"/>
      <c r="Q149" s="444"/>
      <c r="R149" s="444">
        <v>0</v>
      </c>
      <c r="S149" s="444">
        <f>VLOOKUP(B149,'MEMÓRIA MEDIÇÃO 12'!$A$7:$F$202,6,FALSE)</f>
        <v>0</v>
      </c>
      <c r="T149" s="387">
        <f t="shared" si="69"/>
        <v>0</v>
      </c>
      <c r="U149" s="387">
        <f t="shared" si="63"/>
        <v>2</v>
      </c>
      <c r="V149" s="387">
        <f t="shared" si="64"/>
        <v>84.24</v>
      </c>
      <c r="W149" s="346">
        <f t="shared" si="65"/>
        <v>0</v>
      </c>
      <c r="X149" s="346">
        <f t="shared" si="66"/>
        <v>0</v>
      </c>
      <c r="Y149" s="346">
        <f t="shared" si="59"/>
        <v>0</v>
      </c>
      <c r="Z149" s="346">
        <f t="shared" si="67"/>
        <v>0</v>
      </c>
      <c r="AA149" s="346">
        <f t="shared" si="68"/>
        <v>0</v>
      </c>
      <c r="AB149" s="346">
        <f t="shared" si="62"/>
        <v>0</v>
      </c>
      <c r="AC149" s="346">
        <f t="shared" si="70"/>
        <v>0</v>
      </c>
      <c r="AD149" s="346">
        <f t="shared" si="71"/>
        <v>0</v>
      </c>
      <c r="AE149" s="346">
        <f t="shared" si="72"/>
        <v>0</v>
      </c>
      <c r="AF149" s="346">
        <f t="shared" si="73"/>
        <v>0</v>
      </c>
      <c r="AG149" s="346">
        <f t="shared" si="74"/>
        <v>0</v>
      </c>
      <c r="AH149" s="346">
        <f t="shared" si="75"/>
        <v>0</v>
      </c>
      <c r="AI149" s="445">
        <f t="shared" si="76"/>
        <v>0</v>
      </c>
      <c r="AJ149" s="446">
        <f t="shared" si="77"/>
        <v>84.24</v>
      </c>
    </row>
    <row r="150" spans="2:36" s="167" customFormat="1" ht="22.5" x14ac:dyDescent="0.25">
      <c r="B150" s="384" t="s">
        <v>405</v>
      </c>
      <c r="C150" s="385">
        <v>95675</v>
      </c>
      <c r="D150" s="386" t="s">
        <v>407</v>
      </c>
      <c r="E150" s="277" t="s">
        <v>166</v>
      </c>
      <c r="F150" s="245">
        <v>147.76</v>
      </c>
      <c r="G150" s="387">
        <v>1</v>
      </c>
      <c r="H150" s="443"/>
      <c r="I150" s="444"/>
      <c r="J150" s="443"/>
      <c r="K150" s="444"/>
      <c r="L150" s="444"/>
      <c r="M150" s="444"/>
      <c r="N150" s="387"/>
      <c r="O150" s="387"/>
      <c r="P150" s="444"/>
      <c r="Q150" s="444"/>
      <c r="R150" s="444">
        <v>0</v>
      </c>
      <c r="S150" s="444">
        <f>VLOOKUP(B150,'MEMÓRIA MEDIÇÃO 12'!$A$7:$F$202,6,FALSE)</f>
        <v>0</v>
      </c>
      <c r="T150" s="387">
        <f t="shared" si="69"/>
        <v>0</v>
      </c>
      <c r="U150" s="387">
        <f t="shared" si="63"/>
        <v>1</v>
      </c>
      <c r="V150" s="387">
        <f t="shared" si="64"/>
        <v>147.76</v>
      </c>
      <c r="W150" s="346">
        <f t="shared" si="65"/>
        <v>0</v>
      </c>
      <c r="X150" s="346">
        <f t="shared" si="66"/>
        <v>0</v>
      </c>
      <c r="Y150" s="346">
        <f t="shared" si="59"/>
        <v>0</v>
      </c>
      <c r="Z150" s="346">
        <f t="shared" si="67"/>
        <v>0</v>
      </c>
      <c r="AA150" s="346">
        <f t="shared" si="68"/>
        <v>0</v>
      </c>
      <c r="AB150" s="346">
        <f t="shared" si="62"/>
        <v>0</v>
      </c>
      <c r="AC150" s="346">
        <f t="shared" si="70"/>
        <v>0</v>
      </c>
      <c r="AD150" s="346">
        <f t="shared" si="71"/>
        <v>0</v>
      </c>
      <c r="AE150" s="346">
        <f t="shared" si="72"/>
        <v>0</v>
      </c>
      <c r="AF150" s="346">
        <f t="shared" si="73"/>
        <v>0</v>
      </c>
      <c r="AG150" s="346">
        <f t="shared" si="74"/>
        <v>0</v>
      </c>
      <c r="AH150" s="346">
        <f t="shared" si="75"/>
        <v>0</v>
      </c>
      <c r="AI150" s="445">
        <f t="shared" si="76"/>
        <v>0</v>
      </c>
      <c r="AJ150" s="446">
        <f t="shared" si="77"/>
        <v>147.76</v>
      </c>
    </row>
    <row r="151" spans="2:36" s="167" customFormat="1" ht="33.75" x14ac:dyDescent="0.25">
      <c r="B151" s="384" t="s">
        <v>408</v>
      </c>
      <c r="C151" s="385">
        <v>97902</v>
      </c>
      <c r="D151" s="386" t="s">
        <v>410</v>
      </c>
      <c r="E151" s="277" t="s">
        <v>166</v>
      </c>
      <c r="F151" s="245">
        <v>503.94</v>
      </c>
      <c r="G151" s="387">
        <v>7</v>
      </c>
      <c r="H151" s="443"/>
      <c r="I151" s="444"/>
      <c r="J151" s="443"/>
      <c r="K151" s="444"/>
      <c r="L151" s="444"/>
      <c r="M151" s="444"/>
      <c r="N151" s="387"/>
      <c r="O151" s="387"/>
      <c r="P151" s="444"/>
      <c r="Q151" s="444"/>
      <c r="R151" s="444">
        <v>7</v>
      </c>
      <c r="S151" s="444">
        <f>VLOOKUP(B151,'MEMÓRIA MEDIÇÃO 12'!$A$7:$F$202,6,FALSE)</f>
        <v>0</v>
      </c>
      <c r="T151" s="387">
        <f t="shared" si="69"/>
        <v>7</v>
      </c>
      <c r="U151" s="387">
        <f t="shared" si="63"/>
        <v>0</v>
      </c>
      <c r="V151" s="387">
        <f t="shared" si="64"/>
        <v>3527.58</v>
      </c>
      <c r="W151" s="346">
        <f t="shared" si="65"/>
        <v>0</v>
      </c>
      <c r="X151" s="346">
        <f t="shared" si="66"/>
        <v>0</v>
      </c>
      <c r="Y151" s="346">
        <f t="shared" si="59"/>
        <v>0</v>
      </c>
      <c r="Z151" s="346">
        <f t="shared" si="67"/>
        <v>0</v>
      </c>
      <c r="AA151" s="346">
        <f t="shared" si="68"/>
        <v>0</v>
      </c>
      <c r="AB151" s="346">
        <f t="shared" si="62"/>
        <v>0</v>
      </c>
      <c r="AC151" s="346">
        <f t="shared" si="70"/>
        <v>0</v>
      </c>
      <c r="AD151" s="346">
        <f t="shared" si="71"/>
        <v>0</v>
      </c>
      <c r="AE151" s="346">
        <f t="shared" si="72"/>
        <v>0</v>
      </c>
      <c r="AF151" s="346">
        <f t="shared" si="73"/>
        <v>0</v>
      </c>
      <c r="AG151" s="346">
        <f t="shared" si="74"/>
        <v>3527.58</v>
      </c>
      <c r="AH151" s="346">
        <f t="shared" si="75"/>
        <v>0</v>
      </c>
      <c r="AI151" s="445">
        <f t="shared" si="76"/>
        <v>3527.58</v>
      </c>
      <c r="AJ151" s="446">
        <f t="shared" si="77"/>
        <v>0</v>
      </c>
    </row>
    <row r="152" spans="2:36" s="167" customFormat="1" ht="45" x14ac:dyDescent="0.25">
      <c r="B152" s="384" t="s">
        <v>411</v>
      </c>
      <c r="C152" s="385">
        <v>99258</v>
      </c>
      <c r="D152" s="386" t="s">
        <v>413</v>
      </c>
      <c r="E152" s="277" t="s">
        <v>166</v>
      </c>
      <c r="F152" s="245">
        <v>206.7</v>
      </c>
      <c r="G152" s="387">
        <v>1</v>
      </c>
      <c r="H152" s="443"/>
      <c r="I152" s="444"/>
      <c r="J152" s="443"/>
      <c r="K152" s="444"/>
      <c r="L152" s="444"/>
      <c r="M152" s="444"/>
      <c r="N152" s="387"/>
      <c r="O152" s="387"/>
      <c r="P152" s="444"/>
      <c r="Q152" s="444"/>
      <c r="R152" s="444">
        <v>1</v>
      </c>
      <c r="S152" s="444">
        <f>VLOOKUP(B152,'MEMÓRIA MEDIÇÃO 12'!$A$7:$F$202,6,FALSE)</f>
        <v>0</v>
      </c>
      <c r="T152" s="387">
        <f t="shared" si="69"/>
        <v>1</v>
      </c>
      <c r="U152" s="387">
        <f t="shared" si="63"/>
        <v>0</v>
      </c>
      <c r="V152" s="387">
        <f t="shared" si="64"/>
        <v>206.7</v>
      </c>
      <c r="W152" s="346">
        <f t="shared" si="65"/>
        <v>0</v>
      </c>
      <c r="X152" s="346">
        <f t="shared" si="66"/>
        <v>0</v>
      </c>
      <c r="Y152" s="346">
        <f t="shared" si="59"/>
        <v>0</v>
      </c>
      <c r="Z152" s="346">
        <f t="shared" si="67"/>
        <v>0</v>
      </c>
      <c r="AA152" s="346">
        <f t="shared" si="68"/>
        <v>0</v>
      </c>
      <c r="AB152" s="346">
        <f t="shared" si="62"/>
        <v>0</v>
      </c>
      <c r="AC152" s="346">
        <f t="shared" si="70"/>
        <v>0</v>
      </c>
      <c r="AD152" s="346">
        <f t="shared" si="71"/>
        <v>0</v>
      </c>
      <c r="AE152" s="346">
        <f t="shared" si="72"/>
        <v>0</v>
      </c>
      <c r="AF152" s="346">
        <f t="shared" si="73"/>
        <v>0</v>
      </c>
      <c r="AG152" s="346">
        <f t="shared" si="74"/>
        <v>206.7</v>
      </c>
      <c r="AH152" s="346">
        <f t="shared" si="75"/>
        <v>0</v>
      </c>
      <c r="AI152" s="445">
        <f t="shared" si="76"/>
        <v>206.7</v>
      </c>
      <c r="AJ152" s="446">
        <f t="shared" si="77"/>
        <v>0</v>
      </c>
    </row>
    <row r="153" spans="2:36" s="167" customFormat="1" ht="33.75" x14ac:dyDescent="0.25">
      <c r="B153" s="384" t="s">
        <v>414</v>
      </c>
      <c r="C153" s="385">
        <v>89482</v>
      </c>
      <c r="D153" s="386" t="s">
        <v>416</v>
      </c>
      <c r="E153" s="277" t="s">
        <v>166</v>
      </c>
      <c r="F153" s="245">
        <v>32.83</v>
      </c>
      <c r="G153" s="387">
        <v>10</v>
      </c>
      <c r="H153" s="443"/>
      <c r="I153" s="444"/>
      <c r="J153" s="443"/>
      <c r="K153" s="444"/>
      <c r="L153" s="444"/>
      <c r="M153" s="444"/>
      <c r="N153" s="387"/>
      <c r="O153" s="387"/>
      <c r="P153" s="444"/>
      <c r="Q153" s="444"/>
      <c r="R153" s="444">
        <v>10</v>
      </c>
      <c r="S153" s="444">
        <f>VLOOKUP(B153,'MEMÓRIA MEDIÇÃO 12'!$A$7:$F$202,6,FALSE)</f>
        <v>0</v>
      </c>
      <c r="T153" s="387">
        <f t="shared" si="69"/>
        <v>10</v>
      </c>
      <c r="U153" s="387">
        <f t="shared" si="63"/>
        <v>0</v>
      </c>
      <c r="V153" s="387">
        <f t="shared" si="64"/>
        <v>328.29999999999995</v>
      </c>
      <c r="W153" s="346">
        <f t="shared" si="65"/>
        <v>0</v>
      </c>
      <c r="X153" s="346">
        <f t="shared" si="66"/>
        <v>0</v>
      </c>
      <c r="Y153" s="346">
        <f t="shared" si="59"/>
        <v>0</v>
      </c>
      <c r="Z153" s="346">
        <f t="shared" si="67"/>
        <v>0</v>
      </c>
      <c r="AA153" s="346">
        <f t="shared" si="68"/>
        <v>0</v>
      </c>
      <c r="AB153" s="346">
        <f t="shared" si="62"/>
        <v>0</v>
      </c>
      <c r="AC153" s="346">
        <f t="shared" si="70"/>
        <v>0</v>
      </c>
      <c r="AD153" s="346">
        <f t="shared" si="71"/>
        <v>0</v>
      </c>
      <c r="AE153" s="346">
        <f t="shared" si="72"/>
        <v>0</v>
      </c>
      <c r="AF153" s="346">
        <f t="shared" si="73"/>
        <v>0</v>
      </c>
      <c r="AG153" s="346">
        <f t="shared" si="74"/>
        <v>328.3</v>
      </c>
      <c r="AH153" s="346">
        <f t="shared" si="75"/>
        <v>0</v>
      </c>
      <c r="AI153" s="445">
        <f t="shared" si="76"/>
        <v>328.3</v>
      </c>
      <c r="AJ153" s="446">
        <f t="shared" si="77"/>
        <v>0</v>
      </c>
    </row>
    <row r="154" spans="2:36" s="167" customFormat="1" ht="56.25" x14ac:dyDescent="0.25">
      <c r="B154" s="384" t="s">
        <v>417</v>
      </c>
      <c r="C154" s="385">
        <v>91792</v>
      </c>
      <c r="D154" s="386" t="s">
        <v>419</v>
      </c>
      <c r="E154" s="277" t="s">
        <v>37</v>
      </c>
      <c r="F154" s="245">
        <v>54.23</v>
      </c>
      <c r="G154" s="387">
        <v>38.85</v>
      </c>
      <c r="H154" s="443"/>
      <c r="I154" s="444"/>
      <c r="J154" s="443"/>
      <c r="K154" s="444"/>
      <c r="L154" s="444"/>
      <c r="M154" s="444"/>
      <c r="N154" s="444"/>
      <c r="O154" s="444">
        <f>'MEMORIAL DE CALCULO 08'!K498</f>
        <v>38.85</v>
      </c>
      <c r="P154" s="444"/>
      <c r="Q154" s="444"/>
      <c r="R154" s="444">
        <v>0</v>
      </c>
      <c r="S154" s="444">
        <f>VLOOKUP(B154,'MEMÓRIA MEDIÇÃO 12'!$A$7:$F$202,6,FALSE)</f>
        <v>0</v>
      </c>
      <c r="T154" s="387">
        <f t="shared" si="69"/>
        <v>38.85</v>
      </c>
      <c r="U154" s="387">
        <f t="shared" si="63"/>
        <v>0</v>
      </c>
      <c r="V154" s="387">
        <f t="shared" si="64"/>
        <v>2106.8355000000001</v>
      </c>
      <c r="W154" s="346">
        <f t="shared" si="65"/>
        <v>0</v>
      </c>
      <c r="X154" s="346">
        <f t="shared" si="66"/>
        <v>0</v>
      </c>
      <c r="Y154" s="346">
        <f t="shared" si="59"/>
        <v>0</v>
      </c>
      <c r="Z154" s="346">
        <f t="shared" si="67"/>
        <v>0</v>
      </c>
      <c r="AA154" s="346">
        <f t="shared" si="68"/>
        <v>0</v>
      </c>
      <c r="AB154" s="346">
        <f t="shared" si="62"/>
        <v>0</v>
      </c>
      <c r="AC154" s="346">
        <f t="shared" si="70"/>
        <v>0</v>
      </c>
      <c r="AD154" s="346">
        <f t="shared" si="71"/>
        <v>2106.83</v>
      </c>
      <c r="AE154" s="346">
        <f t="shared" si="72"/>
        <v>0</v>
      </c>
      <c r="AF154" s="346">
        <f t="shared" si="73"/>
        <v>0</v>
      </c>
      <c r="AG154" s="346">
        <f t="shared" si="74"/>
        <v>0</v>
      </c>
      <c r="AH154" s="346">
        <f t="shared" si="75"/>
        <v>0</v>
      </c>
      <c r="AI154" s="445">
        <f t="shared" si="76"/>
        <v>2106.83</v>
      </c>
      <c r="AJ154" s="446">
        <f t="shared" si="77"/>
        <v>5.5000000002110028E-3</v>
      </c>
    </row>
    <row r="155" spans="2:36" s="167" customFormat="1" ht="56.25" x14ac:dyDescent="0.25">
      <c r="B155" s="384" t="s">
        <v>420</v>
      </c>
      <c r="C155" s="385">
        <v>91793</v>
      </c>
      <c r="D155" s="386" t="s">
        <v>422</v>
      </c>
      <c r="E155" s="277" t="s">
        <v>37</v>
      </c>
      <c r="F155" s="245">
        <v>87.3</v>
      </c>
      <c r="G155" s="387">
        <v>46.51</v>
      </c>
      <c r="H155" s="443"/>
      <c r="I155" s="444"/>
      <c r="J155" s="443"/>
      <c r="K155" s="444"/>
      <c r="L155" s="444"/>
      <c r="M155" s="444"/>
      <c r="N155" s="444"/>
      <c r="O155" s="444">
        <f>'MEMORIAL DE CALCULO 08'!K501</f>
        <v>46.51</v>
      </c>
      <c r="P155" s="444"/>
      <c r="Q155" s="444"/>
      <c r="R155" s="444">
        <v>0</v>
      </c>
      <c r="S155" s="444">
        <f>VLOOKUP(B155,'MEMÓRIA MEDIÇÃO 12'!$A$7:$F$202,6,FALSE)</f>
        <v>0</v>
      </c>
      <c r="T155" s="387">
        <f t="shared" si="69"/>
        <v>46.51</v>
      </c>
      <c r="U155" s="387">
        <f t="shared" si="63"/>
        <v>0</v>
      </c>
      <c r="V155" s="387">
        <f t="shared" si="64"/>
        <v>4060.3229999999999</v>
      </c>
      <c r="W155" s="346">
        <f t="shared" si="65"/>
        <v>0</v>
      </c>
      <c r="X155" s="346">
        <f t="shared" si="66"/>
        <v>0</v>
      </c>
      <c r="Y155" s="346">
        <f t="shared" ref="Y155:Y186" si="78">F155*J155</f>
        <v>0</v>
      </c>
      <c r="Z155" s="346">
        <f t="shared" si="67"/>
        <v>0</v>
      </c>
      <c r="AA155" s="346">
        <f t="shared" si="68"/>
        <v>0</v>
      </c>
      <c r="AB155" s="346">
        <f t="shared" si="62"/>
        <v>0</v>
      </c>
      <c r="AC155" s="346">
        <f t="shared" si="70"/>
        <v>0</v>
      </c>
      <c r="AD155" s="346">
        <f t="shared" si="71"/>
        <v>4060.32</v>
      </c>
      <c r="AE155" s="346">
        <f t="shared" si="72"/>
        <v>0</v>
      </c>
      <c r="AF155" s="346">
        <f t="shared" si="73"/>
        <v>0</v>
      </c>
      <c r="AG155" s="346">
        <f t="shared" si="74"/>
        <v>0</v>
      </c>
      <c r="AH155" s="346">
        <f t="shared" si="75"/>
        <v>0</v>
      </c>
      <c r="AI155" s="445">
        <f t="shared" si="76"/>
        <v>4060.32</v>
      </c>
      <c r="AJ155" s="446">
        <f t="shared" si="77"/>
        <v>2.9999999997016857E-3</v>
      </c>
    </row>
    <row r="156" spans="2:36" s="167" customFormat="1" ht="45" x14ac:dyDescent="0.25">
      <c r="B156" s="384" t="s">
        <v>423</v>
      </c>
      <c r="C156" s="385">
        <v>98107</v>
      </c>
      <c r="D156" s="386" t="s">
        <v>425</v>
      </c>
      <c r="E156" s="277" t="s">
        <v>166</v>
      </c>
      <c r="F156" s="245">
        <v>243.02</v>
      </c>
      <c r="G156" s="387">
        <v>1</v>
      </c>
      <c r="H156" s="443"/>
      <c r="I156" s="444"/>
      <c r="J156" s="443"/>
      <c r="K156" s="444"/>
      <c r="L156" s="444"/>
      <c r="M156" s="444"/>
      <c r="N156" s="444"/>
      <c r="O156" s="444"/>
      <c r="P156" s="444"/>
      <c r="Q156" s="444"/>
      <c r="R156" s="444">
        <v>1</v>
      </c>
      <c r="S156" s="444">
        <f>VLOOKUP(B156,'MEMÓRIA MEDIÇÃO 12'!$A$7:$F$202,6,FALSE)</f>
        <v>0</v>
      </c>
      <c r="T156" s="387">
        <f t="shared" si="69"/>
        <v>1</v>
      </c>
      <c r="U156" s="387">
        <f t="shared" si="63"/>
        <v>0</v>
      </c>
      <c r="V156" s="387">
        <f t="shared" si="64"/>
        <v>243.02</v>
      </c>
      <c r="W156" s="346">
        <f t="shared" si="65"/>
        <v>0</v>
      </c>
      <c r="X156" s="346">
        <f t="shared" si="66"/>
        <v>0</v>
      </c>
      <c r="Y156" s="346">
        <f t="shared" si="78"/>
        <v>0</v>
      </c>
      <c r="Z156" s="346">
        <f t="shared" si="67"/>
        <v>0</v>
      </c>
      <c r="AA156" s="346">
        <f t="shared" si="68"/>
        <v>0</v>
      </c>
      <c r="AB156" s="346">
        <f t="shared" si="62"/>
        <v>0</v>
      </c>
      <c r="AC156" s="346">
        <f t="shared" si="70"/>
        <v>0</v>
      </c>
      <c r="AD156" s="346">
        <f t="shared" si="71"/>
        <v>0</v>
      </c>
      <c r="AE156" s="346">
        <f t="shared" si="72"/>
        <v>0</v>
      </c>
      <c r="AF156" s="346">
        <f t="shared" si="73"/>
        <v>0</v>
      </c>
      <c r="AG156" s="346">
        <f t="shared" si="74"/>
        <v>243.02</v>
      </c>
      <c r="AH156" s="346">
        <f t="shared" si="75"/>
        <v>0</v>
      </c>
      <c r="AI156" s="445">
        <f t="shared" si="76"/>
        <v>243.02</v>
      </c>
      <c r="AJ156" s="446">
        <f t="shared" si="77"/>
        <v>0</v>
      </c>
    </row>
    <row r="157" spans="2:36" s="167" customFormat="1" ht="56.25" x14ac:dyDescent="0.25">
      <c r="B157" s="384" t="s">
        <v>426</v>
      </c>
      <c r="C157" s="385">
        <v>91795</v>
      </c>
      <c r="D157" s="386" t="s">
        <v>428</v>
      </c>
      <c r="E157" s="277" t="s">
        <v>37</v>
      </c>
      <c r="F157" s="245">
        <v>65.239999999999995</v>
      </c>
      <c r="G157" s="387">
        <v>132.77000000000001</v>
      </c>
      <c r="H157" s="443"/>
      <c r="I157" s="444"/>
      <c r="J157" s="443"/>
      <c r="K157" s="444"/>
      <c r="L157" s="444"/>
      <c r="M157" s="444"/>
      <c r="N157" s="444">
        <v>6</v>
      </c>
      <c r="O157" s="444">
        <f>'MEMORIAL DE CALCULO 08'!K507</f>
        <v>66.385000000000005</v>
      </c>
      <c r="P157" s="444"/>
      <c r="Q157" s="444"/>
      <c r="R157" s="444">
        <v>60.38</v>
      </c>
      <c r="S157" s="444">
        <f>VLOOKUP(B157,'MEMÓRIA MEDIÇÃO 12'!$A$7:$F$202,6,FALSE)</f>
        <v>0</v>
      </c>
      <c r="T157" s="387">
        <f t="shared" si="69"/>
        <v>132.76500000000001</v>
      </c>
      <c r="U157" s="387">
        <f t="shared" si="63"/>
        <v>4.9999999999954525E-3</v>
      </c>
      <c r="V157" s="387">
        <f t="shared" si="64"/>
        <v>8661.9148000000005</v>
      </c>
      <c r="W157" s="346">
        <f t="shared" si="65"/>
        <v>0</v>
      </c>
      <c r="X157" s="346">
        <f t="shared" si="66"/>
        <v>0</v>
      </c>
      <c r="Y157" s="346">
        <f t="shared" si="78"/>
        <v>0</v>
      </c>
      <c r="Z157" s="346">
        <f t="shared" si="67"/>
        <v>0</v>
      </c>
      <c r="AA157" s="346">
        <f t="shared" si="68"/>
        <v>0</v>
      </c>
      <c r="AB157" s="346">
        <f t="shared" si="62"/>
        <v>0</v>
      </c>
      <c r="AC157" s="346">
        <f t="shared" si="70"/>
        <v>391.43999999999994</v>
      </c>
      <c r="AD157" s="346">
        <f t="shared" si="71"/>
        <v>4330.95</v>
      </c>
      <c r="AE157" s="346">
        <f t="shared" si="72"/>
        <v>0</v>
      </c>
      <c r="AF157" s="346">
        <f t="shared" si="73"/>
        <v>0</v>
      </c>
      <c r="AG157" s="346">
        <f t="shared" si="74"/>
        <v>3939.19</v>
      </c>
      <c r="AH157" s="346">
        <f t="shared" si="75"/>
        <v>0</v>
      </c>
      <c r="AI157" s="445">
        <f t="shared" si="76"/>
        <v>8661.58</v>
      </c>
      <c r="AJ157" s="446">
        <f t="shared" si="77"/>
        <v>0.33480000000054133</v>
      </c>
    </row>
    <row r="158" spans="2:36" s="167" customFormat="1" ht="33.75" x14ac:dyDescent="0.25">
      <c r="B158" s="384" t="s">
        <v>429</v>
      </c>
      <c r="C158" s="385">
        <v>99251</v>
      </c>
      <c r="D158" s="391" t="s">
        <v>431</v>
      </c>
      <c r="E158" s="277" t="s">
        <v>166</v>
      </c>
      <c r="F158" s="245">
        <v>247.12</v>
      </c>
      <c r="G158" s="387">
        <v>2</v>
      </c>
      <c r="H158" s="443"/>
      <c r="I158" s="278"/>
      <c r="J158" s="443"/>
      <c r="K158" s="278"/>
      <c r="L158" s="278"/>
      <c r="M158" s="278"/>
      <c r="N158" s="278"/>
      <c r="O158" s="278"/>
      <c r="P158" s="278"/>
      <c r="Q158" s="278"/>
      <c r="R158" s="444">
        <v>0</v>
      </c>
      <c r="S158" s="444">
        <f>VLOOKUP(B158,'MEMÓRIA MEDIÇÃO 12'!$A$7:$F$202,6,FALSE)</f>
        <v>0</v>
      </c>
      <c r="T158" s="387">
        <f t="shared" si="69"/>
        <v>0</v>
      </c>
      <c r="U158" s="387">
        <f t="shared" si="63"/>
        <v>2</v>
      </c>
      <c r="V158" s="387">
        <f t="shared" si="64"/>
        <v>494.24</v>
      </c>
      <c r="W158" s="346">
        <f t="shared" si="65"/>
        <v>0</v>
      </c>
      <c r="X158" s="346">
        <f t="shared" si="66"/>
        <v>0</v>
      </c>
      <c r="Y158" s="346">
        <f t="shared" si="78"/>
        <v>0</v>
      </c>
      <c r="Z158" s="346">
        <f t="shared" si="67"/>
        <v>0</v>
      </c>
      <c r="AA158" s="346">
        <f t="shared" si="68"/>
        <v>0</v>
      </c>
      <c r="AB158" s="346">
        <f t="shared" si="62"/>
        <v>0</v>
      </c>
      <c r="AC158" s="346">
        <f t="shared" si="70"/>
        <v>0</v>
      </c>
      <c r="AD158" s="346">
        <f t="shared" si="71"/>
        <v>0</v>
      </c>
      <c r="AE158" s="346">
        <f t="shared" si="72"/>
        <v>0</v>
      </c>
      <c r="AF158" s="346">
        <f t="shared" si="73"/>
        <v>0</v>
      </c>
      <c r="AG158" s="346">
        <f t="shared" si="74"/>
        <v>0</v>
      </c>
      <c r="AH158" s="346">
        <f t="shared" si="75"/>
        <v>0</v>
      </c>
      <c r="AI158" s="445">
        <f t="shared" si="76"/>
        <v>0</v>
      </c>
      <c r="AJ158" s="446">
        <f t="shared" si="77"/>
        <v>494.24</v>
      </c>
    </row>
    <row r="159" spans="2:36" s="167" customFormat="1" ht="56.25" x14ac:dyDescent="0.25">
      <c r="B159" s="384" t="s">
        <v>432</v>
      </c>
      <c r="C159" s="385">
        <v>91790</v>
      </c>
      <c r="D159" s="391" t="s">
        <v>434</v>
      </c>
      <c r="E159" s="277" t="s">
        <v>37</v>
      </c>
      <c r="F159" s="245">
        <v>56.42</v>
      </c>
      <c r="G159" s="387">
        <v>43.01</v>
      </c>
      <c r="H159" s="443"/>
      <c r="I159" s="278"/>
      <c r="J159" s="443"/>
      <c r="K159" s="278"/>
      <c r="L159" s="278"/>
      <c r="M159" s="278"/>
      <c r="N159" s="443"/>
      <c r="O159" s="443"/>
      <c r="P159" s="443"/>
      <c r="Q159" s="443"/>
      <c r="R159" s="444">
        <v>0</v>
      </c>
      <c r="S159" s="444">
        <f>VLOOKUP(B159,'MEMÓRIA MEDIÇÃO 12'!$A$7:$F$202,6,FALSE)</f>
        <v>0</v>
      </c>
      <c r="T159" s="387">
        <f t="shared" si="69"/>
        <v>0</v>
      </c>
      <c r="U159" s="387">
        <f t="shared" si="63"/>
        <v>43.01</v>
      </c>
      <c r="V159" s="387">
        <f t="shared" si="64"/>
        <v>2426.6241999999997</v>
      </c>
      <c r="W159" s="346">
        <f t="shared" si="65"/>
        <v>0</v>
      </c>
      <c r="X159" s="346">
        <f t="shared" si="66"/>
        <v>0</v>
      </c>
      <c r="Y159" s="346">
        <f t="shared" si="78"/>
        <v>0</v>
      </c>
      <c r="Z159" s="346">
        <f t="shared" si="67"/>
        <v>0</v>
      </c>
      <c r="AA159" s="346">
        <f t="shared" si="68"/>
        <v>0</v>
      </c>
      <c r="AB159" s="346">
        <f t="shared" si="62"/>
        <v>0</v>
      </c>
      <c r="AC159" s="346">
        <f t="shared" si="70"/>
        <v>0</v>
      </c>
      <c r="AD159" s="346">
        <f t="shared" si="71"/>
        <v>0</v>
      </c>
      <c r="AE159" s="346">
        <f t="shared" si="72"/>
        <v>0</v>
      </c>
      <c r="AF159" s="346">
        <f t="shared" si="73"/>
        <v>0</v>
      </c>
      <c r="AG159" s="346">
        <f t="shared" si="74"/>
        <v>0</v>
      </c>
      <c r="AH159" s="346">
        <f t="shared" si="75"/>
        <v>0</v>
      </c>
      <c r="AI159" s="445">
        <f t="shared" si="76"/>
        <v>0</v>
      </c>
      <c r="AJ159" s="446">
        <f t="shared" si="77"/>
        <v>2426.6241999999997</v>
      </c>
    </row>
    <row r="160" spans="2:36" s="167" customFormat="1" ht="14.45" customHeight="1" x14ac:dyDescent="0.25">
      <c r="B160" s="347">
        <v>1.1399999999999999</v>
      </c>
      <c r="C160" s="348" t="s">
        <v>436</v>
      </c>
      <c r="D160" s="386"/>
      <c r="E160" s="277"/>
      <c r="F160" s="387"/>
      <c r="G160" s="387"/>
      <c r="H160" s="444"/>
      <c r="I160" s="444"/>
      <c r="J160" s="443"/>
      <c r="K160" s="444"/>
      <c r="L160" s="444"/>
      <c r="M160" s="444"/>
      <c r="N160" s="387"/>
      <c r="O160" s="387"/>
      <c r="P160" s="444"/>
      <c r="Q160" s="444"/>
      <c r="R160" s="444">
        <v>0</v>
      </c>
      <c r="S160" s="444">
        <f>VLOOKUP(B160,'MEMÓRIA MEDIÇÃO 12'!$A$7:$F$202,6,FALSE)</f>
        <v>0</v>
      </c>
      <c r="T160" s="387">
        <f t="shared" si="69"/>
        <v>0</v>
      </c>
      <c r="U160" s="387"/>
      <c r="V160" s="387"/>
      <c r="W160" s="346">
        <f t="shared" si="65"/>
        <v>0</v>
      </c>
      <c r="X160" s="346">
        <f t="shared" si="66"/>
        <v>0</v>
      </c>
      <c r="Y160" s="346">
        <f t="shared" si="78"/>
        <v>0</v>
      </c>
      <c r="Z160" s="346">
        <f t="shared" si="67"/>
        <v>0</v>
      </c>
      <c r="AA160" s="346">
        <f t="shared" si="68"/>
        <v>0</v>
      </c>
      <c r="AB160" s="346">
        <f t="shared" si="62"/>
        <v>0</v>
      </c>
      <c r="AC160" s="346">
        <f t="shared" si="70"/>
        <v>0</v>
      </c>
      <c r="AD160" s="346">
        <f t="shared" si="71"/>
        <v>0</v>
      </c>
      <c r="AE160" s="346">
        <f t="shared" si="72"/>
        <v>0</v>
      </c>
      <c r="AF160" s="346">
        <f t="shared" si="73"/>
        <v>0</v>
      </c>
      <c r="AG160" s="346">
        <f t="shared" si="74"/>
        <v>0</v>
      </c>
      <c r="AH160" s="346">
        <f t="shared" si="75"/>
        <v>0</v>
      </c>
      <c r="AI160" s="445">
        <f t="shared" si="76"/>
        <v>0</v>
      </c>
      <c r="AJ160" s="446">
        <f t="shared" si="77"/>
        <v>0</v>
      </c>
    </row>
    <row r="161" spans="2:36" s="167" customFormat="1" ht="22.5" x14ac:dyDescent="0.25">
      <c r="B161" s="384" t="s">
        <v>437</v>
      </c>
      <c r="C161" s="442" t="s">
        <v>438</v>
      </c>
      <c r="D161" s="386" t="s">
        <v>439</v>
      </c>
      <c r="E161" s="277" t="s">
        <v>17</v>
      </c>
      <c r="F161" s="387">
        <v>530.87</v>
      </c>
      <c r="G161" s="387">
        <v>14.07</v>
      </c>
      <c r="H161" s="444"/>
      <c r="I161" s="444"/>
      <c r="J161" s="443"/>
      <c r="K161" s="444"/>
      <c r="L161" s="444"/>
      <c r="M161" s="444"/>
      <c r="N161" s="387"/>
      <c r="O161" s="387"/>
      <c r="P161" s="444"/>
      <c r="Q161" s="444"/>
      <c r="R161" s="444">
        <v>0</v>
      </c>
      <c r="S161" s="444">
        <f>VLOOKUP(B161,'MEMÓRIA MEDIÇÃO 12'!$A$7:$F$202,6,FALSE)</f>
        <v>0</v>
      </c>
      <c r="T161" s="387">
        <f t="shared" si="69"/>
        <v>0</v>
      </c>
      <c r="U161" s="387">
        <f t="shared" ref="U161:U172" si="79">G161-T161</f>
        <v>14.07</v>
      </c>
      <c r="V161" s="387">
        <f t="shared" ref="V161:V172" si="80">F161*G161</f>
        <v>7469.3409000000001</v>
      </c>
      <c r="W161" s="346">
        <f t="shared" si="65"/>
        <v>0</v>
      </c>
      <c r="X161" s="346">
        <f t="shared" si="66"/>
        <v>0</v>
      </c>
      <c r="Y161" s="346">
        <f t="shared" si="78"/>
        <v>0</v>
      </c>
      <c r="Z161" s="346">
        <f t="shared" si="67"/>
        <v>0</v>
      </c>
      <c r="AA161" s="346">
        <f t="shared" si="68"/>
        <v>0</v>
      </c>
      <c r="AB161" s="346">
        <f t="shared" si="62"/>
        <v>0</v>
      </c>
      <c r="AC161" s="346">
        <f t="shared" si="70"/>
        <v>0</v>
      </c>
      <c r="AD161" s="346">
        <f t="shared" si="71"/>
        <v>0</v>
      </c>
      <c r="AE161" s="346">
        <f t="shared" si="72"/>
        <v>0</v>
      </c>
      <c r="AF161" s="346">
        <f t="shared" si="73"/>
        <v>0</v>
      </c>
      <c r="AG161" s="346">
        <f t="shared" si="74"/>
        <v>0</v>
      </c>
      <c r="AH161" s="346">
        <f t="shared" si="75"/>
        <v>0</v>
      </c>
      <c r="AI161" s="445">
        <f t="shared" si="76"/>
        <v>0</v>
      </c>
      <c r="AJ161" s="446">
        <f t="shared" si="77"/>
        <v>7469.3409000000001</v>
      </c>
    </row>
    <row r="162" spans="2:36" s="167" customFormat="1" ht="33.75" x14ac:dyDescent="0.25">
      <c r="B162" s="384" t="s">
        <v>440</v>
      </c>
      <c r="C162" s="385">
        <v>86906</v>
      </c>
      <c r="D162" s="391" t="s">
        <v>442</v>
      </c>
      <c r="E162" s="277" t="s">
        <v>166</v>
      </c>
      <c r="F162" s="277">
        <v>70.64</v>
      </c>
      <c r="G162" s="387">
        <v>10</v>
      </c>
      <c r="H162" s="278"/>
      <c r="I162" s="278"/>
      <c r="J162" s="443"/>
      <c r="K162" s="278"/>
      <c r="L162" s="278"/>
      <c r="M162" s="278"/>
      <c r="N162" s="278"/>
      <c r="O162" s="278"/>
      <c r="P162" s="278"/>
      <c r="Q162" s="278"/>
      <c r="R162" s="444">
        <v>0</v>
      </c>
      <c r="S162" s="444">
        <f>VLOOKUP(B162,'MEMÓRIA MEDIÇÃO 12'!$A$7:$F$202,6,FALSE)</f>
        <v>0</v>
      </c>
      <c r="T162" s="387">
        <f t="shared" si="69"/>
        <v>0</v>
      </c>
      <c r="U162" s="387">
        <f t="shared" si="79"/>
        <v>10</v>
      </c>
      <c r="V162" s="387">
        <f t="shared" si="80"/>
        <v>706.4</v>
      </c>
      <c r="W162" s="346">
        <f t="shared" si="65"/>
        <v>0</v>
      </c>
      <c r="X162" s="346">
        <f t="shared" si="66"/>
        <v>0</v>
      </c>
      <c r="Y162" s="346">
        <f t="shared" si="78"/>
        <v>0</v>
      </c>
      <c r="Z162" s="346">
        <f t="shared" si="67"/>
        <v>0</v>
      </c>
      <c r="AA162" s="346">
        <f t="shared" si="68"/>
        <v>0</v>
      </c>
      <c r="AB162" s="346">
        <f t="shared" ref="AB162:AB195" si="81">M162*F162</f>
        <v>0</v>
      </c>
      <c r="AC162" s="346">
        <f t="shared" si="70"/>
        <v>0</v>
      </c>
      <c r="AD162" s="346">
        <f t="shared" si="71"/>
        <v>0</v>
      </c>
      <c r="AE162" s="346">
        <f t="shared" si="72"/>
        <v>0</v>
      </c>
      <c r="AF162" s="346">
        <f t="shared" si="73"/>
        <v>0</v>
      </c>
      <c r="AG162" s="346">
        <f t="shared" si="74"/>
        <v>0</v>
      </c>
      <c r="AH162" s="346">
        <f t="shared" si="75"/>
        <v>0</v>
      </c>
      <c r="AI162" s="445">
        <f t="shared" si="76"/>
        <v>0</v>
      </c>
      <c r="AJ162" s="446">
        <f t="shared" si="77"/>
        <v>706.4</v>
      </c>
    </row>
    <row r="163" spans="2:36" s="167" customFormat="1" ht="33.75" x14ac:dyDescent="0.25">
      <c r="B163" s="384" t="s">
        <v>443</v>
      </c>
      <c r="C163" s="385">
        <v>86911</v>
      </c>
      <c r="D163" s="386" t="s">
        <v>445</v>
      </c>
      <c r="E163" s="277" t="s">
        <v>166</v>
      </c>
      <c r="F163" s="387">
        <v>82.65</v>
      </c>
      <c r="G163" s="387">
        <v>3</v>
      </c>
      <c r="H163" s="444"/>
      <c r="I163" s="444"/>
      <c r="J163" s="443"/>
      <c r="K163" s="444"/>
      <c r="L163" s="444"/>
      <c r="M163" s="444"/>
      <c r="N163" s="387"/>
      <c r="O163" s="387"/>
      <c r="P163" s="444"/>
      <c r="Q163" s="444"/>
      <c r="R163" s="444">
        <v>0</v>
      </c>
      <c r="S163" s="444">
        <f>VLOOKUP(B163,'MEMÓRIA MEDIÇÃO 12'!$A$7:$F$202,6,FALSE)</f>
        <v>0</v>
      </c>
      <c r="T163" s="387">
        <f t="shared" si="69"/>
        <v>0</v>
      </c>
      <c r="U163" s="387">
        <f t="shared" si="79"/>
        <v>3</v>
      </c>
      <c r="V163" s="387">
        <f t="shared" si="80"/>
        <v>247.95000000000002</v>
      </c>
      <c r="W163" s="346">
        <f t="shared" si="65"/>
        <v>0</v>
      </c>
      <c r="X163" s="346">
        <f t="shared" si="66"/>
        <v>0</v>
      </c>
      <c r="Y163" s="346">
        <f t="shared" si="78"/>
        <v>0</v>
      </c>
      <c r="Z163" s="346">
        <f t="shared" si="67"/>
        <v>0</v>
      </c>
      <c r="AA163" s="346">
        <f t="shared" si="68"/>
        <v>0</v>
      </c>
      <c r="AB163" s="346">
        <f t="shared" si="81"/>
        <v>0</v>
      </c>
      <c r="AC163" s="346">
        <f t="shared" si="70"/>
        <v>0</v>
      </c>
      <c r="AD163" s="346">
        <f t="shared" si="71"/>
        <v>0</v>
      </c>
      <c r="AE163" s="346">
        <f t="shared" si="72"/>
        <v>0</v>
      </c>
      <c r="AF163" s="346">
        <f t="shared" si="73"/>
        <v>0</v>
      </c>
      <c r="AG163" s="346">
        <f t="shared" si="74"/>
        <v>0</v>
      </c>
      <c r="AH163" s="346">
        <f t="shared" si="75"/>
        <v>0</v>
      </c>
      <c r="AI163" s="445">
        <f t="shared" si="76"/>
        <v>0</v>
      </c>
      <c r="AJ163" s="446">
        <f t="shared" si="77"/>
        <v>247.95000000000002</v>
      </c>
    </row>
    <row r="164" spans="2:36" s="167" customFormat="1" ht="22.5" x14ac:dyDescent="0.25">
      <c r="B164" s="384" t="s">
        <v>446</v>
      </c>
      <c r="C164" s="385">
        <v>10428</v>
      </c>
      <c r="D164" s="386" t="s">
        <v>448</v>
      </c>
      <c r="E164" s="277" t="s">
        <v>166</v>
      </c>
      <c r="F164" s="387">
        <v>500.75</v>
      </c>
      <c r="G164" s="387">
        <v>8</v>
      </c>
      <c r="H164" s="444"/>
      <c r="I164" s="444"/>
      <c r="J164" s="443"/>
      <c r="K164" s="444"/>
      <c r="L164" s="444"/>
      <c r="M164" s="444"/>
      <c r="N164" s="387"/>
      <c r="O164" s="387"/>
      <c r="P164" s="444"/>
      <c r="Q164" s="444"/>
      <c r="R164" s="444">
        <v>0</v>
      </c>
      <c r="S164" s="444">
        <f>VLOOKUP(B164,'MEMÓRIA MEDIÇÃO 12'!$A$7:$F$202,6,FALSE)</f>
        <v>0</v>
      </c>
      <c r="T164" s="387">
        <f t="shared" si="69"/>
        <v>0</v>
      </c>
      <c r="U164" s="387">
        <f t="shared" si="79"/>
        <v>8</v>
      </c>
      <c r="V164" s="387">
        <f t="shared" si="80"/>
        <v>4006</v>
      </c>
      <c r="W164" s="346">
        <f t="shared" si="65"/>
        <v>0</v>
      </c>
      <c r="X164" s="346">
        <f t="shared" si="66"/>
        <v>0</v>
      </c>
      <c r="Y164" s="346">
        <f t="shared" si="78"/>
        <v>0</v>
      </c>
      <c r="Z164" s="346">
        <f t="shared" si="67"/>
        <v>0</v>
      </c>
      <c r="AA164" s="346">
        <f t="shared" si="68"/>
        <v>0</v>
      </c>
      <c r="AB164" s="346">
        <f t="shared" si="81"/>
        <v>0</v>
      </c>
      <c r="AC164" s="346">
        <f t="shared" si="70"/>
        <v>0</v>
      </c>
      <c r="AD164" s="346">
        <f t="shared" si="71"/>
        <v>0</v>
      </c>
      <c r="AE164" s="346">
        <f t="shared" si="72"/>
        <v>0</v>
      </c>
      <c r="AF164" s="346">
        <f t="shared" si="73"/>
        <v>0</v>
      </c>
      <c r="AG164" s="346">
        <f t="shared" si="74"/>
        <v>0</v>
      </c>
      <c r="AH164" s="346">
        <f t="shared" si="75"/>
        <v>0</v>
      </c>
      <c r="AI164" s="445">
        <f t="shared" si="76"/>
        <v>0</v>
      </c>
      <c r="AJ164" s="446">
        <f t="shared" si="77"/>
        <v>4006</v>
      </c>
    </row>
    <row r="165" spans="2:36" s="167" customFormat="1" ht="45" x14ac:dyDescent="0.25">
      <c r="B165" s="384" t="s">
        <v>449</v>
      </c>
      <c r="C165" s="385">
        <v>86932</v>
      </c>
      <c r="D165" s="386" t="s">
        <v>451</v>
      </c>
      <c r="E165" s="277" t="s">
        <v>166</v>
      </c>
      <c r="F165" s="387">
        <v>530.35</v>
      </c>
      <c r="G165" s="387">
        <v>9</v>
      </c>
      <c r="H165" s="444"/>
      <c r="I165" s="444"/>
      <c r="J165" s="443"/>
      <c r="K165" s="444"/>
      <c r="L165" s="444"/>
      <c r="M165" s="444"/>
      <c r="N165" s="387"/>
      <c r="O165" s="387"/>
      <c r="P165" s="444"/>
      <c r="Q165" s="444"/>
      <c r="R165" s="444">
        <v>0</v>
      </c>
      <c r="S165" s="444">
        <f>VLOOKUP(B165,'MEMÓRIA MEDIÇÃO 12'!$A$7:$F$202,6,FALSE)</f>
        <v>0</v>
      </c>
      <c r="T165" s="387">
        <f t="shared" si="69"/>
        <v>0</v>
      </c>
      <c r="U165" s="387">
        <f t="shared" si="79"/>
        <v>9</v>
      </c>
      <c r="V165" s="387">
        <f t="shared" si="80"/>
        <v>4773.1500000000005</v>
      </c>
      <c r="W165" s="346">
        <f t="shared" si="65"/>
        <v>0</v>
      </c>
      <c r="X165" s="346">
        <f t="shared" si="66"/>
        <v>0</v>
      </c>
      <c r="Y165" s="346">
        <f t="shared" si="78"/>
        <v>0</v>
      </c>
      <c r="Z165" s="346">
        <f t="shared" si="67"/>
        <v>0</v>
      </c>
      <c r="AA165" s="346">
        <f t="shared" si="68"/>
        <v>0</v>
      </c>
      <c r="AB165" s="346">
        <f t="shared" si="81"/>
        <v>0</v>
      </c>
      <c r="AC165" s="346">
        <f t="shared" si="70"/>
        <v>0</v>
      </c>
      <c r="AD165" s="346">
        <f t="shared" si="71"/>
        <v>0</v>
      </c>
      <c r="AE165" s="346">
        <f t="shared" si="72"/>
        <v>0</v>
      </c>
      <c r="AF165" s="346">
        <f t="shared" si="73"/>
        <v>0</v>
      </c>
      <c r="AG165" s="346">
        <f t="shared" si="74"/>
        <v>0</v>
      </c>
      <c r="AH165" s="346">
        <f t="shared" si="75"/>
        <v>0</v>
      </c>
      <c r="AI165" s="445">
        <f t="shared" si="76"/>
        <v>0</v>
      </c>
      <c r="AJ165" s="446">
        <f t="shared" si="77"/>
        <v>4773.1500000000005</v>
      </c>
    </row>
    <row r="166" spans="2:36" s="167" customFormat="1" ht="45" x14ac:dyDescent="0.25">
      <c r="B166" s="384" t="s">
        <v>452</v>
      </c>
      <c r="C166" s="385">
        <v>86935</v>
      </c>
      <c r="D166" s="386" t="s">
        <v>454</v>
      </c>
      <c r="E166" s="277" t="s">
        <v>166</v>
      </c>
      <c r="F166" s="387">
        <v>324.29000000000002</v>
      </c>
      <c r="G166" s="387">
        <v>2</v>
      </c>
      <c r="H166" s="444"/>
      <c r="I166" s="444"/>
      <c r="J166" s="443"/>
      <c r="K166" s="444"/>
      <c r="L166" s="444"/>
      <c r="M166" s="444"/>
      <c r="N166" s="387"/>
      <c r="O166" s="387"/>
      <c r="P166" s="444"/>
      <c r="Q166" s="444"/>
      <c r="R166" s="444">
        <v>0</v>
      </c>
      <c r="S166" s="444">
        <f>VLOOKUP(B166,'MEMÓRIA MEDIÇÃO 12'!$A$7:$F$202,6,FALSE)</f>
        <v>0</v>
      </c>
      <c r="T166" s="387">
        <f t="shared" si="69"/>
        <v>0</v>
      </c>
      <c r="U166" s="387">
        <f t="shared" si="79"/>
        <v>2</v>
      </c>
      <c r="V166" s="387">
        <f t="shared" si="80"/>
        <v>648.58000000000004</v>
      </c>
      <c r="W166" s="346">
        <f t="shared" si="65"/>
        <v>0</v>
      </c>
      <c r="X166" s="346">
        <f t="shared" si="66"/>
        <v>0</v>
      </c>
      <c r="Y166" s="346">
        <f t="shared" si="78"/>
        <v>0</v>
      </c>
      <c r="Z166" s="346">
        <f t="shared" si="67"/>
        <v>0</v>
      </c>
      <c r="AA166" s="346">
        <f t="shared" si="68"/>
        <v>0</v>
      </c>
      <c r="AB166" s="346">
        <f t="shared" si="81"/>
        <v>0</v>
      </c>
      <c r="AC166" s="346">
        <f t="shared" si="70"/>
        <v>0</v>
      </c>
      <c r="AD166" s="346">
        <f t="shared" si="71"/>
        <v>0</v>
      </c>
      <c r="AE166" s="346">
        <f t="shared" si="72"/>
        <v>0</v>
      </c>
      <c r="AF166" s="346">
        <f t="shared" si="73"/>
        <v>0</v>
      </c>
      <c r="AG166" s="346">
        <f t="shared" si="74"/>
        <v>0</v>
      </c>
      <c r="AH166" s="346">
        <f t="shared" si="75"/>
        <v>0</v>
      </c>
      <c r="AI166" s="445">
        <f t="shared" si="76"/>
        <v>0</v>
      </c>
      <c r="AJ166" s="446">
        <f t="shared" si="77"/>
        <v>648.58000000000004</v>
      </c>
    </row>
    <row r="167" spans="2:36" s="167" customFormat="1" ht="33.75" x14ac:dyDescent="0.25">
      <c r="B167" s="384" t="s">
        <v>455</v>
      </c>
      <c r="C167" s="385">
        <v>100868</v>
      </c>
      <c r="D167" s="386" t="s">
        <v>457</v>
      </c>
      <c r="E167" s="277" t="s">
        <v>166</v>
      </c>
      <c r="F167" s="387">
        <v>353.45</v>
      </c>
      <c r="G167" s="387">
        <v>2</v>
      </c>
      <c r="H167" s="444"/>
      <c r="I167" s="444"/>
      <c r="J167" s="443"/>
      <c r="K167" s="444"/>
      <c r="L167" s="444"/>
      <c r="M167" s="444"/>
      <c r="N167" s="387"/>
      <c r="O167" s="387"/>
      <c r="P167" s="444"/>
      <c r="Q167" s="444"/>
      <c r="R167" s="444">
        <v>0</v>
      </c>
      <c r="S167" s="444">
        <f>VLOOKUP(B167,'MEMÓRIA MEDIÇÃO 12'!$A$7:$F$202,6,FALSE)</f>
        <v>0</v>
      </c>
      <c r="T167" s="387">
        <f t="shared" si="69"/>
        <v>0</v>
      </c>
      <c r="U167" s="387">
        <f t="shared" si="79"/>
        <v>2</v>
      </c>
      <c r="V167" s="387">
        <f t="shared" si="80"/>
        <v>706.9</v>
      </c>
      <c r="W167" s="346">
        <f t="shared" si="65"/>
        <v>0</v>
      </c>
      <c r="X167" s="346">
        <f t="shared" si="66"/>
        <v>0</v>
      </c>
      <c r="Y167" s="346">
        <f t="shared" si="78"/>
        <v>0</v>
      </c>
      <c r="Z167" s="346">
        <f t="shared" si="67"/>
        <v>0</v>
      </c>
      <c r="AA167" s="346">
        <f t="shared" si="68"/>
        <v>0</v>
      </c>
      <c r="AB167" s="346">
        <f t="shared" si="81"/>
        <v>0</v>
      </c>
      <c r="AC167" s="346">
        <f t="shared" si="70"/>
        <v>0</v>
      </c>
      <c r="AD167" s="346">
        <f t="shared" si="71"/>
        <v>0</v>
      </c>
      <c r="AE167" s="346">
        <f t="shared" si="72"/>
        <v>0</v>
      </c>
      <c r="AF167" s="346">
        <f t="shared" si="73"/>
        <v>0</v>
      </c>
      <c r="AG167" s="346">
        <f t="shared" si="74"/>
        <v>0</v>
      </c>
      <c r="AH167" s="346">
        <f t="shared" si="75"/>
        <v>0</v>
      </c>
      <c r="AI167" s="445">
        <f t="shared" si="76"/>
        <v>0</v>
      </c>
      <c r="AJ167" s="446">
        <f t="shared" si="77"/>
        <v>706.9</v>
      </c>
    </row>
    <row r="168" spans="2:36" s="167" customFormat="1" ht="56.25" x14ac:dyDescent="0.25">
      <c r="B168" s="384" t="s">
        <v>458</v>
      </c>
      <c r="C168" s="385">
        <v>86942</v>
      </c>
      <c r="D168" s="386" t="s">
        <v>460</v>
      </c>
      <c r="E168" s="277" t="s">
        <v>166</v>
      </c>
      <c r="F168" s="387">
        <v>260.25</v>
      </c>
      <c r="G168" s="387">
        <v>1</v>
      </c>
      <c r="H168" s="444"/>
      <c r="I168" s="444"/>
      <c r="J168" s="443"/>
      <c r="K168" s="444"/>
      <c r="L168" s="444"/>
      <c r="M168" s="444"/>
      <c r="N168" s="387"/>
      <c r="O168" s="387"/>
      <c r="P168" s="444"/>
      <c r="Q168" s="444"/>
      <c r="R168" s="444">
        <v>0</v>
      </c>
      <c r="S168" s="444">
        <f>VLOOKUP(B168,'MEMÓRIA MEDIÇÃO 12'!$A$7:$F$202,6,FALSE)</f>
        <v>0</v>
      </c>
      <c r="T168" s="387">
        <f t="shared" si="69"/>
        <v>0</v>
      </c>
      <c r="U168" s="387">
        <f t="shared" si="79"/>
        <v>1</v>
      </c>
      <c r="V168" s="387">
        <f t="shared" si="80"/>
        <v>260.25</v>
      </c>
      <c r="W168" s="346">
        <f t="shared" si="65"/>
        <v>0</v>
      </c>
      <c r="X168" s="346">
        <f t="shared" si="66"/>
        <v>0</v>
      </c>
      <c r="Y168" s="346">
        <f t="shared" si="78"/>
        <v>0</v>
      </c>
      <c r="Z168" s="346">
        <f t="shared" si="67"/>
        <v>0</v>
      </c>
      <c r="AA168" s="346">
        <f t="shared" si="68"/>
        <v>0</v>
      </c>
      <c r="AB168" s="346">
        <f t="shared" si="81"/>
        <v>0</v>
      </c>
      <c r="AC168" s="346">
        <f t="shared" si="70"/>
        <v>0</v>
      </c>
      <c r="AD168" s="346">
        <f t="shared" si="71"/>
        <v>0</v>
      </c>
      <c r="AE168" s="346">
        <f t="shared" si="72"/>
        <v>0</v>
      </c>
      <c r="AF168" s="346">
        <f t="shared" si="73"/>
        <v>0</v>
      </c>
      <c r="AG168" s="346">
        <f t="shared" si="74"/>
        <v>0</v>
      </c>
      <c r="AH168" s="346">
        <f t="shared" si="75"/>
        <v>0</v>
      </c>
      <c r="AI168" s="445">
        <f t="shared" si="76"/>
        <v>0</v>
      </c>
      <c r="AJ168" s="446">
        <f t="shared" si="77"/>
        <v>260.25</v>
      </c>
    </row>
    <row r="169" spans="2:36" s="167" customFormat="1" ht="56.25" x14ac:dyDescent="0.25">
      <c r="B169" s="384" t="s">
        <v>461</v>
      </c>
      <c r="C169" s="385">
        <v>86923</v>
      </c>
      <c r="D169" s="386" t="s">
        <v>463</v>
      </c>
      <c r="E169" s="277" t="s">
        <v>166</v>
      </c>
      <c r="F169" s="387">
        <v>586.14</v>
      </c>
      <c r="G169" s="387">
        <v>1</v>
      </c>
      <c r="H169" s="444"/>
      <c r="I169" s="444"/>
      <c r="J169" s="443"/>
      <c r="K169" s="444"/>
      <c r="L169" s="444"/>
      <c r="M169" s="444"/>
      <c r="N169" s="387"/>
      <c r="O169" s="387"/>
      <c r="P169" s="444"/>
      <c r="Q169" s="444"/>
      <c r="R169" s="444">
        <v>0</v>
      </c>
      <c r="S169" s="444">
        <f>VLOOKUP(B169,'MEMÓRIA MEDIÇÃO 12'!$A$7:$F$202,6,FALSE)</f>
        <v>0</v>
      </c>
      <c r="T169" s="387">
        <f t="shared" si="69"/>
        <v>0</v>
      </c>
      <c r="U169" s="387">
        <f t="shared" si="79"/>
        <v>1</v>
      </c>
      <c r="V169" s="387">
        <f t="shared" si="80"/>
        <v>586.14</v>
      </c>
      <c r="W169" s="346">
        <f t="shared" si="65"/>
        <v>0</v>
      </c>
      <c r="X169" s="346">
        <f t="shared" si="66"/>
        <v>0</v>
      </c>
      <c r="Y169" s="346">
        <f t="shared" si="78"/>
        <v>0</v>
      </c>
      <c r="Z169" s="346">
        <f t="shared" si="67"/>
        <v>0</v>
      </c>
      <c r="AA169" s="346">
        <f t="shared" si="68"/>
        <v>0</v>
      </c>
      <c r="AB169" s="346">
        <f t="shared" si="81"/>
        <v>0</v>
      </c>
      <c r="AC169" s="346">
        <f t="shared" si="70"/>
        <v>0</v>
      </c>
      <c r="AD169" s="346">
        <f t="shared" si="71"/>
        <v>0</v>
      </c>
      <c r="AE169" s="346">
        <f t="shared" si="72"/>
        <v>0</v>
      </c>
      <c r="AF169" s="346">
        <f t="shared" si="73"/>
        <v>0</v>
      </c>
      <c r="AG169" s="346">
        <f t="shared" si="74"/>
        <v>0</v>
      </c>
      <c r="AH169" s="346">
        <f t="shared" si="75"/>
        <v>0</v>
      </c>
      <c r="AI169" s="445">
        <f t="shared" si="76"/>
        <v>0</v>
      </c>
      <c r="AJ169" s="446">
        <f t="shared" si="77"/>
        <v>586.14</v>
      </c>
    </row>
    <row r="170" spans="2:36" s="167" customFormat="1" ht="45" x14ac:dyDescent="0.25">
      <c r="B170" s="384" t="s">
        <v>464</v>
      </c>
      <c r="C170" s="385">
        <v>95472</v>
      </c>
      <c r="D170" s="386" t="s">
        <v>466</v>
      </c>
      <c r="E170" s="277" t="s">
        <v>166</v>
      </c>
      <c r="F170" s="387">
        <v>769.27</v>
      </c>
      <c r="G170" s="387">
        <v>1</v>
      </c>
      <c r="H170" s="444"/>
      <c r="I170" s="444"/>
      <c r="J170" s="443"/>
      <c r="K170" s="444"/>
      <c r="L170" s="444"/>
      <c r="M170" s="444"/>
      <c r="N170" s="387"/>
      <c r="O170" s="387"/>
      <c r="P170" s="444"/>
      <c r="Q170" s="444"/>
      <c r="R170" s="444">
        <v>0</v>
      </c>
      <c r="S170" s="444">
        <f>VLOOKUP(B170,'MEMÓRIA MEDIÇÃO 12'!$A$7:$F$202,6,FALSE)</f>
        <v>0</v>
      </c>
      <c r="T170" s="387">
        <f t="shared" si="69"/>
        <v>0</v>
      </c>
      <c r="U170" s="387">
        <f t="shared" si="79"/>
        <v>1</v>
      </c>
      <c r="V170" s="387">
        <f t="shared" si="80"/>
        <v>769.27</v>
      </c>
      <c r="W170" s="346">
        <f t="shared" si="65"/>
        <v>0</v>
      </c>
      <c r="X170" s="346">
        <f t="shared" si="66"/>
        <v>0</v>
      </c>
      <c r="Y170" s="346">
        <f t="shared" si="78"/>
        <v>0</v>
      </c>
      <c r="Z170" s="346">
        <f t="shared" si="67"/>
        <v>0</v>
      </c>
      <c r="AA170" s="346">
        <f t="shared" si="68"/>
        <v>0</v>
      </c>
      <c r="AB170" s="346">
        <f t="shared" si="81"/>
        <v>0</v>
      </c>
      <c r="AC170" s="346">
        <f t="shared" si="70"/>
        <v>0</v>
      </c>
      <c r="AD170" s="346">
        <f t="shared" si="71"/>
        <v>0</v>
      </c>
      <c r="AE170" s="346">
        <f t="shared" si="72"/>
        <v>0</v>
      </c>
      <c r="AF170" s="346">
        <f t="shared" si="73"/>
        <v>0</v>
      </c>
      <c r="AG170" s="346">
        <f t="shared" si="74"/>
        <v>0</v>
      </c>
      <c r="AH170" s="346">
        <f t="shared" si="75"/>
        <v>0</v>
      </c>
      <c r="AI170" s="445">
        <f t="shared" si="76"/>
        <v>0</v>
      </c>
      <c r="AJ170" s="446">
        <f t="shared" si="77"/>
        <v>769.27</v>
      </c>
    </row>
    <row r="171" spans="2:36" s="167" customFormat="1" ht="33.75" x14ac:dyDescent="0.25">
      <c r="B171" s="384" t="s">
        <v>467</v>
      </c>
      <c r="C171" s="385">
        <v>102253</v>
      </c>
      <c r="D171" s="386" t="s">
        <v>469</v>
      </c>
      <c r="E171" s="277" t="s">
        <v>17</v>
      </c>
      <c r="F171" s="387">
        <v>692.62</v>
      </c>
      <c r="G171" s="387">
        <v>33.92</v>
      </c>
      <c r="H171" s="444"/>
      <c r="I171" s="444"/>
      <c r="J171" s="443"/>
      <c r="K171" s="444"/>
      <c r="L171" s="444"/>
      <c r="M171" s="444"/>
      <c r="N171" s="387"/>
      <c r="O171" s="387"/>
      <c r="P171" s="444"/>
      <c r="Q171" s="444"/>
      <c r="R171" s="444">
        <v>0</v>
      </c>
      <c r="S171" s="444">
        <f>VLOOKUP(B171,'MEMÓRIA MEDIÇÃO 12'!$A$7:$F$202,6,FALSE)</f>
        <v>0</v>
      </c>
      <c r="T171" s="387">
        <f t="shared" si="69"/>
        <v>0</v>
      </c>
      <c r="U171" s="387">
        <f t="shared" si="79"/>
        <v>33.92</v>
      </c>
      <c r="V171" s="387">
        <f t="shared" si="80"/>
        <v>23493.670400000003</v>
      </c>
      <c r="W171" s="346">
        <f t="shared" si="65"/>
        <v>0</v>
      </c>
      <c r="X171" s="346">
        <f t="shared" si="66"/>
        <v>0</v>
      </c>
      <c r="Y171" s="346">
        <f t="shared" si="78"/>
        <v>0</v>
      </c>
      <c r="Z171" s="346">
        <f t="shared" si="67"/>
        <v>0</v>
      </c>
      <c r="AA171" s="346">
        <f t="shared" si="68"/>
        <v>0</v>
      </c>
      <c r="AB171" s="346">
        <f t="shared" si="81"/>
        <v>0</v>
      </c>
      <c r="AC171" s="346">
        <f t="shared" si="70"/>
        <v>0</v>
      </c>
      <c r="AD171" s="346">
        <f t="shared" si="71"/>
        <v>0</v>
      </c>
      <c r="AE171" s="346">
        <f t="shared" si="72"/>
        <v>0</v>
      </c>
      <c r="AF171" s="346">
        <f t="shared" si="73"/>
        <v>0</v>
      </c>
      <c r="AG171" s="346">
        <f t="shared" si="74"/>
        <v>0</v>
      </c>
      <c r="AH171" s="346">
        <f t="shared" si="75"/>
        <v>0</v>
      </c>
      <c r="AI171" s="445">
        <f t="shared" si="76"/>
        <v>0</v>
      </c>
      <c r="AJ171" s="446">
        <f t="shared" si="77"/>
        <v>23493.670400000003</v>
      </c>
    </row>
    <row r="172" spans="2:36" s="167" customFormat="1" ht="22.5" x14ac:dyDescent="0.25">
      <c r="B172" s="384" t="s">
        <v>470</v>
      </c>
      <c r="C172" s="385">
        <v>100860</v>
      </c>
      <c r="D172" s="386" t="s">
        <v>472</v>
      </c>
      <c r="E172" s="277" t="s">
        <v>166</v>
      </c>
      <c r="F172" s="387">
        <v>111.12</v>
      </c>
      <c r="G172" s="387">
        <v>4</v>
      </c>
      <c r="H172" s="444"/>
      <c r="I172" s="444"/>
      <c r="J172" s="443"/>
      <c r="K172" s="444"/>
      <c r="L172" s="444"/>
      <c r="M172" s="444"/>
      <c r="N172" s="387"/>
      <c r="O172" s="387"/>
      <c r="P172" s="444"/>
      <c r="Q172" s="444"/>
      <c r="R172" s="444">
        <v>0</v>
      </c>
      <c r="S172" s="444">
        <f>VLOOKUP(B172,'MEMÓRIA MEDIÇÃO 12'!$A$7:$F$202,6,FALSE)</f>
        <v>0</v>
      </c>
      <c r="T172" s="387">
        <f t="shared" si="69"/>
        <v>0</v>
      </c>
      <c r="U172" s="387">
        <f t="shared" si="79"/>
        <v>4</v>
      </c>
      <c r="V172" s="387">
        <f t="shared" si="80"/>
        <v>444.48</v>
      </c>
      <c r="W172" s="346">
        <f t="shared" si="65"/>
        <v>0</v>
      </c>
      <c r="X172" s="346">
        <f t="shared" si="66"/>
        <v>0</v>
      </c>
      <c r="Y172" s="346">
        <f t="shared" si="78"/>
        <v>0</v>
      </c>
      <c r="Z172" s="346">
        <f t="shared" si="67"/>
        <v>0</v>
      </c>
      <c r="AA172" s="346">
        <f t="shared" si="68"/>
        <v>0</v>
      </c>
      <c r="AB172" s="346">
        <f t="shared" si="81"/>
        <v>0</v>
      </c>
      <c r="AC172" s="346">
        <f t="shared" si="70"/>
        <v>0</v>
      </c>
      <c r="AD172" s="346">
        <f t="shared" si="71"/>
        <v>0</v>
      </c>
      <c r="AE172" s="346">
        <f t="shared" si="72"/>
        <v>0</v>
      </c>
      <c r="AF172" s="346">
        <f t="shared" si="73"/>
        <v>0</v>
      </c>
      <c r="AG172" s="346">
        <f t="shared" si="74"/>
        <v>0</v>
      </c>
      <c r="AH172" s="346">
        <f t="shared" si="75"/>
        <v>0</v>
      </c>
      <c r="AI172" s="445">
        <f t="shared" si="76"/>
        <v>0</v>
      </c>
      <c r="AJ172" s="446">
        <f t="shared" si="77"/>
        <v>444.48</v>
      </c>
    </row>
    <row r="173" spans="2:36" s="167" customFormat="1" ht="14.45" customHeight="1" x14ac:dyDescent="0.25">
      <c r="B173" s="347">
        <v>1.1499999999999999</v>
      </c>
      <c r="C173" s="348" t="s">
        <v>474</v>
      </c>
      <c r="D173" s="386"/>
      <c r="E173" s="277"/>
      <c r="F173" s="387"/>
      <c r="G173" s="387"/>
      <c r="H173" s="444"/>
      <c r="I173" s="444"/>
      <c r="J173" s="443"/>
      <c r="K173" s="444"/>
      <c r="L173" s="444"/>
      <c r="M173" s="444"/>
      <c r="N173" s="387"/>
      <c r="O173" s="387"/>
      <c r="P173" s="444"/>
      <c r="Q173" s="444"/>
      <c r="R173" s="444">
        <v>0</v>
      </c>
      <c r="S173" s="444">
        <f>VLOOKUP(B173,'MEMÓRIA MEDIÇÃO 12'!$A$7:$F$202,6,FALSE)</f>
        <v>0</v>
      </c>
      <c r="T173" s="387">
        <f t="shared" si="69"/>
        <v>0</v>
      </c>
      <c r="U173" s="387"/>
      <c r="V173" s="387"/>
      <c r="W173" s="346">
        <f t="shared" si="65"/>
        <v>0</v>
      </c>
      <c r="X173" s="346">
        <f t="shared" si="66"/>
        <v>0</v>
      </c>
      <c r="Y173" s="346">
        <f t="shared" si="78"/>
        <v>0</v>
      </c>
      <c r="Z173" s="346">
        <f t="shared" si="67"/>
        <v>0</v>
      </c>
      <c r="AA173" s="346">
        <f t="shared" si="68"/>
        <v>0</v>
      </c>
      <c r="AB173" s="346">
        <f t="shared" si="81"/>
        <v>0</v>
      </c>
      <c r="AC173" s="346">
        <f t="shared" si="70"/>
        <v>0</v>
      </c>
      <c r="AD173" s="346">
        <f t="shared" si="71"/>
        <v>0</v>
      </c>
      <c r="AE173" s="346">
        <f t="shared" si="72"/>
        <v>0</v>
      </c>
      <c r="AF173" s="346">
        <f t="shared" si="73"/>
        <v>0</v>
      </c>
      <c r="AG173" s="346">
        <f t="shared" si="74"/>
        <v>0</v>
      </c>
      <c r="AH173" s="346">
        <f t="shared" si="75"/>
        <v>0</v>
      </c>
      <c r="AI173" s="445">
        <f t="shared" si="76"/>
        <v>0</v>
      </c>
      <c r="AJ173" s="446">
        <f t="shared" si="77"/>
        <v>0</v>
      </c>
    </row>
    <row r="174" spans="2:36" s="167" customFormat="1" ht="33.75" x14ac:dyDescent="0.25">
      <c r="B174" s="384" t="s">
        <v>475</v>
      </c>
      <c r="C174" s="385">
        <v>99059</v>
      </c>
      <c r="D174" s="386" t="s">
        <v>36</v>
      </c>
      <c r="E174" s="277" t="s">
        <v>37</v>
      </c>
      <c r="F174" s="387">
        <v>52.4</v>
      </c>
      <c r="G174" s="387">
        <v>130.85</v>
      </c>
      <c r="H174" s="444">
        <f>'MEMORIAL DE CALCULO 01'!K183</f>
        <v>130.85</v>
      </c>
      <c r="I174" s="444"/>
      <c r="J174" s="443"/>
      <c r="K174" s="444"/>
      <c r="L174" s="444"/>
      <c r="M174" s="444"/>
      <c r="N174" s="387"/>
      <c r="O174" s="387"/>
      <c r="P174" s="444"/>
      <c r="Q174" s="444"/>
      <c r="R174" s="444">
        <v>0</v>
      </c>
      <c r="S174" s="444">
        <f>VLOOKUP(B174,'MEMÓRIA MEDIÇÃO 12'!$A$7:$F$202,6,FALSE)</f>
        <v>0</v>
      </c>
      <c r="T174" s="387">
        <f t="shared" si="69"/>
        <v>130.85</v>
      </c>
      <c r="U174" s="387">
        <f t="shared" ref="U174:U192" si="82">G174-T174</f>
        <v>0</v>
      </c>
      <c r="V174" s="387">
        <f t="shared" ref="V174:V192" si="83">F174*G174</f>
        <v>6856.54</v>
      </c>
      <c r="W174" s="346">
        <f t="shared" ref="W174:W195" si="84">F174*H174</f>
        <v>6856.54</v>
      </c>
      <c r="X174" s="346">
        <f t="shared" ref="X174:X195" si="85">F174*I174</f>
        <v>0</v>
      </c>
      <c r="Y174" s="346">
        <f t="shared" si="78"/>
        <v>0</v>
      </c>
      <c r="Z174" s="346">
        <f t="shared" ref="Z174:Z195" si="86">TRUNC(F174*K174,2)</f>
        <v>0</v>
      </c>
      <c r="AA174" s="346">
        <f t="shared" ref="AA174:AA195" si="87">TRUNC(F174*L174,2)</f>
        <v>0</v>
      </c>
      <c r="AB174" s="346">
        <f t="shared" si="81"/>
        <v>0</v>
      </c>
      <c r="AC174" s="346">
        <f t="shared" si="70"/>
        <v>0</v>
      </c>
      <c r="AD174" s="346">
        <f t="shared" si="71"/>
        <v>0</v>
      </c>
      <c r="AE174" s="346">
        <f t="shared" si="72"/>
        <v>0</v>
      </c>
      <c r="AF174" s="346">
        <f t="shared" si="73"/>
        <v>0</v>
      </c>
      <c r="AG174" s="346">
        <f t="shared" si="74"/>
        <v>0</v>
      </c>
      <c r="AH174" s="346">
        <f t="shared" si="75"/>
        <v>0</v>
      </c>
      <c r="AI174" s="445">
        <f t="shared" si="76"/>
        <v>6856.54</v>
      </c>
      <c r="AJ174" s="446">
        <f t="shared" si="77"/>
        <v>0</v>
      </c>
    </row>
    <row r="175" spans="2:36" s="167" customFormat="1" ht="22.5" x14ac:dyDescent="0.25">
      <c r="B175" s="384" t="s">
        <v>476</v>
      </c>
      <c r="C175" s="385">
        <v>93358</v>
      </c>
      <c r="D175" s="386" t="s">
        <v>40</v>
      </c>
      <c r="E175" s="277" t="s">
        <v>41</v>
      </c>
      <c r="F175" s="387">
        <v>64.95</v>
      </c>
      <c r="G175" s="387">
        <v>32.68</v>
      </c>
      <c r="H175" s="444">
        <v>32.68</v>
      </c>
      <c r="I175" s="444"/>
      <c r="J175" s="443"/>
      <c r="K175" s="444"/>
      <c r="L175" s="444"/>
      <c r="M175" s="444"/>
      <c r="N175" s="387"/>
      <c r="O175" s="387"/>
      <c r="P175" s="444"/>
      <c r="Q175" s="444"/>
      <c r="R175" s="444">
        <v>0</v>
      </c>
      <c r="S175" s="444">
        <f>VLOOKUP(B175,'MEMÓRIA MEDIÇÃO 12'!$A$7:$F$202,6,FALSE)</f>
        <v>0</v>
      </c>
      <c r="T175" s="387">
        <f t="shared" si="69"/>
        <v>32.68</v>
      </c>
      <c r="U175" s="387">
        <f t="shared" si="82"/>
        <v>0</v>
      </c>
      <c r="V175" s="387">
        <f t="shared" si="83"/>
        <v>2122.5660000000003</v>
      </c>
      <c r="W175" s="346">
        <f t="shared" si="84"/>
        <v>2122.5660000000003</v>
      </c>
      <c r="X175" s="346">
        <f t="shared" si="85"/>
        <v>0</v>
      </c>
      <c r="Y175" s="346">
        <f t="shared" si="78"/>
        <v>0</v>
      </c>
      <c r="Z175" s="346">
        <f t="shared" si="86"/>
        <v>0</v>
      </c>
      <c r="AA175" s="346">
        <f t="shared" si="87"/>
        <v>0</v>
      </c>
      <c r="AB175" s="346">
        <f t="shared" si="81"/>
        <v>0</v>
      </c>
      <c r="AC175" s="346">
        <f t="shared" ref="AC175:AC195" si="88">F175*N175</f>
        <v>0</v>
      </c>
      <c r="AD175" s="346">
        <f t="shared" si="71"/>
        <v>0</v>
      </c>
      <c r="AE175" s="346">
        <f t="shared" si="72"/>
        <v>0</v>
      </c>
      <c r="AF175" s="346">
        <f t="shared" si="73"/>
        <v>0</v>
      </c>
      <c r="AG175" s="346">
        <f t="shared" si="74"/>
        <v>0</v>
      </c>
      <c r="AH175" s="346">
        <f t="shared" si="75"/>
        <v>0</v>
      </c>
      <c r="AI175" s="445">
        <f t="shared" si="76"/>
        <v>2122.5660000000003</v>
      </c>
      <c r="AJ175" s="446">
        <f t="shared" si="77"/>
        <v>0</v>
      </c>
    </row>
    <row r="176" spans="2:36" s="167" customFormat="1" x14ac:dyDescent="0.25">
      <c r="B176" s="384" t="s">
        <v>477</v>
      </c>
      <c r="C176" s="385">
        <v>96995</v>
      </c>
      <c r="D176" s="386" t="s">
        <v>44</v>
      </c>
      <c r="E176" s="277" t="s">
        <v>41</v>
      </c>
      <c r="F176" s="387">
        <v>39.369999999999997</v>
      </c>
      <c r="G176" s="387">
        <v>11.01</v>
      </c>
      <c r="H176" s="444"/>
      <c r="I176" s="444">
        <f>'MEMORIAL DE CALCULO 02'!K418</f>
        <v>11.01</v>
      </c>
      <c r="J176" s="443"/>
      <c r="K176" s="444"/>
      <c r="L176" s="444"/>
      <c r="M176" s="444"/>
      <c r="N176" s="387"/>
      <c r="O176" s="387"/>
      <c r="P176" s="444"/>
      <c r="Q176" s="444"/>
      <c r="R176" s="444">
        <v>0</v>
      </c>
      <c r="S176" s="444">
        <f>VLOOKUP(B176,'MEMÓRIA MEDIÇÃO 12'!$A$7:$F$202,6,FALSE)</f>
        <v>0</v>
      </c>
      <c r="T176" s="387">
        <f t="shared" si="69"/>
        <v>11.01</v>
      </c>
      <c r="U176" s="387">
        <f t="shared" si="82"/>
        <v>0</v>
      </c>
      <c r="V176" s="387">
        <f t="shared" si="83"/>
        <v>433.46369999999996</v>
      </c>
      <c r="W176" s="346">
        <f t="shared" si="84"/>
        <v>0</v>
      </c>
      <c r="X176" s="346">
        <f t="shared" si="85"/>
        <v>433.46369999999996</v>
      </c>
      <c r="Y176" s="346">
        <f t="shared" si="78"/>
        <v>0</v>
      </c>
      <c r="Z176" s="346">
        <f t="shared" si="86"/>
        <v>0</v>
      </c>
      <c r="AA176" s="346">
        <f t="shared" si="87"/>
        <v>0</v>
      </c>
      <c r="AB176" s="346">
        <f t="shared" si="81"/>
        <v>0</v>
      </c>
      <c r="AC176" s="346">
        <f t="shared" si="88"/>
        <v>0</v>
      </c>
      <c r="AD176" s="346">
        <f t="shared" si="71"/>
        <v>0</v>
      </c>
      <c r="AE176" s="346">
        <f t="shared" si="72"/>
        <v>0</v>
      </c>
      <c r="AF176" s="346">
        <f t="shared" si="73"/>
        <v>0</v>
      </c>
      <c r="AG176" s="346">
        <f t="shared" si="74"/>
        <v>0</v>
      </c>
      <c r="AH176" s="346">
        <f t="shared" si="75"/>
        <v>0</v>
      </c>
      <c r="AI176" s="445">
        <f t="shared" si="76"/>
        <v>433.46369999999996</v>
      </c>
      <c r="AJ176" s="446">
        <f t="shared" si="77"/>
        <v>0</v>
      </c>
    </row>
    <row r="177" spans="2:36" s="168" customFormat="1" ht="22.5" x14ac:dyDescent="0.25">
      <c r="B177" s="384" t="s">
        <v>478</v>
      </c>
      <c r="C177" s="385">
        <v>93205</v>
      </c>
      <c r="D177" s="386" t="s">
        <v>480</v>
      </c>
      <c r="E177" s="277" t="s">
        <v>37</v>
      </c>
      <c r="F177" s="387">
        <v>39.79</v>
      </c>
      <c r="G177" s="387">
        <v>244.5</v>
      </c>
      <c r="H177" s="444"/>
      <c r="I177" s="444"/>
      <c r="J177" s="443">
        <f>'MEMORIAL DE CALCULO 03'!K524</f>
        <v>67.27</v>
      </c>
      <c r="K177" s="444">
        <f>'MEMORIAL DE CALCULO 04'!K617</f>
        <v>42.8</v>
      </c>
      <c r="L177" s="444">
        <f>'MEMORIAL DE CALCULO 05'!K622</f>
        <v>134.43</v>
      </c>
      <c r="M177" s="444"/>
      <c r="N177" s="387"/>
      <c r="O177" s="387"/>
      <c r="P177" s="444"/>
      <c r="Q177" s="444"/>
      <c r="R177" s="444">
        <v>0</v>
      </c>
      <c r="S177" s="444">
        <f>VLOOKUP(B177,'MEMÓRIA MEDIÇÃO 12'!$A$7:$F$202,6,FALSE)</f>
        <v>0</v>
      </c>
      <c r="T177" s="387">
        <f t="shared" si="69"/>
        <v>244.5</v>
      </c>
      <c r="U177" s="387">
        <f t="shared" si="82"/>
        <v>0</v>
      </c>
      <c r="V177" s="387">
        <f t="shared" si="83"/>
        <v>9728.6550000000007</v>
      </c>
      <c r="W177" s="346">
        <f t="shared" si="84"/>
        <v>0</v>
      </c>
      <c r="X177" s="346">
        <f t="shared" si="85"/>
        <v>0</v>
      </c>
      <c r="Y177" s="346">
        <f t="shared" si="78"/>
        <v>2676.6732999999999</v>
      </c>
      <c r="Z177" s="346">
        <f t="shared" si="86"/>
        <v>1703.01</v>
      </c>
      <c r="AA177" s="346">
        <f t="shared" si="87"/>
        <v>5348.96</v>
      </c>
      <c r="AB177" s="346">
        <f t="shared" si="81"/>
        <v>0</v>
      </c>
      <c r="AC177" s="346">
        <f t="shared" si="88"/>
        <v>0</v>
      </c>
      <c r="AD177" s="346">
        <f t="shared" si="71"/>
        <v>0</v>
      </c>
      <c r="AE177" s="346">
        <f t="shared" si="72"/>
        <v>0</v>
      </c>
      <c r="AF177" s="346">
        <f t="shared" si="73"/>
        <v>0</v>
      </c>
      <c r="AG177" s="346">
        <f t="shared" si="74"/>
        <v>0</v>
      </c>
      <c r="AH177" s="346">
        <f t="shared" si="75"/>
        <v>0</v>
      </c>
      <c r="AI177" s="445">
        <f t="shared" si="76"/>
        <v>9728.6432999999997</v>
      </c>
      <c r="AJ177" s="446">
        <f t="shared" si="77"/>
        <v>1.1700000000928412E-2</v>
      </c>
    </row>
    <row r="178" spans="2:36" s="167" customFormat="1" ht="22.5" x14ac:dyDescent="0.25">
      <c r="B178" s="384" t="s">
        <v>481</v>
      </c>
      <c r="C178" s="385">
        <v>101616</v>
      </c>
      <c r="D178" s="386" t="s">
        <v>55</v>
      </c>
      <c r="E178" s="277" t="s">
        <v>17</v>
      </c>
      <c r="F178" s="387">
        <v>4.91</v>
      </c>
      <c r="G178" s="387">
        <v>15.48</v>
      </c>
      <c r="H178" s="444">
        <f>'MEMORIAL DE CALCULO 01'!K191</f>
        <v>12.6</v>
      </c>
      <c r="I178" s="444">
        <f>'MEMORIAL DE CALCULO 02'!K422</f>
        <v>2.88</v>
      </c>
      <c r="J178" s="443"/>
      <c r="K178" s="444"/>
      <c r="L178" s="444"/>
      <c r="M178" s="444"/>
      <c r="N178" s="387"/>
      <c r="O178" s="387"/>
      <c r="P178" s="444"/>
      <c r="Q178" s="444"/>
      <c r="R178" s="444">
        <v>0</v>
      </c>
      <c r="S178" s="444">
        <f>VLOOKUP(B178,'MEMÓRIA MEDIÇÃO 12'!$A$7:$F$202,6,FALSE)</f>
        <v>0</v>
      </c>
      <c r="T178" s="387">
        <f t="shared" si="69"/>
        <v>15.48</v>
      </c>
      <c r="U178" s="387">
        <f t="shared" si="82"/>
        <v>0</v>
      </c>
      <c r="V178" s="387">
        <f t="shared" si="83"/>
        <v>76.006799999999998</v>
      </c>
      <c r="W178" s="346">
        <f t="shared" si="84"/>
        <v>61.866</v>
      </c>
      <c r="X178" s="346">
        <f t="shared" si="85"/>
        <v>14.1408</v>
      </c>
      <c r="Y178" s="346">
        <f t="shared" si="78"/>
        <v>0</v>
      </c>
      <c r="Z178" s="346">
        <f t="shared" si="86"/>
        <v>0</v>
      </c>
      <c r="AA178" s="346">
        <f t="shared" si="87"/>
        <v>0</v>
      </c>
      <c r="AB178" s="346">
        <f t="shared" si="81"/>
        <v>0</v>
      </c>
      <c r="AC178" s="346">
        <f t="shared" si="88"/>
        <v>0</v>
      </c>
      <c r="AD178" s="346">
        <f t="shared" si="71"/>
        <v>0</v>
      </c>
      <c r="AE178" s="346">
        <f t="shared" si="72"/>
        <v>0</v>
      </c>
      <c r="AF178" s="346">
        <f t="shared" si="73"/>
        <v>0</v>
      </c>
      <c r="AG178" s="346">
        <f t="shared" si="74"/>
        <v>0</v>
      </c>
      <c r="AH178" s="346">
        <f t="shared" si="75"/>
        <v>0</v>
      </c>
      <c r="AI178" s="445">
        <f t="shared" si="76"/>
        <v>76.006799999999998</v>
      </c>
      <c r="AJ178" s="446">
        <f t="shared" si="77"/>
        <v>0</v>
      </c>
    </row>
    <row r="179" spans="2:36" s="167" customFormat="1" ht="33.75" x14ac:dyDescent="0.25">
      <c r="B179" s="384" t="s">
        <v>482</v>
      </c>
      <c r="C179" s="385">
        <v>96619</v>
      </c>
      <c r="D179" s="386" t="s">
        <v>58</v>
      </c>
      <c r="E179" s="277" t="s">
        <v>17</v>
      </c>
      <c r="F179" s="387">
        <v>30.67</v>
      </c>
      <c r="G179" s="387">
        <v>15.48</v>
      </c>
      <c r="H179" s="444">
        <f>'MEMORIAL DE CALCULO 01'!K192</f>
        <v>12.6</v>
      </c>
      <c r="I179" s="444">
        <f>'MEMORIAL DE CALCULO 02'!K423</f>
        <v>2.88</v>
      </c>
      <c r="J179" s="443"/>
      <c r="K179" s="444"/>
      <c r="L179" s="444"/>
      <c r="M179" s="444"/>
      <c r="N179" s="387"/>
      <c r="O179" s="387"/>
      <c r="P179" s="444"/>
      <c r="Q179" s="444"/>
      <c r="R179" s="444">
        <v>0</v>
      </c>
      <c r="S179" s="444">
        <f>VLOOKUP(B179,'MEMÓRIA MEDIÇÃO 12'!$A$7:$F$202,6,FALSE)</f>
        <v>0</v>
      </c>
      <c r="T179" s="387">
        <f t="shared" si="69"/>
        <v>15.48</v>
      </c>
      <c r="U179" s="387">
        <f t="shared" si="82"/>
        <v>0</v>
      </c>
      <c r="V179" s="387">
        <f t="shared" si="83"/>
        <v>474.77160000000003</v>
      </c>
      <c r="W179" s="346">
        <f t="shared" si="84"/>
        <v>386.44200000000001</v>
      </c>
      <c r="X179" s="346">
        <f t="shared" si="85"/>
        <v>88.329599999999999</v>
      </c>
      <c r="Y179" s="346">
        <f t="shared" si="78"/>
        <v>0</v>
      </c>
      <c r="Z179" s="346">
        <f t="shared" si="86"/>
        <v>0</v>
      </c>
      <c r="AA179" s="346">
        <f t="shared" si="87"/>
        <v>0</v>
      </c>
      <c r="AB179" s="346">
        <f t="shared" si="81"/>
        <v>0</v>
      </c>
      <c r="AC179" s="346">
        <f t="shared" si="88"/>
        <v>0</v>
      </c>
      <c r="AD179" s="346">
        <f t="shared" si="71"/>
        <v>0</v>
      </c>
      <c r="AE179" s="346">
        <f t="shared" si="72"/>
        <v>0</v>
      </c>
      <c r="AF179" s="346">
        <f t="shared" si="73"/>
        <v>0</v>
      </c>
      <c r="AG179" s="346">
        <f t="shared" si="74"/>
        <v>0</v>
      </c>
      <c r="AH179" s="346">
        <f t="shared" si="75"/>
        <v>0</v>
      </c>
      <c r="AI179" s="445">
        <f t="shared" si="76"/>
        <v>474.77160000000003</v>
      </c>
      <c r="AJ179" s="446">
        <f t="shared" si="77"/>
        <v>0</v>
      </c>
    </row>
    <row r="180" spans="2:36" s="167" customFormat="1" ht="22.5" x14ac:dyDescent="0.25">
      <c r="B180" s="384" t="s">
        <v>483</v>
      </c>
      <c r="C180" s="385">
        <v>96545</v>
      </c>
      <c r="D180" s="391" t="s">
        <v>61</v>
      </c>
      <c r="E180" s="277" t="s">
        <v>62</v>
      </c>
      <c r="F180" s="277">
        <v>15.99</v>
      </c>
      <c r="G180" s="387">
        <v>167.13</v>
      </c>
      <c r="H180" s="443">
        <f>'MEMORIAL DE CALCULO 01'!K193</f>
        <v>133.69999999999999</v>
      </c>
      <c r="I180" s="443">
        <f>'MEMORIAL DE CALCULO 02'!K424</f>
        <v>33.43</v>
      </c>
      <c r="J180" s="443"/>
      <c r="K180" s="278"/>
      <c r="L180" s="278"/>
      <c r="M180" s="278"/>
      <c r="N180" s="278"/>
      <c r="O180" s="278"/>
      <c r="P180" s="278"/>
      <c r="Q180" s="278"/>
      <c r="R180" s="444">
        <v>0</v>
      </c>
      <c r="S180" s="444">
        <f>VLOOKUP(B180,'MEMÓRIA MEDIÇÃO 12'!$A$7:$F$202,6,FALSE)</f>
        <v>0</v>
      </c>
      <c r="T180" s="387">
        <f t="shared" si="69"/>
        <v>167.13</v>
      </c>
      <c r="U180" s="387">
        <f t="shared" si="82"/>
        <v>0</v>
      </c>
      <c r="V180" s="387">
        <f t="shared" si="83"/>
        <v>2672.4087</v>
      </c>
      <c r="W180" s="346">
        <f t="shared" si="84"/>
        <v>2137.8629999999998</v>
      </c>
      <c r="X180" s="346">
        <f t="shared" si="85"/>
        <v>534.54570000000001</v>
      </c>
      <c r="Y180" s="346">
        <f t="shared" si="78"/>
        <v>0</v>
      </c>
      <c r="Z180" s="346">
        <f t="shared" si="86"/>
        <v>0</v>
      </c>
      <c r="AA180" s="346">
        <f t="shared" si="87"/>
        <v>0</v>
      </c>
      <c r="AB180" s="346">
        <f t="shared" si="81"/>
        <v>0</v>
      </c>
      <c r="AC180" s="346">
        <f t="shared" si="88"/>
        <v>0</v>
      </c>
      <c r="AD180" s="346">
        <f t="shared" si="71"/>
        <v>0</v>
      </c>
      <c r="AE180" s="346">
        <f t="shared" si="72"/>
        <v>0</v>
      </c>
      <c r="AF180" s="346">
        <f t="shared" si="73"/>
        <v>0</v>
      </c>
      <c r="AG180" s="346">
        <f t="shared" si="74"/>
        <v>0</v>
      </c>
      <c r="AH180" s="346">
        <f t="shared" si="75"/>
        <v>0</v>
      </c>
      <c r="AI180" s="445">
        <f t="shared" si="76"/>
        <v>2672.4087</v>
      </c>
      <c r="AJ180" s="446">
        <f t="shared" si="77"/>
        <v>0</v>
      </c>
    </row>
    <row r="181" spans="2:36" s="168" customFormat="1" ht="33.75" x14ac:dyDescent="0.25">
      <c r="B181" s="384" t="s">
        <v>484</v>
      </c>
      <c r="C181" s="385">
        <v>94966</v>
      </c>
      <c r="D181" s="391" t="s">
        <v>65</v>
      </c>
      <c r="E181" s="277" t="s">
        <v>41</v>
      </c>
      <c r="F181" s="277">
        <v>530.88</v>
      </c>
      <c r="G181" s="387">
        <v>15.03</v>
      </c>
      <c r="H181" s="443">
        <f>'MEMORIAL DE CALCULO 01'!K195</f>
        <v>4.5500000000000007</v>
      </c>
      <c r="I181" s="443">
        <f>'MEMORIAL DE CALCULO 02'!K426</f>
        <v>1.04</v>
      </c>
      <c r="J181" s="443">
        <f>'MEMORIAL DE CALCULO 03'!K530</f>
        <v>1.5192000000000005</v>
      </c>
      <c r="K181" s="443">
        <f>'MEMORIAL DE CALCULO 04'!K624</f>
        <v>2.3652000000000002</v>
      </c>
      <c r="L181" s="443">
        <f>'MEMORIAL DE CALCULO 05'!K629</f>
        <v>0.41560999999999998</v>
      </c>
      <c r="M181" s="278"/>
      <c r="N181" s="278"/>
      <c r="O181" s="278"/>
      <c r="P181" s="278"/>
      <c r="Q181" s="278">
        <v>5.14</v>
      </c>
      <c r="R181" s="444">
        <v>0</v>
      </c>
      <c r="S181" s="444">
        <f>VLOOKUP(B181,'MEMÓRIA MEDIÇÃO 12'!$A$7:$F$202,6,FALSE)</f>
        <v>0</v>
      </c>
      <c r="T181" s="387">
        <f t="shared" si="69"/>
        <v>15.030010000000001</v>
      </c>
      <c r="U181" s="387">
        <f t="shared" si="82"/>
        <v>-1.000000000139778E-5</v>
      </c>
      <c r="V181" s="387">
        <f t="shared" si="83"/>
        <v>7979.1263999999992</v>
      </c>
      <c r="W181" s="346">
        <f t="shared" si="84"/>
        <v>2415.5040000000004</v>
      </c>
      <c r="X181" s="346">
        <f t="shared" si="85"/>
        <v>552.11519999999996</v>
      </c>
      <c r="Y181" s="346">
        <f t="shared" si="78"/>
        <v>806.5128960000003</v>
      </c>
      <c r="Z181" s="346">
        <f t="shared" si="86"/>
        <v>1255.6300000000001</v>
      </c>
      <c r="AA181" s="346">
        <f t="shared" si="87"/>
        <v>220.63</v>
      </c>
      <c r="AB181" s="346">
        <f t="shared" si="81"/>
        <v>0</v>
      </c>
      <c r="AC181" s="346">
        <f t="shared" si="88"/>
        <v>0</v>
      </c>
      <c r="AD181" s="346">
        <f t="shared" si="71"/>
        <v>0</v>
      </c>
      <c r="AE181" s="346">
        <f t="shared" si="72"/>
        <v>0</v>
      </c>
      <c r="AF181" s="346">
        <f t="shared" si="73"/>
        <v>2728.72</v>
      </c>
      <c r="AG181" s="346">
        <f t="shared" si="74"/>
        <v>0</v>
      </c>
      <c r="AH181" s="346">
        <f t="shared" si="75"/>
        <v>0</v>
      </c>
      <c r="AI181" s="445">
        <f t="shared" si="76"/>
        <v>7979.1120960000007</v>
      </c>
      <c r="AJ181" s="446">
        <f>V181-AI181</f>
        <v>1.430399999844667E-2</v>
      </c>
    </row>
    <row r="182" spans="2:36" s="167" customFormat="1" ht="41.45" customHeight="1" x14ac:dyDescent="0.25">
      <c r="B182" s="384" t="s">
        <v>485</v>
      </c>
      <c r="C182" s="385">
        <v>103800</v>
      </c>
      <c r="D182" s="386" t="s">
        <v>487</v>
      </c>
      <c r="E182" s="277" t="s">
        <v>41</v>
      </c>
      <c r="F182" s="387">
        <v>496.62</v>
      </c>
      <c r="G182" s="387">
        <v>11.78</v>
      </c>
      <c r="H182" s="444">
        <v>0.9</v>
      </c>
      <c r="I182" s="444">
        <v>10.88</v>
      </c>
      <c r="J182" s="443"/>
      <c r="K182" s="444"/>
      <c r="L182" s="444"/>
      <c r="M182" s="444"/>
      <c r="N182" s="387"/>
      <c r="O182" s="387"/>
      <c r="P182" s="444"/>
      <c r="Q182" s="444"/>
      <c r="R182" s="444">
        <v>0</v>
      </c>
      <c r="S182" s="444">
        <f>VLOOKUP(B182,'MEMÓRIA MEDIÇÃO 12'!$A$7:$F$202,6,FALSE)</f>
        <v>0</v>
      </c>
      <c r="T182" s="387">
        <f t="shared" si="69"/>
        <v>11.780000000000001</v>
      </c>
      <c r="U182" s="387">
        <f t="shared" si="82"/>
        <v>0</v>
      </c>
      <c r="V182" s="387">
        <f t="shared" si="83"/>
        <v>5850.1835999999994</v>
      </c>
      <c r="W182" s="346">
        <f t="shared" si="84"/>
        <v>446.95800000000003</v>
      </c>
      <c r="X182" s="346">
        <f t="shared" si="85"/>
        <v>5403.2256000000007</v>
      </c>
      <c r="Y182" s="346">
        <f t="shared" si="78"/>
        <v>0</v>
      </c>
      <c r="Z182" s="346">
        <f t="shared" si="86"/>
        <v>0</v>
      </c>
      <c r="AA182" s="346">
        <f t="shared" si="87"/>
        <v>0</v>
      </c>
      <c r="AB182" s="346">
        <f t="shared" si="81"/>
        <v>0</v>
      </c>
      <c r="AC182" s="346">
        <f t="shared" si="88"/>
        <v>0</v>
      </c>
      <c r="AD182" s="346">
        <f t="shared" si="71"/>
        <v>0</v>
      </c>
      <c r="AE182" s="346">
        <f t="shared" si="72"/>
        <v>0</v>
      </c>
      <c r="AF182" s="346">
        <f t="shared" si="73"/>
        <v>0</v>
      </c>
      <c r="AG182" s="346">
        <f t="shared" si="74"/>
        <v>0</v>
      </c>
      <c r="AH182" s="346">
        <f t="shared" si="75"/>
        <v>0</v>
      </c>
      <c r="AI182" s="445">
        <f t="shared" si="76"/>
        <v>5850.1836000000003</v>
      </c>
      <c r="AJ182" s="446">
        <f t="shared" si="77"/>
        <v>0</v>
      </c>
    </row>
    <row r="183" spans="2:36" s="168" customFormat="1" ht="22.5" x14ac:dyDescent="0.25">
      <c r="B183" s="384" t="s">
        <v>488</v>
      </c>
      <c r="C183" s="385">
        <v>103670</v>
      </c>
      <c r="D183" s="386" t="s">
        <v>71</v>
      </c>
      <c r="E183" s="277" t="s">
        <v>41</v>
      </c>
      <c r="F183" s="387">
        <v>230.55</v>
      </c>
      <c r="G183" s="387">
        <v>15.03</v>
      </c>
      <c r="H183" s="444">
        <f>'MEMORIAL DE CALCULO 01'!K200</f>
        <v>4.5500000000000007</v>
      </c>
      <c r="I183" s="444">
        <f>'MEMORIAL DE CALCULO 02'!K431</f>
        <v>1.04</v>
      </c>
      <c r="J183" s="443">
        <f>'MEMORIAL DE CALCULO 03'!K543</f>
        <v>1.5192000000000005</v>
      </c>
      <c r="K183" s="444">
        <f>'MEMORIAL DE CALCULO 04'!K644</f>
        <v>2.3652000000000002</v>
      </c>
      <c r="L183" s="444">
        <f>'MEMORIAL DE CALCULO 05'!K632</f>
        <v>0.41563</v>
      </c>
      <c r="M183" s="444"/>
      <c r="N183" s="387"/>
      <c r="O183" s="387"/>
      <c r="P183" s="444"/>
      <c r="Q183" s="444">
        <v>5.14</v>
      </c>
      <c r="R183" s="444">
        <v>0</v>
      </c>
      <c r="S183" s="444">
        <f>VLOOKUP(B183,'MEMÓRIA MEDIÇÃO 12'!$A$7:$F$202,6,FALSE)</f>
        <v>0</v>
      </c>
      <c r="T183" s="387">
        <f t="shared" si="69"/>
        <v>15.03003</v>
      </c>
      <c r="U183" s="387">
        <f t="shared" si="82"/>
        <v>-3.0000000000640625E-5</v>
      </c>
      <c r="V183" s="387">
        <f t="shared" si="83"/>
        <v>3465.1664999999998</v>
      </c>
      <c r="W183" s="346">
        <f t="shared" si="84"/>
        <v>1049.0025000000003</v>
      </c>
      <c r="X183" s="346">
        <f t="shared" si="85"/>
        <v>239.77200000000002</v>
      </c>
      <c r="Y183" s="346">
        <f t="shared" si="78"/>
        <v>350.25156000000015</v>
      </c>
      <c r="Z183" s="346">
        <f t="shared" si="86"/>
        <v>545.29</v>
      </c>
      <c r="AA183" s="346">
        <f t="shared" si="87"/>
        <v>95.82</v>
      </c>
      <c r="AB183" s="346">
        <f t="shared" si="81"/>
        <v>0</v>
      </c>
      <c r="AC183" s="346">
        <f t="shared" si="88"/>
        <v>0</v>
      </c>
      <c r="AD183" s="346">
        <f t="shared" si="71"/>
        <v>0</v>
      </c>
      <c r="AE183" s="346">
        <f t="shared" si="72"/>
        <v>0</v>
      </c>
      <c r="AF183" s="346">
        <f t="shared" si="73"/>
        <v>1185.02</v>
      </c>
      <c r="AG183" s="346">
        <f t="shared" si="74"/>
        <v>0</v>
      </c>
      <c r="AH183" s="346">
        <f t="shared" si="75"/>
        <v>0</v>
      </c>
      <c r="AI183" s="445">
        <f t="shared" si="76"/>
        <v>3465.1560600000003</v>
      </c>
      <c r="AJ183" s="446">
        <f t="shared" si="77"/>
        <v>1.0439999999562133E-2</v>
      </c>
    </row>
    <row r="184" spans="2:36" s="168" customFormat="1" ht="22.5" x14ac:dyDescent="0.25">
      <c r="B184" s="384" t="s">
        <v>489</v>
      </c>
      <c r="C184" s="385">
        <v>96543</v>
      </c>
      <c r="D184" s="386" t="s">
        <v>74</v>
      </c>
      <c r="E184" s="277" t="s">
        <v>62</v>
      </c>
      <c r="F184" s="387">
        <v>17.5</v>
      </c>
      <c r="G184" s="387">
        <v>219.15</v>
      </c>
      <c r="H184" s="444">
        <f>'MEMORIAL DE CALCULO 01'!K202</f>
        <v>42.149799999999992</v>
      </c>
      <c r="I184" s="444">
        <f>'MEMORIAL DE CALCULO 02'!K433</f>
        <v>9.6342399999999984</v>
      </c>
      <c r="J184" s="443">
        <f>'MEMORIAL DE CALCULO 03'!K545</f>
        <v>39.772656000000005</v>
      </c>
      <c r="K184" s="444">
        <f>'MEMORIAL DE CALCULO 04'!K646</f>
        <v>62.025655999999977</v>
      </c>
      <c r="L184" s="444">
        <f>'MEMORIAL DE CALCULO 05'!K634</f>
        <v>8.4384999999999994</v>
      </c>
      <c r="M184" s="444"/>
      <c r="N184" s="387"/>
      <c r="O184" s="387"/>
      <c r="P184" s="444"/>
      <c r="Q184" s="444">
        <v>57.13</v>
      </c>
      <c r="R184" s="444">
        <v>0</v>
      </c>
      <c r="S184" s="444">
        <f>VLOOKUP(B184,'MEMÓRIA MEDIÇÃO 12'!$A$7:$F$202,6,FALSE)</f>
        <v>0</v>
      </c>
      <c r="T184" s="387">
        <f t="shared" si="69"/>
        <v>219.15085199999996</v>
      </c>
      <c r="U184" s="387">
        <f t="shared" si="82"/>
        <v>-8.5199999995211328E-4</v>
      </c>
      <c r="V184" s="387">
        <f t="shared" si="83"/>
        <v>3835.125</v>
      </c>
      <c r="W184" s="346">
        <f t="shared" si="84"/>
        <v>737.62149999999986</v>
      </c>
      <c r="X184" s="346">
        <f t="shared" si="85"/>
        <v>168.59919999999997</v>
      </c>
      <c r="Y184" s="346">
        <f t="shared" si="78"/>
        <v>696.02148000000011</v>
      </c>
      <c r="Z184" s="346">
        <f t="shared" si="86"/>
        <v>1085.44</v>
      </c>
      <c r="AA184" s="346">
        <f t="shared" si="87"/>
        <v>147.66999999999999</v>
      </c>
      <c r="AB184" s="346">
        <f t="shared" si="81"/>
        <v>0</v>
      </c>
      <c r="AC184" s="346">
        <f t="shared" si="88"/>
        <v>0</v>
      </c>
      <c r="AD184" s="346">
        <f t="shared" si="71"/>
        <v>0</v>
      </c>
      <c r="AE184" s="346">
        <f t="shared" si="72"/>
        <v>0</v>
      </c>
      <c r="AF184" s="346">
        <f t="shared" si="73"/>
        <v>999.77</v>
      </c>
      <c r="AG184" s="346">
        <f t="shared" si="74"/>
        <v>0</v>
      </c>
      <c r="AH184" s="346">
        <f t="shared" si="75"/>
        <v>0</v>
      </c>
      <c r="AI184" s="445">
        <f t="shared" si="76"/>
        <v>3835.1221799999998</v>
      </c>
      <c r="AJ184" s="446">
        <f t="shared" si="77"/>
        <v>2.8200000001561421E-3</v>
      </c>
    </row>
    <row r="185" spans="2:36" s="168" customFormat="1" ht="22.5" x14ac:dyDescent="0.25">
      <c r="B185" s="384" t="s">
        <v>490</v>
      </c>
      <c r="C185" s="385">
        <v>96546</v>
      </c>
      <c r="D185" s="391" t="s">
        <v>80</v>
      </c>
      <c r="E185" s="277" t="s">
        <v>62</v>
      </c>
      <c r="F185" s="277">
        <v>14.35</v>
      </c>
      <c r="G185" s="387">
        <v>421.51</v>
      </c>
      <c r="H185" s="443">
        <f>'MEMORIAL DE CALCULO 01'!K204</f>
        <v>99.337000000000003</v>
      </c>
      <c r="I185" s="443">
        <f>'MEMORIAL DE CALCULO 02'!K435</f>
        <v>22.705599999999997</v>
      </c>
      <c r="J185" s="443">
        <f>'MEMORIAL DE CALCULO 03'!K556</f>
        <v>93.734639999999985</v>
      </c>
      <c r="K185" s="443">
        <f>'MEMORIAL DE CALCULO 04'!K664</f>
        <v>146.17963999999998</v>
      </c>
      <c r="L185" s="443">
        <f>'MEMORIAL DE CALCULO 05'!K636</f>
        <v>15.84</v>
      </c>
      <c r="M185" s="278"/>
      <c r="N185" s="278"/>
      <c r="O185" s="278"/>
      <c r="P185" s="278"/>
      <c r="Q185" s="278">
        <v>43.7</v>
      </c>
      <c r="R185" s="444">
        <v>0</v>
      </c>
      <c r="S185" s="444">
        <f>VLOOKUP(B185,'MEMÓRIA MEDIÇÃO 12'!$A$7:$F$202,6,FALSE)</f>
        <v>0</v>
      </c>
      <c r="T185" s="387">
        <f t="shared" si="69"/>
        <v>421.49687999999992</v>
      </c>
      <c r="U185" s="387">
        <f t="shared" si="82"/>
        <v>1.3120000000071741E-2</v>
      </c>
      <c r="V185" s="387">
        <f t="shared" si="83"/>
        <v>6048.6684999999998</v>
      </c>
      <c r="W185" s="346">
        <f t="shared" si="84"/>
        <v>1425.48595</v>
      </c>
      <c r="X185" s="346">
        <f t="shared" si="85"/>
        <v>325.82535999999993</v>
      </c>
      <c r="Y185" s="346">
        <f t="shared" si="78"/>
        <v>1345.0920839999997</v>
      </c>
      <c r="Z185" s="346">
        <f t="shared" si="86"/>
        <v>2097.67</v>
      </c>
      <c r="AA185" s="346">
        <f t="shared" si="87"/>
        <v>227.3</v>
      </c>
      <c r="AB185" s="346">
        <f t="shared" si="81"/>
        <v>0</v>
      </c>
      <c r="AC185" s="346">
        <f t="shared" si="88"/>
        <v>0</v>
      </c>
      <c r="AD185" s="346">
        <f t="shared" si="71"/>
        <v>0</v>
      </c>
      <c r="AE185" s="346">
        <f t="shared" si="72"/>
        <v>0</v>
      </c>
      <c r="AF185" s="346">
        <f t="shared" si="73"/>
        <v>627.09</v>
      </c>
      <c r="AG185" s="346">
        <f t="shared" si="74"/>
        <v>0</v>
      </c>
      <c r="AH185" s="346">
        <f t="shared" si="75"/>
        <v>0</v>
      </c>
      <c r="AI185" s="445">
        <f t="shared" si="76"/>
        <v>6048.4633940000003</v>
      </c>
      <c r="AJ185" s="446">
        <f t="shared" si="77"/>
        <v>0.20510599999943224</v>
      </c>
    </row>
    <row r="186" spans="2:36" s="168" customFormat="1" ht="33.75" x14ac:dyDescent="0.25">
      <c r="B186" s="384" t="s">
        <v>491</v>
      </c>
      <c r="C186" s="385">
        <v>96536</v>
      </c>
      <c r="D186" s="386" t="s">
        <v>86</v>
      </c>
      <c r="E186" s="277" t="s">
        <v>17</v>
      </c>
      <c r="F186" s="387">
        <v>69.64</v>
      </c>
      <c r="G186" s="387">
        <v>162.43</v>
      </c>
      <c r="H186" s="444">
        <f>'MEMORIAL DE CALCULO 01'!K206</f>
        <v>53.2</v>
      </c>
      <c r="I186" s="444">
        <f>'MEMORIAL DE CALCULO 02'!K437</f>
        <v>12.16</v>
      </c>
      <c r="J186" s="443">
        <f>'MEMORIAL DE CALCULO 03'!K567</f>
        <v>30.383999999999997</v>
      </c>
      <c r="K186" s="444">
        <f>'MEMORIAL DE CALCULO 04'!K682</f>
        <v>47.304000000000002</v>
      </c>
      <c r="L186" s="444">
        <f>'MEMORIAL DE CALCULO 05'!K638</f>
        <v>6.55</v>
      </c>
      <c r="M186" s="444"/>
      <c r="N186" s="387"/>
      <c r="O186" s="387"/>
      <c r="P186" s="444"/>
      <c r="Q186" s="444">
        <v>12.832000000000022</v>
      </c>
      <c r="R186" s="444">
        <v>0</v>
      </c>
      <c r="S186" s="444">
        <f>VLOOKUP(B186,'MEMÓRIA MEDIÇÃO 12'!$A$7:$F$202,6,FALSE)</f>
        <v>0</v>
      </c>
      <c r="T186" s="387">
        <f t="shared" si="69"/>
        <v>162.43000000000004</v>
      </c>
      <c r="U186" s="387">
        <f t="shared" si="82"/>
        <v>0</v>
      </c>
      <c r="V186" s="387">
        <f t="shared" si="83"/>
        <v>11311.6252</v>
      </c>
      <c r="W186" s="346">
        <f t="shared" si="84"/>
        <v>3704.8480000000004</v>
      </c>
      <c r="X186" s="346">
        <f t="shared" si="85"/>
        <v>846.82240000000002</v>
      </c>
      <c r="Y186" s="346">
        <f t="shared" si="78"/>
        <v>2115.9417599999997</v>
      </c>
      <c r="Z186" s="346">
        <f t="shared" si="86"/>
        <v>3294.25</v>
      </c>
      <c r="AA186" s="346">
        <f t="shared" si="87"/>
        <v>456.14</v>
      </c>
      <c r="AB186" s="346">
        <f t="shared" si="81"/>
        <v>0</v>
      </c>
      <c r="AC186" s="346">
        <f t="shared" si="88"/>
        <v>0</v>
      </c>
      <c r="AD186" s="346">
        <f t="shared" si="71"/>
        <v>0</v>
      </c>
      <c r="AE186" s="346">
        <f t="shared" si="72"/>
        <v>0</v>
      </c>
      <c r="AF186" s="346">
        <f t="shared" si="73"/>
        <v>893.62</v>
      </c>
      <c r="AG186" s="346">
        <f t="shared" si="74"/>
        <v>0</v>
      </c>
      <c r="AH186" s="346">
        <f t="shared" si="75"/>
        <v>0</v>
      </c>
      <c r="AI186" s="445">
        <f t="shared" si="76"/>
        <v>11311.622160000001</v>
      </c>
      <c r="AJ186" s="446">
        <f t="shared" si="77"/>
        <v>3.0399999996006954E-3</v>
      </c>
    </row>
    <row r="187" spans="2:36" s="169" customFormat="1" ht="22.5" x14ac:dyDescent="0.25">
      <c r="B187" s="384" t="s">
        <v>492</v>
      </c>
      <c r="C187" s="385">
        <v>98557</v>
      </c>
      <c r="D187" s="386" t="s">
        <v>89</v>
      </c>
      <c r="E187" s="277" t="s">
        <v>17</v>
      </c>
      <c r="F187" s="387">
        <v>48.22</v>
      </c>
      <c r="G187" s="387">
        <v>65.430000000000007</v>
      </c>
      <c r="H187" s="444"/>
      <c r="I187" s="444"/>
      <c r="J187" s="443">
        <f>'MEMORIAL DE CALCULO 03'!K580</f>
        <v>33.634999999999998</v>
      </c>
      <c r="K187" s="444">
        <v>31.8</v>
      </c>
      <c r="L187" s="444"/>
      <c r="M187" s="444"/>
      <c r="N187" s="387"/>
      <c r="O187" s="387"/>
      <c r="P187" s="444"/>
      <c r="Q187" s="444"/>
      <c r="R187" s="444">
        <v>0</v>
      </c>
      <c r="S187" s="444">
        <f>VLOOKUP(B187,'MEMÓRIA MEDIÇÃO 12'!$A$7:$F$202,6,FALSE)</f>
        <v>0</v>
      </c>
      <c r="T187" s="387">
        <f t="shared" si="69"/>
        <v>65.435000000000002</v>
      </c>
      <c r="U187" s="387">
        <f t="shared" si="82"/>
        <v>-4.9999999999954525E-3</v>
      </c>
      <c r="V187" s="387">
        <f t="shared" si="83"/>
        <v>3155.0346000000004</v>
      </c>
      <c r="W187" s="346">
        <f t="shared" si="84"/>
        <v>0</v>
      </c>
      <c r="X187" s="346">
        <f t="shared" si="85"/>
        <v>0</v>
      </c>
      <c r="Y187" s="346">
        <f t="shared" ref="Y187:Y195" si="89">F187*J187</f>
        <v>1621.8797</v>
      </c>
      <c r="Z187" s="346">
        <f t="shared" si="86"/>
        <v>1533.39</v>
      </c>
      <c r="AA187" s="346">
        <f t="shared" si="87"/>
        <v>0</v>
      </c>
      <c r="AB187" s="346">
        <f t="shared" si="81"/>
        <v>0</v>
      </c>
      <c r="AC187" s="346">
        <f t="shared" si="88"/>
        <v>0</v>
      </c>
      <c r="AD187" s="346">
        <f t="shared" si="71"/>
        <v>0</v>
      </c>
      <c r="AE187" s="346">
        <f t="shared" si="72"/>
        <v>0</v>
      </c>
      <c r="AF187" s="346">
        <f t="shared" si="73"/>
        <v>0</v>
      </c>
      <c r="AG187" s="346">
        <f t="shared" si="74"/>
        <v>0</v>
      </c>
      <c r="AH187" s="346">
        <f t="shared" si="75"/>
        <v>0</v>
      </c>
      <c r="AI187" s="445">
        <f t="shared" si="76"/>
        <v>3155.2696999999998</v>
      </c>
      <c r="AJ187" s="446">
        <f t="shared" si="77"/>
        <v>-0.23509999999942011</v>
      </c>
    </row>
    <row r="188" spans="2:36" s="169" customFormat="1" ht="45" x14ac:dyDescent="0.25">
      <c r="B188" s="384" t="s">
        <v>493</v>
      </c>
      <c r="C188" s="385">
        <v>103356</v>
      </c>
      <c r="D188" s="386" t="s">
        <v>137</v>
      </c>
      <c r="E188" s="277" t="s">
        <v>17</v>
      </c>
      <c r="F188" s="387">
        <v>46.86</v>
      </c>
      <c r="G188" s="387">
        <v>405.64</v>
      </c>
      <c r="H188" s="444"/>
      <c r="I188" s="444"/>
      <c r="J188" s="443">
        <f>'MEMORIAL DE CALCULO 03'!K581</f>
        <v>208.53700000000003</v>
      </c>
      <c r="K188" s="444">
        <f>'MEMORIAL DE CALCULO 04'!K703</f>
        <v>177.38200000000001</v>
      </c>
      <c r="L188" s="444">
        <f>'MEMORIAL DE CALCULO 05'!K642</f>
        <v>19.721239000000001</v>
      </c>
      <c r="M188" s="444"/>
      <c r="N188" s="387"/>
      <c r="O188" s="387"/>
      <c r="P188" s="444"/>
      <c r="Q188" s="444"/>
      <c r="R188" s="444">
        <v>0</v>
      </c>
      <c r="S188" s="444">
        <f>VLOOKUP(B188,'MEMÓRIA MEDIÇÃO 12'!$A$7:$F$202,6,FALSE)</f>
        <v>0</v>
      </c>
      <c r="T188" s="387">
        <f t="shared" si="69"/>
        <v>405.64023900000007</v>
      </c>
      <c r="U188" s="387">
        <f t="shared" si="82"/>
        <v>-2.3900000007870403E-4</v>
      </c>
      <c r="V188" s="387">
        <f t="shared" si="83"/>
        <v>19008.290399999998</v>
      </c>
      <c r="W188" s="346">
        <f t="shared" si="84"/>
        <v>0</v>
      </c>
      <c r="X188" s="346">
        <f t="shared" si="85"/>
        <v>0</v>
      </c>
      <c r="Y188" s="346">
        <f t="shared" si="89"/>
        <v>9772.0438200000008</v>
      </c>
      <c r="Z188" s="346">
        <f t="shared" si="86"/>
        <v>8312.1200000000008</v>
      </c>
      <c r="AA188" s="346">
        <f t="shared" si="87"/>
        <v>924.13</v>
      </c>
      <c r="AB188" s="346">
        <f t="shared" si="81"/>
        <v>0</v>
      </c>
      <c r="AC188" s="346">
        <f t="shared" si="88"/>
        <v>0</v>
      </c>
      <c r="AD188" s="346">
        <f t="shared" si="71"/>
        <v>0</v>
      </c>
      <c r="AE188" s="346">
        <f t="shared" si="72"/>
        <v>0</v>
      </c>
      <c r="AF188" s="346">
        <f t="shared" si="73"/>
        <v>0</v>
      </c>
      <c r="AG188" s="346">
        <f t="shared" si="74"/>
        <v>0</v>
      </c>
      <c r="AH188" s="346">
        <f t="shared" si="75"/>
        <v>0</v>
      </c>
      <c r="AI188" s="445">
        <f t="shared" si="76"/>
        <v>19008.293820000003</v>
      </c>
      <c r="AJ188" s="446">
        <f t="shared" si="77"/>
        <v>-3.4200000045530032E-3</v>
      </c>
    </row>
    <row r="189" spans="2:36" s="169" customFormat="1" ht="45" x14ac:dyDescent="0.25">
      <c r="B189" s="384" t="s">
        <v>494</v>
      </c>
      <c r="C189" s="385">
        <v>87893</v>
      </c>
      <c r="D189" s="386" t="s">
        <v>151</v>
      </c>
      <c r="E189" s="277" t="s">
        <v>17</v>
      </c>
      <c r="F189" s="387">
        <v>6.08</v>
      </c>
      <c r="G189" s="387">
        <v>883.13</v>
      </c>
      <c r="H189" s="444"/>
      <c r="I189" s="444"/>
      <c r="J189" s="443"/>
      <c r="K189" s="444">
        <f>'MEMORIAL DE CALCULO 04'!K705</f>
        <v>124.52700000000002</v>
      </c>
      <c r="L189" s="444">
        <f>'MEMORIAL DE CALCULO 05'!K644</f>
        <v>686.74300000000005</v>
      </c>
      <c r="M189" s="444"/>
      <c r="N189" s="387"/>
      <c r="O189" s="387"/>
      <c r="P189" s="444"/>
      <c r="Q189" s="444">
        <v>71.859750000000076</v>
      </c>
      <c r="R189" s="444">
        <v>0</v>
      </c>
      <c r="S189" s="444">
        <f>VLOOKUP(B189,'MEMÓRIA MEDIÇÃO 12'!$A$7:$F$202,6,FALSE)</f>
        <v>0</v>
      </c>
      <c r="T189" s="387">
        <f t="shared" si="69"/>
        <v>883.12975000000017</v>
      </c>
      <c r="U189" s="387">
        <f t="shared" si="82"/>
        <v>2.4999999982355803E-4</v>
      </c>
      <c r="V189" s="387">
        <f t="shared" si="83"/>
        <v>5369.4304000000002</v>
      </c>
      <c r="W189" s="346">
        <f t="shared" si="84"/>
        <v>0</v>
      </c>
      <c r="X189" s="346">
        <f t="shared" si="85"/>
        <v>0</v>
      </c>
      <c r="Y189" s="346">
        <f t="shared" si="89"/>
        <v>0</v>
      </c>
      <c r="Z189" s="346">
        <f t="shared" si="86"/>
        <v>757.12</v>
      </c>
      <c r="AA189" s="346">
        <f t="shared" si="87"/>
        <v>4175.3900000000003</v>
      </c>
      <c r="AB189" s="346">
        <f t="shared" si="81"/>
        <v>0</v>
      </c>
      <c r="AC189" s="346">
        <f t="shared" si="88"/>
        <v>0</v>
      </c>
      <c r="AD189" s="346">
        <f t="shared" si="71"/>
        <v>0</v>
      </c>
      <c r="AE189" s="346">
        <f t="shared" si="72"/>
        <v>0</v>
      </c>
      <c r="AF189" s="346">
        <f t="shared" si="73"/>
        <v>436.9</v>
      </c>
      <c r="AG189" s="346">
        <f t="shared" si="74"/>
        <v>0</v>
      </c>
      <c r="AH189" s="346">
        <f t="shared" si="75"/>
        <v>0</v>
      </c>
      <c r="AI189" s="445">
        <f t="shared" si="76"/>
        <v>5369.41</v>
      </c>
      <c r="AJ189" s="446">
        <f t="shared" si="77"/>
        <v>2.0400000000336149E-2</v>
      </c>
    </row>
    <row r="190" spans="2:36" s="167" customFormat="1" ht="56.25" x14ac:dyDescent="0.25">
      <c r="B190" s="384" t="s">
        <v>495</v>
      </c>
      <c r="C190" s="385">
        <v>87548</v>
      </c>
      <c r="D190" s="386" t="s">
        <v>154</v>
      </c>
      <c r="E190" s="277" t="s">
        <v>17</v>
      </c>
      <c r="F190" s="387">
        <v>22.4</v>
      </c>
      <c r="G190" s="387">
        <v>883.13</v>
      </c>
      <c r="H190" s="444"/>
      <c r="I190" s="444"/>
      <c r="J190" s="443"/>
      <c r="K190" s="444"/>
      <c r="L190" s="444">
        <f>'MEMORIAL DE CALCULO 05'!K646</f>
        <v>405.66600000000005</v>
      </c>
      <c r="M190" s="444">
        <f>'MEMORIAL DE CALCULO 06'!K420</f>
        <v>405.60400000000004</v>
      </c>
      <c r="N190" s="387"/>
      <c r="O190" s="387"/>
      <c r="P190" s="444"/>
      <c r="Q190" s="444">
        <v>71.859750000000076</v>
      </c>
      <c r="R190" s="444">
        <v>0</v>
      </c>
      <c r="S190" s="444">
        <f>VLOOKUP(B190,'MEMÓRIA MEDIÇÃO 12'!$A$7:$F$202,6,FALSE)</f>
        <v>0</v>
      </c>
      <c r="T190" s="387">
        <f t="shared" si="69"/>
        <v>883.12975000000017</v>
      </c>
      <c r="U190" s="387">
        <f t="shared" si="82"/>
        <v>2.4999999982355803E-4</v>
      </c>
      <c r="V190" s="387">
        <f t="shared" si="83"/>
        <v>19782.111999999997</v>
      </c>
      <c r="W190" s="346">
        <f t="shared" si="84"/>
        <v>0</v>
      </c>
      <c r="X190" s="346">
        <f t="shared" si="85"/>
        <v>0</v>
      </c>
      <c r="Y190" s="346">
        <f t="shared" si="89"/>
        <v>0</v>
      </c>
      <c r="Z190" s="346">
        <f t="shared" si="86"/>
        <v>0</v>
      </c>
      <c r="AA190" s="346">
        <f t="shared" si="87"/>
        <v>9086.91</v>
      </c>
      <c r="AB190" s="346">
        <f t="shared" si="81"/>
        <v>9085.5295999999998</v>
      </c>
      <c r="AC190" s="346">
        <f t="shared" si="88"/>
        <v>0</v>
      </c>
      <c r="AD190" s="346">
        <f t="shared" si="71"/>
        <v>0</v>
      </c>
      <c r="AE190" s="346">
        <f t="shared" si="72"/>
        <v>0</v>
      </c>
      <c r="AF190" s="346">
        <f t="shared" si="73"/>
        <v>1609.65</v>
      </c>
      <c r="AG190" s="346">
        <f t="shared" si="74"/>
        <v>0</v>
      </c>
      <c r="AH190" s="346">
        <f t="shared" si="75"/>
        <v>0</v>
      </c>
      <c r="AI190" s="445">
        <f t="shared" si="76"/>
        <v>19782.089599999999</v>
      </c>
      <c r="AJ190" s="446">
        <f t="shared" si="77"/>
        <v>2.2399999998015119E-2</v>
      </c>
    </row>
    <row r="191" spans="2:36" s="167" customFormat="1" ht="22.5" x14ac:dyDescent="0.25">
      <c r="B191" s="384" t="s">
        <v>496</v>
      </c>
      <c r="C191" s="385">
        <v>88489</v>
      </c>
      <c r="D191" s="386" t="s">
        <v>198</v>
      </c>
      <c r="E191" s="277" t="s">
        <v>17</v>
      </c>
      <c r="F191" s="387">
        <v>12.16</v>
      </c>
      <c r="G191" s="387">
        <v>883.13</v>
      </c>
      <c r="H191" s="444"/>
      <c r="I191" s="444"/>
      <c r="J191" s="443"/>
      <c r="K191" s="444"/>
      <c r="L191" s="444"/>
      <c r="M191" s="444"/>
      <c r="N191" s="387"/>
      <c r="O191" s="387"/>
      <c r="P191" s="444"/>
      <c r="Q191" s="444"/>
      <c r="R191" s="444">
        <v>0</v>
      </c>
      <c r="S191" s="444">
        <f>VLOOKUP(B191,'MEMÓRIA MEDIÇÃO 12'!$A$7:$F$202,6,FALSE)</f>
        <v>0</v>
      </c>
      <c r="T191" s="387">
        <f t="shared" si="69"/>
        <v>0</v>
      </c>
      <c r="U191" s="387">
        <f t="shared" si="82"/>
        <v>883.13</v>
      </c>
      <c r="V191" s="387">
        <f t="shared" si="83"/>
        <v>10738.8608</v>
      </c>
      <c r="W191" s="346">
        <f t="shared" si="84"/>
        <v>0</v>
      </c>
      <c r="X191" s="346">
        <f t="shared" si="85"/>
        <v>0</v>
      </c>
      <c r="Y191" s="346">
        <f t="shared" si="89"/>
        <v>0</v>
      </c>
      <c r="Z191" s="346">
        <f t="shared" si="86"/>
        <v>0</v>
      </c>
      <c r="AA191" s="346">
        <f t="shared" si="87"/>
        <v>0</v>
      </c>
      <c r="AB191" s="346">
        <f t="shared" si="81"/>
        <v>0</v>
      </c>
      <c r="AC191" s="346">
        <f t="shared" si="88"/>
        <v>0</v>
      </c>
      <c r="AD191" s="346">
        <f t="shared" si="71"/>
        <v>0</v>
      </c>
      <c r="AE191" s="346">
        <f t="shared" si="72"/>
        <v>0</v>
      </c>
      <c r="AF191" s="346">
        <f t="shared" si="73"/>
        <v>0</v>
      </c>
      <c r="AG191" s="346">
        <f t="shared" si="74"/>
        <v>0</v>
      </c>
      <c r="AH191" s="346">
        <f t="shared" si="75"/>
        <v>0</v>
      </c>
      <c r="AI191" s="445">
        <f t="shared" si="76"/>
        <v>0</v>
      </c>
      <c r="AJ191" s="446">
        <f t="shared" si="77"/>
        <v>10738.8608</v>
      </c>
    </row>
    <row r="192" spans="2:36" s="167" customFormat="1" ht="22.5" x14ac:dyDescent="0.25">
      <c r="B192" s="384" t="s">
        <v>497</v>
      </c>
      <c r="C192" s="385">
        <v>95305</v>
      </c>
      <c r="D192" s="386" t="s">
        <v>499</v>
      </c>
      <c r="E192" s="277" t="s">
        <v>17</v>
      </c>
      <c r="F192" s="387">
        <v>10.95</v>
      </c>
      <c r="G192" s="387">
        <v>883.13</v>
      </c>
      <c r="H192" s="444"/>
      <c r="I192" s="444"/>
      <c r="J192" s="443"/>
      <c r="K192" s="444"/>
      <c r="L192" s="444"/>
      <c r="M192" s="444"/>
      <c r="N192" s="387"/>
      <c r="O192" s="387"/>
      <c r="P192" s="444"/>
      <c r="Q192" s="444"/>
      <c r="R192" s="444">
        <v>0</v>
      </c>
      <c r="S192" s="444">
        <f>VLOOKUP(B192,'MEMÓRIA MEDIÇÃO 12'!$A$7:$F$202,6,FALSE)</f>
        <v>0</v>
      </c>
      <c r="T192" s="387">
        <f t="shared" si="69"/>
        <v>0</v>
      </c>
      <c r="U192" s="387">
        <f t="shared" si="82"/>
        <v>883.13</v>
      </c>
      <c r="V192" s="387">
        <f t="shared" si="83"/>
        <v>9670.2734999999993</v>
      </c>
      <c r="W192" s="346">
        <f t="shared" si="84"/>
        <v>0</v>
      </c>
      <c r="X192" s="346">
        <f t="shared" si="85"/>
        <v>0</v>
      </c>
      <c r="Y192" s="346">
        <f t="shared" si="89"/>
        <v>0</v>
      </c>
      <c r="Z192" s="346">
        <f t="shared" si="86"/>
        <v>0</v>
      </c>
      <c r="AA192" s="346">
        <f t="shared" si="87"/>
        <v>0</v>
      </c>
      <c r="AB192" s="346">
        <f t="shared" si="81"/>
        <v>0</v>
      </c>
      <c r="AC192" s="346">
        <f t="shared" si="88"/>
        <v>0</v>
      </c>
      <c r="AD192" s="346">
        <f t="shared" si="71"/>
        <v>0</v>
      </c>
      <c r="AE192" s="346">
        <f t="shared" si="72"/>
        <v>0</v>
      </c>
      <c r="AF192" s="346">
        <f t="shared" si="73"/>
        <v>0</v>
      </c>
      <c r="AG192" s="346">
        <f t="shared" si="74"/>
        <v>0</v>
      </c>
      <c r="AH192" s="346">
        <f t="shared" si="75"/>
        <v>0</v>
      </c>
      <c r="AI192" s="445">
        <f t="shared" si="76"/>
        <v>0</v>
      </c>
      <c r="AJ192" s="446">
        <f t="shared" si="77"/>
        <v>9670.2734999999993</v>
      </c>
    </row>
    <row r="193" spans="2:36" s="167" customFormat="1" ht="14.45" customHeight="1" x14ac:dyDescent="0.25">
      <c r="B193" s="347">
        <v>1.1599999999999999</v>
      </c>
      <c r="C193" s="348" t="s">
        <v>501</v>
      </c>
      <c r="D193" s="386"/>
      <c r="E193" s="277"/>
      <c r="F193" s="387"/>
      <c r="G193" s="387"/>
      <c r="H193" s="444"/>
      <c r="I193" s="444"/>
      <c r="J193" s="443"/>
      <c r="K193" s="444"/>
      <c r="L193" s="444"/>
      <c r="M193" s="444"/>
      <c r="N193" s="387"/>
      <c r="O193" s="387"/>
      <c r="P193" s="444"/>
      <c r="Q193" s="444"/>
      <c r="R193" s="444">
        <v>0</v>
      </c>
      <c r="S193" s="444">
        <f>VLOOKUP(B193,'MEMÓRIA MEDIÇÃO 12'!$A$7:$F$202,6,FALSE)</f>
        <v>0</v>
      </c>
      <c r="T193" s="387">
        <f t="shared" si="69"/>
        <v>0</v>
      </c>
      <c r="U193" s="387"/>
      <c r="V193" s="387"/>
      <c r="W193" s="346">
        <f t="shared" si="84"/>
        <v>0</v>
      </c>
      <c r="X193" s="346">
        <f t="shared" si="85"/>
        <v>0</v>
      </c>
      <c r="Y193" s="346">
        <f t="shared" si="89"/>
        <v>0</v>
      </c>
      <c r="Z193" s="346">
        <f t="shared" si="86"/>
        <v>0</v>
      </c>
      <c r="AA193" s="346">
        <f t="shared" si="87"/>
        <v>0</v>
      </c>
      <c r="AB193" s="346">
        <f t="shared" si="81"/>
        <v>0</v>
      </c>
      <c r="AC193" s="346">
        <f t="shared" si="88"/>
        <v>0</v>
      </c>
      <c r="AD193" s="346">
        <f t="shared" si="71"/>
        <v>0</v>
      </c>
      <c r="AE193" s="346">
        <f t="shared" si="72"/>
        <v>0</v>
      </c>
      <c r="AF193" s="346">
        <f t="shared" si="73"/>
        <v>0</v>
      </c>
      <c r="AG193" s="346">
        <f t="shared" si="74"/>
        <v>0</v>
      </c>
      <c r="AH193" s="346">
        <f t="shared" si="75"/>
        <v>0</v>
      </c>
      <c r="AI193" s="445">
        <f t="shared" si="76"/>
        <v>0</v>
      </c>
      <c r="AJ193" s="446">
        <f t="shared" si="77"/>
        <v>0</v>
      </c>
    </row>
    <row r="194" spans="2:36" s="167" customFormat="1" ht="33.75" x14ac:dyDescent="0.25">
      <c r="B194" s="384" t="s">
        <v>502</v>
      </c>
      <c r="C194" s="442" t="s">
        <v>503</v>
      </c>
      <c r="D194" s="386" t="s">
        <v>504</v>
      </c>
      <c r="E194" s="277" t="s">
        <v>166</v>
      </c>
      <c r="F194" s="387">
        <v>4877.91</v>
      </c>
      <c r="G194" s="387">
        <v>0</v>
      </c>
      <c r="H194" s="444"/>
      <c r="I194" s="444"/>
      <c r="J194" s="443"/>
      <c r="K194" s="444"/>
      <c r="L194" s="444"/>
      <c r="M194" s="444"/>
      <c r="N194" s="387"/>
      <c r="O194" s="387"/>
      <c r="P194" s="444"/>
      <c r="Q194" s="444"/>
      <c r="R194" s="444">
        <v>0</v>
      </c>
      <c r="S194" s="444">
        <f>VLOOKUP(B194,'MEMÓRIA MEDIÇÃO 12'!$A$7:$F$202,6,FALSE)</f>
        <v>0</v>
      </c>
      <c r="T194" s="387">
        <f t="shared" si="69"/>
        <v>0</v>
      </c>
      <c r="U194" s="387">
        <f>G194-T194</f>
        <v>0</v>
      </c>
      <c r="V194" s="387">
        <f>F194*G194</f>
        <v>0</v>
      </c>
      <c r="W194" s="346">
        <f t="shared" si="84"/>
        <v>0</v>
      </c>
      <c r="X194" s="346">
        <f t="shared" si="85"/>
        <v>0</v>
      </c>
      <c r="Y194" s="346">
        <f t="shared" si="89"/>
        <v>0</v>
      </c>
      <c r="Z194" s="346">
        <f t="shared" si="86"/>
        <v>0</v>
      </c>
      <c r="AA194" s="346">
        <f t="shared" si="87"/>
        <v>0</v>
      </c>
      <c r="AB194" s="346">
        <f t="shared" si="81"/>
        <v>0</v>
      </c>
      <c r="AC194" s="346">
        <f t="shared" si="88"/>
        <v>0</v>
      </c>
      <c r="AD194" s="346">
        <f t="shared" si="71"/>
        <v>0</v>
      </c>
      <c r="AE194" s="346">
        <f t="shared" si="72"/>
        <v>0</v>
      </c>
      <c r="AF194" s="346">
        <f t="shared" si="73"/>
        <v>0</v>
      </c>
      <c r="AG194" s="346">
        <f t="shared" si="74"/>
        <v>0</v>
      </c>
      <c r="AH194" s="346">
        <f t="shared" si="75"/>
        <v>0</v>
      </c>
      <c r="AI194" s="445">
        <f t="shared" si="76"/>
        <v>0</v>
      </c>
      <c r="AJ194" s="446">
        <f t="shared" si="77"/>
        <v>0</v>
      </c>
    </row>
    <row r="195" spans="2:36" s="167" customFormat="1" ht="45.75" thickBot="1" x14ac:dyDescent="0.3">
      <c r="B195" s="384" t="s">
        <v>505</v>
      </c>
      <c r="C195" s="442" t="s">
        <v>506</v>
      </c>
      <c r="D195" s="448" t="s">
        <v>507</v>
      </c>
      <c r="E195" s="277" t="s">
        <v>166</v>
      </c>
      <c r="F195" s="387">
        <v>3733.15</v>
      </c>
      <c r="G195" s="449">
        <v>0</v>
      </c>
      <c r="H195" s="450"/>
      <c r="I195" s="450"/>
      <c r="J195" s="451"/>
      <c r="K195" s="450"/>
      <c r="L195" s="450"/>
      <c r="M195" s="450"/>
      <c r="N195" s="452"/>
      <c r="O195" s="452"/>
      <c r="P195" s="450"/>
      <c r="Q195" s="453"/>
      <c r="R195" s="444">
        <v>0</v>
      </c>
      <c r="S195" s="444">
        <f>VLOOKUP(B195,'MEMÓRIA MEDIÇÃO 12'!$A$7:$F$202,6,FALSE)</f>
        <v>0</v>
      </c>
      <c r="T195" s="387">
        <f t="shared" si="69"/>
        <v>0</v>
      </c>
      <c r="U195" s="449">
        <f>G195-T195</f>
        <v>0</v>
      </c>
      <c r="V195" s="449">
        <f>F195*G195</f>
        <v>0</v>
      </c>
      <c r="W195" s="346">
        <f t="shared" si="84"/>
        <v>0</v>
      </c>
      <c r="X195" s="346">
        <f t="shared" si="85"/>
        <v>0</v>
      </c>
      <c r="Y195" s="346">
        <f t="shared" si="89"/>
        <v>0</v>
      </c>
      <c r="Z195" s="346">
        <f t="shared" si="86"/>
        <v>0</v>
      </c>
      <c r="AA195" s="346">
        <f t="shared" si="87"/>
        <v>0</v>
      </c>
      <c r="AB195" s="346">
        <f t="shared" si="81"/>
        <v>0</v>
      </c>
      <c r="AC195" s="346">
        <f t="shared" si="88"/>
        <v>0</v>
      </c>
      <c r="AD195" s="346">
        <f t="shared" si="71"/>
        <v>0</v>
      </c>
      <c r="AE195" s="346">
        <f t="shared" si="72"/>
        <v>0</v>
      </c>
      <c r="AF195" s="346">
        <f t="shared" si="73"/>
        <v>0</v>
      </c>
      <c r="AG195" s="346">
        <f t="shared" si="74"/>
        <v>0</v>
      </c>
      <c r="AH195" s="346">
        <f t="shared" si="75"/>
        <v>0</v>
      </c>
      <c r="AI195" s="445">
        <f t="shared" si="76"/>
        <v>0</v>
      </c>
      <c r="AJ195" s="454">
        <f t="shared" si="77"/>
        <v>0</v>
      </c>
    </row>
    <row r="196" spans="2:36" s="167" customFormat="1" x14ac:dyDescent="0.25">
      <c r="B196" s="455">
        <v>1.17</v>
      </c>
      <c r="C196" s="456" t="s">
        <v>1030</v>
      </c>
      <c r="D196" s="457"/>
      <c r="E196" s="458"/>
      <c r="F196" s="459"/>
      <c r="G196" s="387"/>
      <c r="H196" s="444"/>
      <c r="I196" s="444"/>
      <c r="J196" s="443"/>
      <c r="K196" s="444"/>
      <c r="L196" s="444"/>
      <c r="M196" s="444"/>
      <c r="N196" s="387"/>
      <c r="O196" s="387"/>
      <c r="P196" s="444"/>
      <c r="Q196" s="444"/>
      <c r="R196" s="444">
        <v>0</v>
      </c>
      <c r="S196" s="444">
        <f>VLOOKUP(B196,'MEMÓRIA MEDIÇÃO 12'!$A$7:$F$202,6,FALSE)</f>
        <v>0</v>
      </c>
      <c r="T196" s="387">
        <f t="shared" si="69"/>
        <v>0</v>
      </c>
      <c r="U196" s="449"/>
      <c r="V196" s="449"/>
      <c r="W196" s="346">
        <f t="shared" ref="W196:W208" si="90">F196*H196</f>
        <v>0</v>
      </c>
      <c r="X196" s="346">
        <f t="shared" ref="X196:X208" si="91">F196*I196</f>
        <v>0</v>
      </c>
      <c r="Y196" s="346">
        <f t="shared" ref="Y196:Y208" si="92">F196*J196</f>
        <v>0</v>
      </c>
      <c r="Z196" s="346">
        <f t="shared" ref="Z196:Z208" si="93">TRUNC(F196*K196,2)</f>
        <v>0</v>
      </c>
      <c r="AA196" s="346">
        <f t="shared" ref="AA196:AA208" si="94">TRUNC(F196*L196,2)</f>
        <v>0</v>
      </c>
      <c r="AB196" s="346">
        <f t="shared" ref="AB196:AB208" si="95">M196*F196</f>
        <v>0</v>
      </c>
      <c r="AC196" s="346">
        <f t="shared" ref="AC196:AC208" si="96">F196*N196</f>
        <v>0</v>
      </c>
      <c r="AD196" s="346">
        <f t="shared" ref="AD196:AD208" si="97">TRUNC(F196*O196,2)</f>
        <v>0</v>
      </c>
      <c r="AE196" s="346">
        <f t="shared" ref="AE196:AE208" si="98">TRUNC(F196*P196,2)</f>
        <v>0</v>
      </c>
      <c r="AF196" s="346"/>
      <c r="AG196" s="346">
        <f t="shared" si="74"/>
        <v>0</v>
      </c>
      <c r="AH196" s="346">
        <f t="shared" si="75"/>
        <v>0</v>
      </c>
      <c r="AI196" s="445">
        <f t="shared" si="76"/>
        <v>0</v>
      </c>
      <c r="AJ196" s="454"/>
    </row>
    <row r="197" spans="2:36" s="167" customFormat="1" ht="30.6" customHeight="1" x14ac:dyDescent="0.25">
      <c r="B197" s="384" t="s">
        <v>1017</v>
      </c>
      <c r="C197" s="385">
        <v>94316</v>
      </c>
      <c r="D197" s="386" t="s">
        <v>1035</v>
      </c>
      <c r="E197" s="277" t="s">
        <v>41</v>
      </c>
      <c r="F197" s="387">
        <v>65.36</v>
      </c>
      <c r="G197" s="387">
        <v>620.19000000000005</v>
      </c>
      <c r="H197" s="444"/>
      <c r="I197" s="444"/>
      <c r="J197" s="443"/>
      <c r="K197" s="444"/>
      <c r="L197" s="444"/>
      <c r="M197" s="444"/>
      <c r="N197" s="387"/>
      <c r="O197" s="387"/>
      <c r="P197" s="444"/>
      <c r="Q197" s="444">
        <v>431.86</v>
      </c>
      <c r="R197" s="444">
        <v>0</v>
      </c>
      <c r="S197" s="444">
        <f>VLOOKUP(B197,'MEMÓRIA MEDIÇÃO 12'!$A$7:$F$202,6,FALSE)</f>
        <v>0</v>
      </c>
      <c r="T197" s="387">
        <f t="shared" si="69"/>
        <v>431.86</v>
      </c>
      <c r="U197" s="387">
        <f t="shared" ref="U197:U208" si="99">G197-T197</f>
        <v>188.33000000000004</v>
      </c>
      <c r="V197" s="387">
        <f t="shared" ref="V197:V208" si="100">F197*G197</f>
        <v>40535.618400000007</v>
      </c>
      <c r="W197" s="346">
        <f t="shared" si="90"/>
        <v>0</v>
      </c>
      <c r="X197" s="346">
        <f t="shared" si="91"/>
        <v>0</v>
      </c>
      <c r="Y197" s="346">
        <f t="shared" si="92"/>
        <v>0</v>
      </c>
      <c r="Z197" s="346">
        <f t="shared" si="93"/>
        <v>0</v>
      </c>
      <c r="AA197" s="346">
        <f t="shared" si="94"/>
        <v>0</v>
      </c>
      <c r="AB197" s="346">
        <f t="shared" si="95"/>
        <v>0</v>
      </c>
      <c r="AC197" s="346">
        <f t="shared" si="96"/>
        <v>0</v>
      </c>
      <c r="AD197" s="346">
        <f t="shared" si="97"/>
        <v>0</v>
      </c>
      <c r="AE197" s="346">
        <f t="shared" si="98"/>
        <v>0</v>
      </c>
      <c r="AF197" s="346">
        <f t="shared" ref="AF197:AF208" si="101">TRUNC(F197*Q197,2)</f>
        <v>28226.36</v>
      </c>
      <c r="AG197" s="346">
        <f t="shared" si="74"/>
        <v>0</v>
      </c>
      <c r="AH197" s="346">
        <f t="shared" si="75"/>
        <v>0</v>
      </c>
      <c r="AI197" s="445">
        <f t="shared" si="76"/>
        <v>28226.36</v>
      </c>
      <c r="AJ197" s="446">
        <f t="shared" ref="AJ197:AJ208" si="102">V197-AI197</f>
        <v>12309.258400000006</v>
      </c>
    </row>
    <row r="198" spans="2:36" s="167" customFormat="1" ht="30.6" customHeight="1" x14ac:dyDescent="0.25">
      <c r="B198" s="384" t="s">
        <v>1018</v>
      </c>
      <c r="C198" s="385">
        <v>97626</v>
      </c>
      <c r="D198" s="386" t="s">
        <v>1036</v>
      </c>
      <c r="E198" s="277" t="s">
        <v>41</v>
      </c>
      <c r="F198" s="387">
        <v>512.69000000000005</v>
      </c>
      <c r="G198" s="387">
        <v>0.09</v>
      </c>
      <c r="H198" s="444"/>
      <c r="I198" s="444"/>
      <c r="J198" s="443"/>
      <c r="K198" s="444"/>
      <c r="L198" s="444"/>
      <c r="M198" s="444"/>
      <c r="N198" s="387"/>
      <c r="O198" s="387"/>
      <c r="P198" s="444"/>
      <c r="Q198" s="444"/>
      <c r="R198" s="444">
        <v>0</v>
      </c>
      <c r="S198" s="444">
        <f>VLOOKUP(B198,'MEMÓRIA MEDIÇÃO 12'!$A$7:$F$202,6,FALSE)</f>
        <v>0</v>
      </c>
      <c r="T198" s="387">
        <f t="shared" si="69"/>
        <v>0</v>
      </c>
      <c r="U198" s="449">
        <f t="shared" si="99"/>
        <v>0.09</v>
      </c>
      <c r="V198" s="449">
        <f t="shared" si="100"/>
        <v>46.142100000000006</v>
      </c>
      <c r="W198" s="346">
        <f t="shared" si="90"/>
        <v>0</v>
      </c>
      <c r="X198" s="346">
        <f t="shared" si="91"/>
        <v>0</v>
      </c>
      <c r="Y198" s="346">
        <f t="shared" si="92"/>
        <v>0</v>
      </c>
      <c r="Z198" s="346">
        <f t="shared" si="93"/>
        <v>0</v>
      </c>
      <c r="AA198" s="346">
        <f t="shared" si="94"/>
        <v>0</v>
      </c>
      <c r="AB198" s="346">
        <f t="shared" si="95"/>
        <v>0</v>
      </c>
      <c r="AC198" s="346">
        <f t="shared" si="96"/>
        <v>0</v>
      </c>
      <c r="AD198" s="346">
        <f t="shared" si="97"/>
        <v>0</v>
      </c>
      <c r="AE198" s="346">
        <f t="shared" si="98"/>
        <v>0</v>
      </c>
      <c r="AF198" s="346">
        <f t="shared" si="101"/>
        <v>0</v>
      </c>
      <c r="AG198" s="346">
        <f t="shared" si="74"/>
        <v>0</v>
      </c>
      <c r="AH198" s="346">
        <f t="shared" si="75"/>
        <v>0</v>
      </c>
      <c r="AI198" s="445">
        <f t="shared" si="76"/>
        <v>0</v>
      </c>
      <c r="AJ198" s="454">
        <f t="shared" si="102"/>
        <v>46.142100000000006</v>
      </c>
    </row>
    <row r="199" spans="2:36" s="167" customFormat="1" ht="30.6" customHeight="1" x14ac:dyDescent="0.25">
      <c r="B199" s="384" t="s">
        <v>1019</v>
      </c>
      <c r="C199" s="385">
        <v>97622</v>
      </c>
      <c r="D199" s="386" t="s">
        <v>1037</v>
      </c>
      <c r="E199" s="277" t="s">
        <v>41</v>
      </c>
      <c r="F199" s="387">
        <v>47.12</v>
      </c>
      <c r="G199" s="387">
        <v>0.19</v>
      </c>
      <c r="H199" s="444"/>
      <c r="I199" s="444"/>
      <c r="J199" s="443"/>
      <c r="K199" s="444"/>
      <c r="L199" s="444"/>
      <c r="M199" s="444"/>
      <c r="N199" s="387"/>
      <c r="O199" s="387"/>
      <c r="P199" s="444"/>
      <c r="Q199" s="444"/>
      <c r="R199" s="444">
        <v>0</v>
      </c>
      <c r="S199" s="444">
        <f>VLOOKUP(B199,'MEMÓRIA MEDIÇÃO 12'!$A$7:$F$202,6,FALSE)</f>
        <v>0</v>
      </c>
      <c r="T199" s="387">
        <f t="shared" si="69"/>
        <v>0</v>
      </c>
      <c r="U199" s="449">
        <f t="shared" si="99"/>
        <v>0.19</v>
      </c>
      <c r="V199" s="449">
        <f t="shared" si="100"/>
        <v>8.9527999999999999</v>
      </c>
      <c r="W199" s="346">
        <f t="shared" si="90"/>
        <v>0</v>
      </c>
      <c r="X199" s="346">
        <f t="shared" si="91"/>
        <v>0</v>
      </c>
      <c r="Y199" s="346">
        <f t="shared" si="92"/>
        <v>0</v>
      </c>
      <c r="Z199" s="346">
        <f t="shared" si="93"/>
        <v>0</v>
      </c>
      <c r="AA199" s="346">
        <f t="shared" si="94"/>
        <v>0</v>
      </c>
      <c r="AB199" s="346">
        <f t="shared" si="95"/>
        <v>0</v>
      </c>
      <c r="AC199" s="346">
        <f t="shared" si="96"/>
        <v>0</v>
      </c>
      <c r="AD199" s="346">
        <f t="shared" si="97"/>
        <v>0</v>
      </c>
      <c r="AE199" s="346">
        <f t="shared" si="98"/>
        <v>0</v>
      </c>
      <c r="AF199" s="346">
        <f t="shared" si="101"/>
        <v>0</v>
      </c>
      <c r="AG199" s="346">
        <f t="shared" si="74"/>
        <v>0</v>
      </c>
      <c r="AH199" s="346">
        <f t="shared" si="75"/>
        <v>0</v>
      </c>
      <c r="AI199" s="445">
        <f t="shared" si="76"/>
        <v>0</v>
      </c>
      <c r="AJ199" s="454">
        <f t="shared" si="102"/>
        <v>8.9527999999999999</v>
      </c>
    </row>
    <row r="200" spans="2:36" s="167" customFormat="1" ht="30.6" customHeight="1" x14ac:dyDescent="0.25">
      <c r="B200" s="384" t="s">
        <v>1020</v>
      </c>
      <c r="C200" s="385" t="s">
        <v>1031</v>
      </c>
      <c r="D200" s="386" t="s">
        <v>1038</v>
      </c>
      <c r="E200" s="277" t="s">
        <v>1046</v>
      </c>
      <c r="F200" s="387">
        <v>370.95</v>
      </c>
      <c r="G200" s="387">
        <v>1.1000000000000001</v>
      </c>
      <c r="H200" s="444"/>
      <c r="I200" s="444"/>
      <c r="J200" s="443"/>
      <c r="K200" s="444"/>
      <c r="L200" s="444"/>
      <c r="M200" s="444"/>
      <c r="N200" s="387"/>
      <c r="O200" s="387"/>
      <c r="P200" s="444"/>
      <c r="Q200" s="444"/>
      <c r="R200" s="444">
        <v>0</v>
      </c>
      <c r="S200" s="444">
        <f>VLOOKUP(B200,'MEMÓRIA MEDIÇÃO 12'!$A$7:$F$202,6,FALSE)</f>
        <v>0</v>
      </c>
      <c r="T200" s="387">
        <f t="shared" si="69"/>
        <v>0</v>
      </c>
      <c r="U200" s="449">
        <f t="shared" si="99"/>
        <v>1.1000000000000001</v>
      </c>
      <c r="V200" s="449">
        <f t="shared" si="100"/>
        <v>408.04500000000002</v>
      </c>
      <c r="W200" s="346">
        <f t="shared" si="90"/>
        <v>0</v>
      </c>
      <c r="X200" s="346">
        <f t="shared" si="91"/>
        <v>0</v>
      </c>
      <c r="Y200" s="346">
        <f t="shared" si="92"/>
        <v>0</v>
      </c>
      <c r="Z200" s="346">
        <f t="shared" si="93"/>
        <v>0</v>
      </c>
      <c r="AA200" s="346">
        <f t="shared" si="94"/>
        <v>0</v>
      </c>
      <c r="AB200" s="346">
        <f t="shared" si="95"/>
        <v>0</v>
      </c>
      <c r="AC200" s="346">
        <f t="shared" si="96"/>
        <v>0</v>
      </c>
      <c r="AD200" s="346">
        <f t="shared" si="97"/>
        <v>0</v>
      </c>
      <c r="AE200" s="346">
        <f t="shared" si="98"/>
        <v>0</v>
      </c>
      <c r="AF200" s="346">
        <f t="shared" si="101"/>
        <v>0</v>
      </c>
      <c r="AG200" s="346">
        <f t="shared" si="74"/>
        <v>0</v>
      </c>
      <c r="AH200" s="346">
        <f t="shared" si="75"/>
        <v>0</v>
      </c>
      <c r="AI200" s="445">
        <f t="shared" si="76"/>
        <v>0</v>
      </c>
      <c r="AJ200" s="454">
        <f t="shared" si="102"/>
        <v>408.04500000000002</v>
      </c>
    </row>
    <row r="201" spans="2:36" s="167" customFormat="1" ht="30.6" customHeight="1" x14ac:dyDescent="0.25">
      <c r="B201" s="384" t="s">
        <v>1021</v>
      </c>
      <c r="C201" s="385">
        <v>101493</v>
      </c>
      <c r="D201" s="386" t="s">
        <v>1039</v>
      </c>
      <c r="E201" s="277" t="s">
        <v>166</v>
      </c>
      <c r="F201" s="387">
        <v>1368.04</v>
      </c>
      <c r="G201" s="387">
        <v>1</v>
      </c>
      <c r="H201" s="444"/>
      <c r="I201" s="444"/>
      <c r="J201" s="443"/>
      <c r="K201" s="444"/>
      <c r="L201" s="444"/>
      <c r="M201" s="444"/>
      <c r="N201" s="387"/>
      <c r="O201" s="387"/>
      <c r="P201" s="444"/>
      <c r="Q201" s="444">
        <v>1</v>
      </c>
      <c r="R201" s="444">
        <v>0</v>
      </c>
      <c r="S201" s="444">
        <f>VLOOKUP(B201,'MEMÓRIA MEDIÇÃO 12'!$A$7:$F$202,6,FALSE)</f>
        <v>0</v>
      </c>
      <c r="T201" s="387">
        <f t="shared" si="69"/>
        <v>1</v>
      </c>
      <c r="U201" s="449">
        <f t="shared" si="99"/>
        <v>0</v>
      </c>
      <c r="V201" s="449">
        <f t="shared" si="100"/>
        <v>1368.04</v>
      </c>
      <c r="W201" s="346">
        <f t="shared" si="90"/>
        <v>0</v>
      </c>
      <c r="X201" s="346">
        <f t="shared" si="91"/>
        <v>0</v>
      </c>
      <c r="Y201" s="346">
        <f t="shared" si="92"/>
        <v>0</v>
      </c>
      <c r="Z201" s="346">
        <f t="shared" si="93"/>
        <v>0</v>
      </c>
      <c r="AA201" s="346">
        <f t="shared" si="94"/>
        <v>0</v>
      </c>
      <c r="AB201" s="346">
        <f t="shared" si="95"/>
        <v>0</v>
      </c>
      <c r="AC201" s="346">
        <f t="shared" si="96"/>
        <v>0</v>
      </c>
      <c r="AD201" s="346">
        <f t="shared" si="97"/>
        <v>0</v>
      </c>
      <c r="AE201" s="346">
        <f t="shared" si="98"/>
        <v>0</v>
      </c>
      <c r="AF201" s="346">
        <f t="shared" si="101"/>
        <v>1368.04</v>
      </c>
      <c r="AG201" s="346">
        <f t="shared" si="74"/>
        <v>0</v>
      </c>
      <c r="AH201" s="346">
        <f t="shared" si="75"/>
        <v>0</v>
      </c>
      <c r="AI201" s="445">
        <f t="shared" si="76"/>
        <v>1368.04</v>
      </c>
      <c r="AJ201" s="454">
        <f t="shared" si="102"/>
        <v>0</v>
      </c>
    </row>
    <row r="202" spans="2:36" s="167" customFormat="1" ht="30.6" customHeight="1" x14ac:dyDescent="0.25">
      <c r="B202" s="384" t="s">
        <v>1022</v>
      </c>
      <c r="C202" s="385" t="s">
        <v>1032</v>
      </c>
      <c r="D202" s="386" t="s">
        <v>1040</v>
      </c>
      <c r="E202" s="277" t="s">
        <v>166</v>
      </c>
      <c r="F202" s="387">
        <v>580.22</v>
      </c>
      <c r="G202" s="387">
        <v>1</v>
      </c>
      <c r="H202" s="444"/>
      <c r="I202" s="444"/>
      <c r="J202" s="443"/>
      <c r="K202" s="444"/>
      <c r="L202" s="444"/>
      <c r="M202" s="444"/>
      <c r="N202" s="387"/>
      <c r="O202" s="387"/>
      <c r="P202" s="444"/>
      <c r="Q202" s="444">
        <v>1</v>
      </c>
      <c r="R202" s="444">
        <v>0</v>
      </c>
      <c r="S202" s="444">
        <f>VLOOKUP(B202,'MEMÓRIA MEDIÇÃO 12'!$A$7:$F$202,6,FALSE)</f>
        <v>0</v>
      </c>
      <c r="T202" s="387">
        <f t="shared" si="69"/>
        <v>1</v>
      </c>
      <c r="U202" s="449">
        <f t="shared" si="99"/>
        <v>0</v>
      </c>
      <c r="V202" s="449">
        <f t="shared" si="100"/>
        <v>580.22</v>
      </c>
      <c r="W202" s="346">
        <f t="shared" si="90"/>
        <v>0</v>
      </c>
      <c r="X202" s="346">
        <f t="shared" si="91"/>
        <v>0</v>
      </c>
      <c r="Y202" s="346">
        <f t="shared" si="92"/>
        <v>0</v>
      </c>
      <c r="Z202" s="346">
        <f t="shared" si="93"/>
        <v>0</v>
      </c>
      <c r="AA202" s="346">
        <f t="shared" si="94"/>
        <v>0</v>
      </c>
      <c r="AB202" s="346">
        <f t="shared" si="95"/>
        <v>0</v>
      </c>
      <c r="AC202" s="346">
        <f t="shared" si="96"/>
        <v>0</v>
      </c>
      <c r="AD202" s="346">
        <f t="shared" si="97"/>
        <v>0</v>
      </c>
      <c r="AE202" s="346">
        <f t="shared" si="98"/>
        <v>0</v>
      </c>
      <c r="AF202" s="346">
        <f t="shared" si="101"/>
        <v>580.22</v>
      </c>
      <c r="AG202" s="346">
        <f t="shared" si="74"/>
        <v>0</v>
      </c>
      <c r="AH202" s="346">
        <f t="shared" si="75"/>
        <v>0</v>
      </c>
      <c r="AI202" s="445">
        <f t="shared" si="76"/>
        <v>580.22</v>
      </c>
      <c r="AJ202" s="454">
        <f t="shared" si="102"/>
        <v>0</v>
      </c>
    </row>
    <row r="203" spans="2:36" s="167" customFormat="1" ht="30.6" customHeight="1" x14ac:dyDescent="0.25">
      <c r="B203" s="384" t="s">
        <v>1023</v>
      </c>
      <c r="C203" s="385" t="s">
        <v>1033</v>
      </c>
      <c r="D203" s="386" t="s">
        <v>1041</v>
      </c>
      <c r="E203" s="277" t="s">
        <v>37</v>
      </c>
      <c r="F203" s="387">
        <v>67.069999999999993</v>
      </c>
      <c r="G203" s="387">
        <v>32</v>
      </c>
      <c r="H203" s="444"/>
      <c r="I203" s="444"/>
      <c r="J203" s="443"/>
      <c r="K203" s="444"/>
      <c r="L203" s="444"/>
      <c r="M203" s="444"/>
      <c r="N203" s="387"/>
      <c r="O203" s="387"/>
      <c r="P203" s="444"/>
      <c r="Q203" s="444"/>
      <c r="R203" s="444">
        <v>32</v>
      </c>
      <c r="S203" s="444">
        <f>VLOOKUP(B203,'MEMÓRIA MEDIÇÃO 12'!$A$7:$F$202,6,FALSE)</f>
        <v>0</v>
      </c>
      <c r="T203" s="387">
        <f t="shared" si="69"/>
        <v>32</v>
      </c>
      <c r="U203" s="449">
        <f t="shared" si="99"/>
        <v>0</v>
      </c>
      <c r="V203" s="449">
        <f t="shared" si="100"/>
        <v>2146.2399999999998</v>
      </c>
      <c r="W203" s="346">
        <f t="shared" si="90"/>
        <v>0</v>
      </c>
      <c r="X203" s="346">
        <f t="shared" si="91"/>
        <v>0</v>
      </c>
      <c r="Y203" s="346">
        <f t="shared" si="92"/>
        <v>0</v>
      </c>
      <c r="Z203" s="346">
        <f t="shared" si="93"/>
        <v>0</v>
      </c>
      <c r="AA203" s="346">
        <f t="shared" si="94"/>
        <v>0</v>
      </c>
      <c r="AB203" s="346">
        <f t="shared" si="95"/>
        <v>0</v>
      </c>
      <c r="AC203" s="346">
        <f t="shared" si="96"/>
        <v>0</v>
      </c>
      <c r="AD203" s="346">
        <f t="shared" si="97"/>
        <v>0</v>
      </c>
      <c r="AE203" s="346">
        <f t="shared" si="98"/>
        <v>0</v>
      </c>
      <c r="AF203" s="346">
        <f t="shared" si="101"/>
        <v>0</v>
      </c>
      <c r="AG203" s="346">
        <f t="shared" si="74"/>
        <v>2146.2399999999998</v>
      </c>
      <c r="AH203" s="346">
        <f t="shared" si="75"/>
        <v>0</v>
      </c>
      <c r="AI203" s="445">
        <f t="shared" si="76"/>
        <v>2146.2399999999998</v>
      </c>
      <c r="AJ203" s="454">
        <f t="shared" si="102"/>
        <v>0</v>
      </c>
    </row>
    <row r="204" spans="2:36" s="167" customFormat="1" ht="30.6" customHeight="1" x14ac:dyDescent="0.25">
      <c r="B204" s="384" t="s">
        <v>1024</v>
      </c>
      <c r="C204" s="385" t="s">
        <v>1034</v>
      </c>
      <c r="D204" s="386" t="s">
        <v>1042</v>
      </c>
      <c r="E204" s="277" t="s">
        <v>37</v>
      </c>
      <c r="F204" s="387">
        <v>87.41</v>
      </c>
      <c r="G204" s="387">
        <v>13</v>
      </c>
      <c r="H204" s="444"/>
      <c r="I204" s="444"/>
      <c r="J204" s="443"/>
      <c r="K204" s="444"/>
      <c r="L204" s="444"/>
      <c r="M204" s="444"/>
      <c r="N204" s="387"/>
      <c r="O204" s="387"/>
      <c r="P204" s="444"/>
      <c r="Q204" s="444"/>
      <c r="R204" s="444">
        <v>13</v>
      </c>
      <c r="S204" s="444">
        <f>VLOOKUP(B204,'MEMÓRIA MEDIÇÃO 12'!$A$7:$F$202,6,FALSE)</f>
        <v>0</v>
      </c>
      <c r="T204" s="387">
        <f t="shared" si="69"/>
        <v>13</v>
      </c>
      <c r="U204" s="449">
        <f t="shared" si="99"/>
        <v>0</v>
      </c>
      <c r="V204" s="449">
        <f t="shared" si="100"/>
        <v>1136.33</v>
      </c>
      <c r="W204" s="346">
        <f t="shared" si="90"/>
        <v>0</v>
      </c>
      <c r="X204" s="346">
        <f t="shared" si="91"/>
        <v>0</v>
      </c>
      <c r="Y204" s="346">
        <f t="shared" si="92"/>
        <v>0</v>
      </c>
      <c r="Z204" s="346">
        <f t="shared" si="93"/>
        <v>0</v>
      </c>
      <c r="AA204" s="346">
        <f t="shared" si="94"/>
        <v>0</v>
      </c>
      <c r="AB204" s="346">
        <f t="shared" si="95"/>
        <v>0</v>
      </c>
      <c r="AC204" s="346">
        <f t="shared" si="96"/>
        <v>0</v>
      </c>
      <c r="AD204" s="346">
        <f t="shared" si="97"/>
        <v>0</v>
      </c>
      <c r="AE204" s="346">
        <f t="shared" si="98"/>
        <v>0</v>
      </c>
      <c r="AF204" s="346">
        <f t="shared" si="101"/>
        <v>0</v>
      </c>
      <c r="AG204" s="346">
        <f t="shared" si="74"/>
        <v>1136.33</v>
      </c>
      <c r="AH204" s="346">
        <f t="shared" si="75"/>
        <v>0</v>
      </c>
      <c r="AI204" s="445">
        <f t="shared" si="76"/>
        <v>1136.33</v>
      </c>
      <c r="AJ204" s="454">
        <f t="shared" si="102"/>
        <v>0</v>
      </c>
    </row>
    <row r="205" spans="2:36" s="167" customFormat="1" ht="30.6" customHeight="1" x14ac:dyDescent="0.25">
      <c r="B205" s="384" t="s">
        <v>1025</v>
      </c>
      <c r="C205" s="385">
        <v>87887</v>
      </c>
      <c r="D205" s="386" t="s">
        <v>1043</v>
      </c>
      <c r="E205" s="277" t="s">
        <v>17</v>
      </c>
      <c r="F205" s="387">
        <v>14.94</v>
      </c>
      <c r="G205" s="387">
        <v>83.36</v>
      </c>
      <c r="H205" s="444"/>
      <c r="I205" s="444"/>
      <c r="J205" s="443"/>
      <c r="K205" s="444"/>
      <c r="L205" s="444"/>
      <c r="M205" s="444"/>
      <c r="N205" s="387"/>
      <c r="O205" s="387"/>
      <c r="P205" s="444"/>
      <c r="Q205" s="444">
        <v>37.43</v>
      </c>
      <c r="R205" s="444">
        <v>0</v>
      </c>
      <c r="S205" s="444">
        <f>VLOOKUP(B205,'MEMÓRIA MEDIÇÃO 12'!$A$7:$F$202,6,FALSE)</f>
        <v>12.75</v>
      </c>
      <c r="T205" s="387">
        <f t="shared" si="69"/>
        <v>50.18</v>
      </c>
      <c r="U205" s="449">
        <f>G205-T205</f>
        <v>33.18</v>
      </c>
      <c r="V205" s="449">
        <f t="shared" si="100"/>
        <v>1245.3984</v>
      </c>
      <c r="W205" s="346">
        <f t="shared" si="90"/>
        <v>0</v>
      </c>
      <c r="X205" s="346">
        <f t="shared" si="91"/>
        <v>0</v>
      </c>
      <c r="Y205" s="346">
        <f t="shared" si="92"/>
        <v>0</v>
      </c>
      <c r="Z205" s="346">
        <f t="shared" si="93"/>
        <v>0</v>
      </c>
      <c r="AA205" s="346">
        <f t="shared" si="94"/>
        <v>0</v>
      </c>
      <c r="AB205" s="346">
        <f t="shared" si="95"/>
        <v>0</v>
      </c>
      <c r="AC205" s="346">
        <f t="shared" si="96"/>
        <v>0</v>
      </c>
      <c r="AD205" s="346">
        <f t="shared" si="97"/>
        <v>0</v>
      </c>
      <c r="AE205" s="346">
        <f t="shared" si="98"/>
        <v>0</v>
      </c>
      <c r="AF205" s="346">
        <f t="shared" si="101"/>
        <v>559.20000000000005</v>
      </c>
      <c r="AG205" s="346">
        <f t="shared" si="74"/>
        <v>0</v>
      </c>
      <c r="AH205" s="346">
        <f t="shared" si="75"/>
        <v>190.49</v>
      </c>
      <c r="AI205" s="445">
        <f t="shared" si="76"/>
        <v>749.69</v>
      </c>
      <c r="AJ205" s="454">
        <f t="shared" si="102"/>
        <v>495.70839999999998</v>
      </c>
    </row>
    <row r="206" spans="2:36" s="167" customFormat="1" ht="30.6" customHeight="1" x14ac:dyDescent="0.25">
      <c r="B206" s="384" t="s">
        <v>1026</v>
      </c>
      <c r="C206" s="385">
        <v>90408</v>
      </c>
      <c r="D206" s="386" t="s">
        <v>1044</v>
      </c>
      <c r="E206" s="277" t="s">
        <v>17</v>
      </c>
      <c r="F206" s="387">
        <v>30.5</v>
      </c>
      <c r="G206" s="387">
        <v>85.97</v>
      </c>
      <c r="H206" s="444"/>
      <c r="I206" s="444"/>
      <c r="J206" s="443"/>
      <c r="K206" s="444"/>
      <c r="L206" s="444"/>
      <c r="M206" s="444"/>
      <c r="N206" s="387"/>
      <c r="O206" s="387"/>
      <c r="P206" s="444"/>
      <c r="Q206" s="444">
        <v>37.43</v>
      </c>
      <c r="R206" s="444">
        <v>0</v>
      </c>
      <c r="S206" s="444">
        <f>VLOOKUP(B206,'MEMÓRIA MEDIÇÃO 12'!$A$7:$F$202,6,FALSE)</f>
        <v>12.75</v>
      </c>
      <c r="T206" s="387">
        <f t="shared" si="69"/>
        <v>50.18</v>
      </c>
      <c r="U206" s="449">
        <f t="shared" si="99"/>
        <v>35.79</v>
      </c>
      <c r="V206" s="449">
        <f t="shared" si="100"/>
        <v>2622.085</v>
      </c>
      <c r="W206" s="346">
        <f t="shared" si="90"/>
        <v>0</v>
      </c>
      <c r="X206" s="346">
        <f t="shared" si="91"/>
        <v>0</v>
      </c>
      <c r="Y206" s="346">
        <f t="shared" si="92"/>
        <v>0</v>
      </c>
      <c r="Z206" s="346">
        <f t="shared" si="93"/>
        <v>0</v>
      </c>
      <c r="AA206" s="346">
        <f t="shared" si="94"/>
        <v>0</v>
      </c>
      <c r="AB206" s="346">
        <f t="shared" si="95"/>
        <v>0</v>
      </c>
      <c r="AC206" s="346">
        <f t="shared" si="96"/>
        <v>0</v>
      </c>
      <c r="AD206" s="346">
        <f t="shared" si="97"/>
        <v>0</v>
      </c>
      <c r="AE206" s="346">
        <f t="shared" si="98"/>
        <v>0</v>
      </c>
      <c r="AF206" s="346">
        <f t="shared" si="101"/>
        <v>1141.6099999999999</v>
      </c>
      <c r="AG206" s="346">
        <f t="shared" si="74"/>
        <v>0</v>
      </c>
      <c r="AH206" s="346">
        <f t="shared" si="75"/>
        <v>388.88</v>
      </c>
      <c r="AI206" s="445">
        <f t="shared" si="76"/>
        <v>1530.4899999999998</v>
      </c>
      <c r="AJ206" s="454">
        <f t="shared" si="102"/>
        <v>1091.5950000000003</v>
      </c>
    </row>
    <row r="207" spans="2:36" s="167" customFormat="1" ht="30.6" customHeight="1" x14ac:dyDescent="0.25">
      <c r="B207" s="384" t="s">
        <v>1027</v>
      </c>
      <c r="C207" s="385">
        <v>88494</v>
      </c>
      <c r="D207" s="386" t="s">
        <v>204</v>
      </c>
      <c r="E207" s="277" t="s">
        <v>17</v>
      </c>
      <c r="F207" s="387">
        <v>18.88</v>
      </c>
      <c r="G207" s="387">
        <v>88.58</v>
      </c>
      <c r="H207" s="444"/>
      <c r="I207" s="444"/>
      <c r="J207" s="443"/>
      <c r="K207" s="444"/>
      <c r="L207" s="444"/>
      <c r="M207" s="444"/>
      <c r="N207" s="387"/>
      <c r="O207" s="387"/>
      <c r="P207" s="444"/>
      <c r="Q207" s="444"/>
      <c r="R207" s="444">
        <v>0</v>
      </c>
      <c r="S207" s="444">
        <f>VLOOKUP(B207,'MEMÓRIA MEDIÇÃO 12'!$A$7:$F$202,6,FALSE)</f>
        <v>0</v>
      </c>
      <c r="T207" s="387">
        <f t="shared" ref="T207:T208" si="103">H207+I207+J207+K207+L207+M207+N207+O207+P207+Q207+R207+S207</f>
        <v>0</v>
      </c>
      <c r="U207" s="449">
        <f t="shared" si="99"/>
        <v>88.58</v>
      </c>
      <c r="V207" s="449">
        <f t="shared" si="100"/>
        <v>1672.3903999999998</v>
      </c>
      <c r="W207" s="346">
        <f t="shared" si="90"/>
        <v>0</v>
      </c>
      <c r="X207" s="346">
        <f t="shared" si="91"/>
        <v>0</v>
      </c>
      <c r="Y207" s="346">
        <f t="shared" si="92"/>
        <v>0</v>
      </c>
      <c r="Z207" s="346">
        <f t="shared" si="93"/>
        <v>0</v>
      </c>
      <c r="AA207" s="346">
        <f t="shared" si="94"/>
        <v>0</v>
      </c>
      <c r="AB207" s="346">
        <f t="shared" si="95"/>
        <v>0</v>
      </c>
      <c r="AC207" s="346">
        <f t="shared" si="96"/>
        <v>0</v>
      </c>
      <c r="AD207" s="346">
        <f t="shared" si="97"/>
        <v>0</v>
      </c>
      <c r="AE207" s="346">
        <f t="shared" si="98"/>
        <v>0</v>
      </c>
      <c r="AF207" s="346">
        <f t="shared" si="101"/>
        <v>0</v>
      </c>
      <c r="AG207" s="346">
        <f t="shared" ref="AG207:AG208" si="104">ROUND(R207*F207,2)</f>
        <v>0</v>
      </c>
      <c r="AH207" s="346">
        <f t="shared" ref="AH207:AH208" si="105">ROUND(S207*F207,2)</f>
        <v>0</v>
      </c>
      <c r="AI207" s="445">
        <f t="shared" ref="AI207:AI208" si="106">W207+X207+Y207+Z207+AA207+AB207+AC207+AD207+AE207+AF207+AG207+AH207</f>
        <v>0</v>
      </c>
      <c r="AJ207" s="454">
        <f t="shared" si="102"/>
        <v>1672.3903999999998</v>
      </c>
    </row>
    <row r="208" spans="2:36" s="167" customFormat="1" ht="30.6" customHeight="1" thickBot="1" x14ac:dyDescent="0.3">
      <c r="B208" s="460" t="s">
        <v>1028</v>
      </c>
      <c r="C208" s="461">
        <v>88486</v>
      </c>
      <c r="D208" s="462" t="s">
        <v>1045</v>
      </c>
      <c r="E208" s="463" t="s">
        <v>17</v>
      </c>
      <c r="F208" s="449">
        <v>12.17</v>
      </c>
      <c r="G208" s="449">
        <v>88.58</v>
      </c>
      <c r="H208" s="444"/>
      <c r="I208" s="444"/>
      <c r="J208" s="443"/>
      <c r="K208" s="444"/>
      <c r="L208" s="444"/>
      <c r="M208" s="444"/>
      <c r="N208" s="387"/>
      <c r="O208" s="387"/>
      <c r="P208" s="444"/>
      <c r="Q208" s="444"/>
      <c r="R208" s="444">
        <v>0</v>
      </c>
      <c r="S208" s="444">
        <f>VLOOKUP(B208,'MEMÓRIA MEDIÇÃO 12'!$A$7:$F$202,6,FALSE)</f>
        <v>0</v>
      </c>
      <c r="T208" s="387">
        <f t="shared" si="103"/>
        <v>0</v>
      </c>
      <c r="U208" s="449">
        <f t="shared" si="99"/>
        <v>88.58</v>
      </c>
      <c r="V208" s="449">
        <f t="shared" si="100"/>
        <v>1078.0185999999999</v>
      </c>
      <c r="W208" s="346">
        <f t="shared" si="90"/>
        <v>0</v>
      </c>
      <c r="X208" s="346">
        <f t="shared" si="91"/>
        <v>0</v>
      </c>
      <c r="Y208" s="346">
        <f t="shared" si="92"/>
        <v>0</v>
      </c>
      <c r="Z208" s="346">
        <f t="shared" si="93"/>
        <v>0</v>
      </c>
      <c r="AA208" s="346">
        <f t="shared" si="94"/>
        <v>0</v>
      </c>
      <c r="AB208" s="346">
        <f t="shared" si="95"/>
        <v>0</v>
      </c>
      <c r="AC208" s="346">
        <f t="shared" si="96"/>
        <v>0</v>
      </c>
      <c r="AD208" s="346">
        <f t="shared" si="97"/>
        <v>0</v>
      </c>
      <c r="AE208" s="346">
        <f t="shared" si="98"/>
        <v>0</v>
      </c>
      <c r="AF208" s="346">
        <f t="shared" si="101"/>
        <v>0</v>
      </c>
      <c r="AG208" s="346">
        <f t="shared" si="104"/>
        <v>0</v>
      </c>
      <c r="AH208" s="346">
        <f t="shared" si="105"/>
        <v>0</v>
      </c>
      <c r="AI208" s="445">
        <f t="shared" si="106"/>
        <v>0</v>
      </c>
      <c r="AJ208" s="454">
        <f t="shared" si="102"/>
        <v>1078.0185999999999</v>
      </c>
    </row>
    <row r="209" spans="2:45" ht="15.75" thickBot="1" x14ac:dyDescent="0.3">
      <c r="B209" s="167"/>
      <c r="C209" s="167"/>
      <c r="D209" s="167"/>
      <c r="E209" s="231"/>
      <c r="F209" s="231"/>
      <c r="G209" s="231"/>
      <c r="H209" s="195"/>
      <c r="I209" s="230"/>
      <c r="J209" s="230"/>
      <c r="K209" s="230"/>
      <c r="L209" s="230"/>
      <c r="M209" s="230"/>
      <c r="N209" s="230"/>
      <c r="O209" s="230"/>
      <c r="P209" s="230"/>
      <c r="Q209" s="231"/>
      <c r="R209" s="231"/>
      <c r="S209" s="231"/>
      <c r="T209" s="231"/>
      <c r="U209" s="232"/>
      <c r="V209" s="233">
        <f>SUM(V14:V208)</f>
        <v>1382014.517357999</v>
      </c>
      <c r="W209" s="233">
        <f t="shared" ref="W209:AG209" si="107">SUM(W14:W208)</f>
        <v>66571.964737500006</v>
      </c>
      <c r="X209" s="233">
        <f t="shared" si="107"/>
        <v>61443.00776244999</v>
      </c>
      <c r="Y209" s="233">
        <f t="shared" si="107"/>
        <v>66865.073129099997</v>
      </c>
      <c r="Z209" s="233">
        <f t="shared" si="107"/>
        <v>79712.63</v>
      </c>
      <c r="AA209" s="233">
        <f t="shared" si="107"/>
        <v>103177.48000000005</v>
      </c>
      <c r="AB209" s="233">
        <f t="shared" si="107"/>
        <v>70347.038280000008</v>
      </c>
      <c r="AC209" s="233">
        <f t="shared" si="107"/>
        <v>40632.783196400007</v>
      </c>
      <c r="AD209" s="233">
        <f t="shared" si="107"/>
        <v>68231.630000000019</v>
      </c>
      <c r="AE209" s="233">
        <f t="shared" si="107"/>
        <v>31441.260000000006</v>
      </c>
      <c r="AF209" s="233">
        <f t="shared" si="107"/>
        <v>102367.23999999998</v>
      </c>
      <c r="AG209" s="233">
        <f t="shared" si="107"/>
        <v>125103.41000000003</v>
      </c>
      <c r="AH209" s="233">
        <f>SUM(AH14:AH208)</f>
        <v>42245.579999999994</v>
      </c>
      <c r="AI209" s="233">
        <f t="shared" ref="AI209" si="108">SUM(AI14:AI208)</f>
        <v>858139.09710544965</v>
      </c>
      <c r="AJ209" s="233">
        <f t="shared" ref="AJ209" si="109">SUM(AJ14:AJ208)</f>
        <v>523875.42025255034</v>
      </c>
      <c r="AK209" s="233">
        <f t="shared" ref="AK209" si="110">SUM(AK14:AK208)</f>
        <v>0</v>
      </c>
      <c r="AL209" s="233">
        <f t="shared" ref="AL209" si="111">SUM(AL14:AL208)</f>
        <v>0</v>
      </c>
      <c r="AM209" s="233">
        <f t="shared" ref="AM209" si="112">SUM(AM14:AM208)</f>
        <v>0</v>
      </c>
      <c r="AN209" s="233">
        <f t="shared" ref="AN209" si="113">SUM(AN14:AN208)</f>
        <v>0</v>
      </c>
      <c r="AO209" s="233">
        <f t="shared" ref="AO209" si="114">SUM(AO14:AO208)</f>
        <v>0</v>
      </c>
      <c r="AP209" s="233">
        <f t="shared" ref="AP209" si="115">SUM(AP14:AP208)</f>
        <v>0</v>
      </c>
      <c r="AQ209" s="233">
        <f t="shared" ref="AQ209" si="116">SUM(AQ14:AQ208)</f>
        <v>0</v>
      </c>
      <c r="AR209" s="233">
        <f t="shared" ref="AR209" si="117">SUM(AR14:AR208)</f>
        <v>0</v>
      </c>
      <c r="AS209" s="233">
        <f t="shared" ref="AS209" si="118">SUM(AS14:AS208)</f>
        <v>0</v>
      </c>
    </row>
    <row r="210" spans="2:45" ht="15.75" thickBot="1" x14ac:dyDescent="0.3">
      <c r="U210" s="79"/>
      <c r="V210" s="572" t="s">
        <v>546</v>
      </c>
      <c r="W210" s="572" t="s">
        <v>547</v>
      </c>
      <c r="X210" s="572" t="s">
        <v>549</v>
      </c>
      <c r="Y210" s="572" t="s">
        <v>550</v>
      </c>
      <c r="Z210" s="572" t="s">
        <v>551</v>
      </c>
      <c r="AA210" s="572" t="s">
        <v>552</v>
      </c>
      <c r="AB210" s="572" t="s">
        <v>553</v>
      </c>
      <c r="AC210" s="572" t="s">
        <v>554</v>
      </c>
      <c r="AD210" s="572" t="s">
        <v>990</v>
      </c>
      <c r="AE210" s="572" t="s">
        <v>991</v>
      </c>
      <c r="AF210" s="574" t="s">
        <v>1029</v>
      </c>
      <c r="AG210" s="574" t="s">
        <v>1088</v>
      </c>
      <c r="AH210" s="574" t="s">
        <v>1099</v>
      </c>
      <c r="AI210" s="573" t="s">
        <v>548</v>
      </c>
      <c r="AJ210" s="572" t="s">
        <v>541</v>
      </c>
    </row>
    <row r="211" spans="2:45" ht="24" customHeight="1" thickBot="1" x14ac:dyDescent="0.3">
      <c r="U211" s="79"/>
      <c r="V211" s="572"/>
      <c r="W211" s="572"/>
      <c r="X211" s="572"/>
      <c r="Y211" s="572"/>
      <c r="Z211" s="572"/>
      <c r="AA211" s="572"/>
      <c r="AB211" s="572"/>
      <c r="AC211" s="572"/>
      <c r="AD211" s="572"/>
      <c r="AE211" s="572"/>
      <c r="AF211" s="575"/>
      <c r="AG211" s="575"/>
      <c r="AH211" s="575"/>
      <c r="AI211" s="573"/>
      <c r="AJ211" s="572"/>
    </row>
    <row r="212" spans="2:45" x14ac:dyDescent="0.25">
      <c r="U212"/>
      <c r="AL212" s="605"/>
    </row>
    <row r="213" spans="2:45" x14ac:dyDescent="0.25">
      <c r="U213"/>
    </row>
    <row r="214" spans="2:45" x14ac:dyDescent="0.25">
      <c r="U214"/>
    </row>
    <row r="215" spans="2:45" x14ac:dyDescent="0.25">
      <c r="U215"/>
    </row>
    <row r="216" spans="2:45" x14ac:dyDescent="0.25">
      <c r="U216"/>
    </row>
    <row r="217" spans="2:45" x14ac:dyDescent="0.25">
      <c r="U217"/>
    </row>
    <row r="224" spans="2:45" x14ac:dyDescent="0.25">
      <c r="D224" s="563" t="s">
        <v>1089</v>
      </c>
      <c r="E224" s="563"/>
      <c r="F224" s="563"/>
      <c r="G224" s="467"/>
      <c r="R224" s="562" t="s">
        <v>1090</v>
      </c>
      <c r="S224" s="562"/>
      <c r="T224" s="562"/>
      <c r="U224" s="562"/>
      <c r="V224" s="562"/>
      <c r="W224" s="466"/>
      <c r="X224" s="466"/>
      <c r="AG224" s="562" t="s">
        <v>1091</v>
      </c>
      <c r="AH224" s="562"/>
      <c r="AI224" s="562"/>
      <c r="AJ224" s="562"/>
      <c r="AK224" s="466"/>
      <c r="AL224" s="466"/>
    </row>
    <row r="225" spans="4:38" x14ac:dyDescent="0.25">
      <c r="D225" s="563" t="s">
        <v>1092</v>
      </c>
      <c r="E225" s="563"/>
      <c r="F225" s="563"/>
      <c r="G225" s="467"/>
      <c r="R225" s="562" t="s">
        <v>1093</v>
      </c>
      <c r="S225" s="562"/>
      <c r="T225" s="562"/>
      <c r="U225" s="562"/>
      <c r="V225" s="562"/>
      <c r="W225" s="466"/>
      <c r="X225" s="466"/>
      <c r="AG225" s="562" t="s">
        <v>1094</v>
      </c>
      <c r="AH225" s="562"/>
      <c r="AI225" s="562"/>
      <c r="AJ225" s="562"/>
      <c r="AK225" s="466"/>
      <c r="AL225" s="466"/>
    </row>
  </sheetData>
  <mergeCells count="37">
    <mergeCell ref="AJ210:AJ211"/>
    <mergeCell ref="V10:AJ10"/>
    <mergeCell ref="V210:V211"/>
    <mergeCell ref="W210:W211"/>
    <mergeCell ref="X210:X211"/>
    <mergeCell ref="Y210:Y211"/>
    <mergeCell ref="Z210:Z211"/>
    <mergeCell ref="AA210:AA211"/>
    <mergeCell ref="AB210:AB211"/>
    <mergeCell ref="AC210:AC211"/>
    <mergeCell ref="AI210:AI211"/>
    <mergeCell ref="AD210:AD211"/>
    <mergeCell ref="AE210:AE211"/>
    <mergeCell ref="AF210:AF211"/>
    <mergeCell ref="AG210:AG211"/>
    <mergeCell ref="AH210:AH211"/>
    <mergeCell ref="G10:U10"/>
    <mergeCell ref="B2:AJ2"/>
    <mergeCell ref="B4:N4"/>
    <mergeCell ref="V4:AC4"/>
    <mergeCell ref="B6:D6"/>
    <mergeCell ref="E6:N6"/>
    <mergeCell ref="T6:AC6"/>
    <mergeCell ref="B8:C8"/>
    <mergeCell ref="V8:AC8"/>
    <mergeCell ref="B10:B11"/>
    <mergeCell ref="C10:C11"/>
    <mergeCell ref="D10:D11"/>
    <mergeCell ref="E10:E11"/>
    <mergeCell ref="F10:F11"/>
    <mergeCell ref="AF3:AJ8"/>
    <mergeCell ref="AG224:AJ224"/>
    <mergeCell ref="AG225:AJ225"/>
    <mergeCell ref="R224:V224"/>
    <mergeCell ref="R225:V225"/>
    <mergeCell ref="D224:F224"/>
    <mergeCell ref="D225:F225"/>
  </mergeCells>
  <phoneticPr fontId="20" type="noConversion"/>
  <pageMargins left="0.511811024" right="0.511811024" top="0.78740157499999996" bottom="0.78740157499999996" header="0.31496062000000002" footer="0.31496062000000002"/>
  <pageSetup paperSize="9" scale="56" fitToHeight="0" orientation="landscape" r:id="rId1"/>
  <ignoredErrors>
    <ignoredError sqref="C203:C20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3ACB0-B694-42CE-A5AF-A7C17777A871}">
  <sheetPr>
    <pageSetUpPr fitToPage="1"/>
  </sheetPr>
  <dimension ref="A2:J205"/>
  <sheetViews>
    <sheetView view="pageBreakPreview" topLeftCell="A194" zoomScale="90" zoomScaleNormal="85" zoomScaleSheetLayoutView="90" workbookViewId="0">
      <selection activeCell="F201" sqref="F201"/>
    </sheetView>
  </sheetViews>
  <sheetFormatPr defaultRowHeight="15" x14ac:dyDescent="0.25"/>
  <cols>
    <col min="1" max="1" width="6.28515625" customWidth="1"/>
    <col min="2" max="2" width="11.85546875" customWidth="1"/>
    <col min="3" max="3" width="59.140625" customWidth="1"/>
    <col min="4" max="4" width="7.140625" customWidth="1"/>
    <col min="5" max="5" width="52.42578125" style="164" customWidth="1"/>
    <col min="6" max="6" width="15.42578125" style="164" customWidth="1"/>
    <col min="7" max="10" width="9.140625" style="164"/>
  </cols>
  <sheetData>
    <row r="2" spans="1:10" ht="20.25" x14ac:dyDescent="0.25">
      <c r="A2" s="576" t="s">
        <v>1098</v>
      </c>
      <c r="B2" s="577"/>
      <c r="C2" s="577"/>
      <c r="D2" s="577"/>
      <c r="E2" s="577"/>
      <c r="F2" s="577"/>
    </row>
    <row r="3" spans="1:10" ht="23.25" thickBot="1" x14ac:dyDescent="0.3">
      <c r="A3" s="24"/>
      <c r="B3" s="25" t="s">
        <v>525</v>
      </c>
      <c r="C3" s="26"/>
      <c r="D3" s="26"/>
    </row>
    <row r="4" spans="1:10" x14ac:dyDescent="0.25">
      <c r="A4" s="477" t="s">
        <v>526</v>
      </c>
      <c r="B4" s="477" t="s">
        <v>527</v>
      </c>
      <c r="C4" s="479" t="s">
        <v>528</v>
      </c>
      <c r="D4" s="477" t="s">
        <v>529</v>
      </c>
      <c r="E4" s="481" t="s">
        <v>1087</v>
      </c>
      <c r="F4" s="481" t="s">
        <v>563</v>
      </c>
    </row>
    <row r="5" spans="1:10" x14ac:dyDescent="0.25">
      <c r="A5" s="478"/>
      <c r="B5" s="478"/>
      <c r="C5" s="480"/>
      <c r="D5" s="478"/>
      <c r="E5" s="603"/>
      <c r="F5" s="603"/>
    </row>
    <row r="6" spans="1:10" ht="14.45" customHeight="1" x14ac:dyDescent="0.25">
      <c r="A6" s="433">
        <v>1</v>
      </c>
      <c r="B6" s="434" t="s">
        <v>10</v>
      </c>
      <c r="C6" s="435"/>
      <c r="D6" s="436"/>
    </row>
    <row r="7" spans="1:10" x14ac:dyDescent="0.25">
      <c r="A7" s="433">
        <v>1.1000000000000001</v>
      </c>
      <c r="B7" s="434" t="s">
        <v>12</v>
      </c>
      <c r="C7" s="435"/>
      <c r="D7" s="436"/>
      <c r="E7" s="464"/>
      <c r="F7" s="464"/>
    </row>
    <row r="8" spans="1:10" ht="22.5" x14ac:dyDescent="0.25">
      <c r="A8" s="384" t="s">
        <v>13</v>
      </c>
      <c r="B8" s="442" t="s">
        <v>14</v>
      </c>
      <c r="C8" s="386" t="s">
        <v>15</v>
      </c>
      <c r="D8" s="387" t="s">
        <v>17</v>
      </c>
      <c r="E8" s="464"/>
      <c r="F8" s="464"/>
    </row>
    <row r="9" spans="1:10" ht="22.5" x14ac:dyDescent="0.25">
      <c r="A9" s="384" t="s">
        <v>18</v>
      </c>
      <c r="B9" s="442">
        <v>93209</v>
      </c>
      <c r="C9" s="386" t="s">
        <v>20</v>
      </c>
      <c r="D9" s="387" t="s">
        <v>17</v>
      </c>
      <c r="E9" s="464"/>
      <c r="F9" s="464"/>
    </row>
    <row r="10" spans="1:10" ht="22.5" x14ac:dyDescent="0.25">
      <c r="A10" s="384" t="s">
        <v>22</v>
      </c>
      <c r="B10" s="442">
        <v>93206</v>
      </c>
      <c r="C10" s="386" t="s">
        <v>23</v>
      </c>
      <c r="D10" s="387" t="s">
        <v>17</v>
      </c>
      <c r="E10" s="464"/>
      <c r="F10" s="464"/>
    </row>
    <row r="11" spans="1:10" x14ac:dyDescent="0.25">
      <c r="A11" s="384" t="s">
        <v>24</v>
      </c>
      <c r="B11" s="442" t="s">
        <v>25</v>
      </c>
      <c r="C11" s="386" t="s">
        <v>26</v>
      </c>
      <c r="D11" s="387" t="s">
        <v>17</v>
      </c>
      <c r="E11" s="464"/>
      <c r="F11" s="464"/>
    </row>
    <row r="12" spans="1:10" s="164" customFormat="1" x14ac:dyDescent="0.25">
      <c r="A12" s="384" t="s">
        <v>27</v>
      </c>
      <c r="B12" s="442">
        <v>98524</v>
      </c>
      <c r="C12" s="386" t="s">
        <v>28</v>
      </c>
      <c r="D12" s="387" t="s">
        <v>17</v>
      </c>
      <c r="E12" s="464"/>
      <c r="F12" s="464"/>
    </row>
    <row r="13" spans="1:10" s="164" customFormat="1" x14ac:dyDescent="0.25">
      <c r="A13" s="384" t="s">
        <v>29</v>
      </c>
      <c r="B13" s="385">
        <v>100575</v>
      </c>
      <c r="C13" s="386" t="s">
        <v>31</v>
      </c>
      <c r="D13" s="387" t="s">
        <v>17</v>
      </c>
      <c r="E13" s="464"/>
      <c r="F13" s="464"/>
    </row>
    <row r="14" spans="1:10" ht="14.45" customHeight="1" x14ac:dyDescent="0.25">
      <c r="A14" s="347" t="s">
        <v>32</v>
      </c>
      <c r="B14" s="348" t="s">
        <v>33</v>
      </c>
      <c r="C14" s="386"/>
      <c r="D14" s="387"/>
      <c r="E14" s="464"/>
      <c r="F14" s="464"/>
    </row>
    <row r="15" spans="1:10" ht="32.450000000000003" customHeight="1" x14ac:dyDescent="0.25">
      <c r="A15" s="384" t="s">
        <v>34</v>
      </c>
      <c r="B15" s="385">
        <v>99059</v>
      </c>
      <c r="C15" s="386" t="s">
        <v>36</v>
      </c>
      <c r="D15" s="387" t="s">
        <v>37</v>
      </c>
      <c r="E15" s="464"/>
      <c r="F15" s="464"/>
    </row>
    <row r="16" spans="1:10" s="168" customFormat="1" ht="22.5" x14ac:dyDescent="0.25">
      <c r="A16" s="447" t="s">
        <v>38</v>
      </c>
      <c r="B16" s="385">
        <v>93358</v>
      </c>
      <c r="C16" s="386" t="s">
        <v>40</v>
      </c>
      <c r="D16" s="387" t="s">
        <v>41</v>
      </c>
      <c r="E16" s="464"/>
      <c r="F16" s="464"/>
      <c r="G16" s="164"/>
      <c r="H16" s="169"/>
      <c r="I16" s="169"/>
      <c r="J16" s="169"/>
    </row>
    <row r="17" spans="1:10" s="168" customFormat="1" x14ac:dyDescent="0.25">
      <c r="A17" s="384" t="s">
        <v>42</v>
      </c>
      <c r="B17" s="385">
        <v>96995</v>
      </c>
      <c r="C17" s="386" t="s">
        <v>44</v>
      </c>
      <c r="D17" s="387" t="s">
        <v>41</v>
      </c>
      <c r="E17" s="464" t="s">
        <v>1104</v>
      </c>
      <c r="F17" s="464">
        <v>1.21</v>
      </c>
      <c r="G17" s="164">
        <f>20*1.8*0.5*0.45</f>
        <v>8.1</v>
      </c>
      <c r="H17" s="169">
        <f>G17-1.21</f>
        <v>6.89</v>
      </c>
      <c r="I17" s="169" t="s">
        <v>1103</v>
      </c>
      <c r="J17" s="169"/>
    </row>
    <row r="18" spans="1:10" s="169" customFormat="1" ht="22.5" x14ac:dyDescent="0.25">
      <c r="A18" s="384" t="s">
        <v>45</v>
      </c>
      <c r="B18" s="385">
        <v>94319</v>
      </c>
      <c r="C18" s="386" t="s">
        <v>47</v>
      </c>
      <c r="D18" s="387" t="s">
        <v>41</v>
      </c>
      <c r="E18" s="464"/>
      <c r="F18" s="464"/>
      <c r="G18" s="164"/>
    </row>
    <row r="19" spans="1:10" s="167" customFormat="1" x14ac:dyDescent="0.25">
      <c r="A19" s="347" t="s">
        <v>48</v>
      </c>
      <c r="B19" s="348" t="s">
        <v>49</v>
      </c>
      <c r="C19" s="386"/>
      <c r="D19" s="387"/>
      <c r="E19" s="464"/>
      <c r="F19" s="464"/>
      <c r="G19" s="164"/>
      <c r="H19" s="169"/>
      <c r="I19" s="169"/>
      <c r="J19" s="169"/>
    </row>
    <row r="20" spans="1:10" s="168" customFormat="1" ht="43.15" customHeight="1" x14ac:dyDescent="0.25">
      <c r="A20" s="384" t="s">
        <v>50</v>
      </c>
      <c r="B20" s="442" t="s">
        <v>51</v>
      </c>
      <c r="C20" s="386" t="s">
        <v>52</v>
      </c>
      <c r="D20" s="387" t="s">
        <v>41</v>
      </c>
      <c r="E20" s="602" t="s">
        <v>1102</v>
      </c>
      <c r="F20" s="464">
        <v>3.62</v>
      </c>
      <c r="G20" s="164">
        <f>20*(1.8*2+0.9)*0.5*0.19</f>
        <v>8.5500000000000007</v>
      </c>
      <c r="H20" s="169">
        <f>G20-3.62</f>
        <v>4.9300000000000006</v>
      </c>
      <c r="I20" s="169" t="s">
        <v>1103</v>
      </c>
      <c r="J20" s="169"/>
    </row>
    <row r="21" spans="1:10" ht="25.15" customHeight="1" x14ac:dyDescent="0.25">
      <c r="A21" s="384" t="s">
        <v>53</v>
      </c>
      <c r="B21" s="385">
        <v>101616</v>
      </c>
      <c r="C21" s="386" t="s">
        <v>55</v>
      </c>
      <c r="D21" s="387" t="s">
        <v>17</v>
      </c>
      <c r="E21" s="464"/>
      <c r="F21" s="464"/>
    </row>
    <row r="22" spans="1:10" s="164" customFormat="1" ht="30" customHeight="1" x14ac:dyDescent="0.25">
      <c r="A22" s="384" t="s">
        <v>56</v>
      </c>
      <c r="B22" s="385">
        <v>96619</v>
      </c>
      <c r="C22" s="391" t="s">
        <v>58</v>
      </c>
      <c r="D22" s="387" t="s">
        <v>17</v>
      </c>
      <c r="E22" s="464" t="s">
        <v>1105</v>
      </c>
      <c r="F22" s="464">
        <f>20*1.8*0.5</f>
        <v>18</v>
      </c>
    </row>
    <row r="23" spans="1:10" s="163" customFormat="1" ht="22.5" x14ac:dyDescent="0.25">
      <c r="A23" s="384" t="s">
        <v>59</v>
      </c>
      <c r="B23" s="385">
        <v>96545</v>
      </c>
      <c r="C23" s="386" t="s">
        <v>61</v>
      </c>
      <c r="D23" s="387" t="s">
        <v>62</v>
      </c>
      <c r="E23" s="464"/>
      <c r="F23" s="464"/>
      <c r="G23" s="164"/>
      <c r="H23" s="164"/>
      <c r="I23" s="164"/>
      <c r="J23" s="164"/>
    </row>
    <row r="24" spans="1:10" s="163" customFormat="1" ht="33.75" x14ac:dyDescent="0.25">
      <c r="A24" s="384" t="s">
        <v>63</v>
      </c>
      <c r="B24" s="385">
        <v>94966</v>
      </c>
      <c r="C24" s="386" t="s">
        <v>65</v>
      </c>
      <c r="D24" s="387" t="s">
        <v>41</v>
      </c>
      <c r="E24" s="464"/>
      <c r="F24" s="464"/>
      <c r="G24" s="164"/>
      <c r="H24" s="164"/>
      <c r="I24" s="164"/>
      <c r="J24" s="164"/>
    </row>
    <row r="25" spans="1:10" ht="33.75" x14ac:dyDescent="0.25">
      <c r="A25" s="384" t="s">
        <v>66</v>
      </c>
      <c r="B25" s="385">
        <v>94964</v>
      </c>
      <c r="C25" s="386" t="s">
        <v>68</v>
      </c>
      <c r="D25" s="387" t="s">
        <v>41</v>
      </c>
      <c r="E25" s="464"/>
      <c r="F25" s="464"/>
    </row>
    <row r="26" spans="1:10" s="163" customFormat="1" ht="22.5" x14ac:dyDescent="0.25">
      <c r="A26" s="384" t="s">
        <v>69</v>
      </c>
      <c r="B26" s="385">
        <v>103670</v>
      </c>
      <c r="C26" s="386" t="s">
        <v>71</v>
      </c>
      <c r="D26" s="387" t="s">
        <v>41</v>
      </c>
      <c r="E26" s="464"/>
      <c r="F26" s="464"/>
      <c r="G26" s="164"/>
      <c r="H26" s="164"/>
      <c r="I26" s="164"/>
      <c r="J26" s="164"/>
    </row>
    <row r="27" spans="1:10" s="163" customFormat="1" ht="22.5" x14ac:dyDescent="0.25">
      <c r="A27" s="384" t="s">
        <v>72</v>
      </c>
      <c r="B27" s="385">
        <v>96543</v>
      </c>
      <c r="C27" s="386" t="s">
        <v>74</v>
      </c>
      <c r="D27" s="387" t="s">
        <v>62</v>
      </c>
      <c r="E27" s="464"/>
      <c r="F27" s="464"/>
      <c r="G27" s="164"/>
      <c r="H27" s="164"/>
      <c r="I27" s="164"/>
      <c r="J27" s="164"/>
    </row>
    <row r="28" spans="1:10" ht="22.5" x14ac:dyDescent="0.25">
      <c r="A28" s="384" t="s">
        <v>75</v>
      </c>
      <c r="B28" s="385">
        <v>96544</v>
      </c>
      <c r="C28" s="386" t="s">
        <v>77</v>
      </c>
      <c r="D28" s="387" t="s">
        <v>62</v>
      </c>
      <c r="E28" s="464"/>
      <c r="F28" s="464"/>
    </row>
    <row r="29" spans="1:10" ht="22.5" x14ac:dyDescent="0.25">
      <c r="A29" s="384" t="s">
        <v>78</v>
      </c>
      <c r="B29" s="385">
        <v>96546</v>
      </c>
      <c r="C29" s="386" t="s">
        <v>80</v>
      </c>
      <c r="D29" s="387" t="s">
        <v>62</v>
      </c>
      <c r="E29" s="464"/>
      <c r="F29" s="464"/>
    </row>
    <row r="30" spans="1:10" s="163" customFormat="1" ht="22.5" x14ac:dyDescent="0.25">
      <c r="A30" s="384" t="s">
        <v>81</v>
      </c>
      <c r="B30" s="385">
        <v>96547</v>
      </c>
      <c r="C30" s="386" t="s">
        <v>83</v>
      </c>
      <c r="D30" s="387" t="s">
        <v>62</v>
      </c>
      <c r="E30" s="464"/>
      <c r="F30" s="464"/>
      <c r="G30" s="164"/>
      <c r="H30" s="164"/>
      <c r="I30" s="164"/>
      <c r="J30" s="164"/>
    </row>
    <row r="31" spans="1:10" s="163" customFormat="1" ht="22.5" x14ac:dyDescent="0.25">
      <c r="A31" s="384" t="s">
        <v>84</v>
      </c>
      <c r="B31" s="385">
        <v>96536</v>
      </c>
      <c r="C31" s="386" t="s">
        <v>86</v>
      </c>
      <c r="D31" s="387" t="s">
        <v>17</v>
      </c>
      <c r="E31" s="464"/>
      <c r="F31" s="464"/>
      <c r="G31" s="164"/>
      <c r="H31" s="164"/>
      <c r="I31" s="164"/>
      <c r="J31" s="164"/>
    </row>
    <row r="32" spans="1:10" s="164" customFormat="1" ht="22.5" x14ac:dyDescent="0.25">
      <c r="A32" s="384" t="s">
        <v>87</v>
      </c>
      <c r="B32" s="385">
        <v>98557</v>
      </c>
      <c r="C32" s="386" t="s">
        <v>89</v>
      </c>
      <c r="D32" s="387" t="s">
        <v>17</v>
      </c>
      <c r="E32" s="464"/>
      <c r="F32" s="464"/>
    </row>
    <row r="33" spans="1:10" x14ac:dyDescent="0.25">
      <c r="A33" s="347" t="s">
        <v>90</v>
      </c>
      <c r="B33" s="348" t="s">
        <v>91</v>
      </c>
      <c r="C33" s="386"/>
      <c r="D33" s="387"/>
      <c r="E33" s="464"/>
      <c r="F33" s="464"/>
    </row>
    <row r="34" spans="1:10" s="164" customFormat="1" ht="33.75" x14ac:dyDescent="0.35">
      <c r="A34" s="384" t="s">
        <v>92</v>
      </c>
      <c r="B34" s="385">
        <v>92443</v>
      </c>
      <c r="C34" s="386" t="s">
        <v>94</v>
      </c>
      <c r="D34" s="387" t="s">
        <v>17</v>
      </c>
      <c r="E34" s="464"/>
      <c r="F34" s="465"/>
    </row>
    <row r="35" spans="1:10" s="169" customFormat="1" ht="33.75" x14ac:dyDescent="0.25">
      <c r="A35" s="384" t="s">
        <v>95</v>
      </c>
      <c r="B35" s="385">
        <v>92480</v>
      </c>
      <c r="C35" s="391" t="s">
        <v>97</v>
      </c>
      <c r="D35" s="387" t="s">
        <v>17</v>
      </c>
      <c r="E35" s="464"/>
      <c r="F35" s="464"/>
    </row>
    <row r="36" spans="1:10" s="169" customFormat="1" ht="22.5" x14ac:dyDescent="0.25">
      <c r="A36" s="384" t="s">
        <v>98</v>
      </c>
      <c r="B36" s="385">
        <v>92267</v>
      </c>
      <c r="C36" s="386" t="s">
        <v>100</v>
      </c>
      <c r="D36" s="387" t="s">
        <v>17</v>
      </c>
      <c r="E36" s="464"/>
      <c r="F36" s="464"/>
    </row>
    <row r="37" spans="1:10" s="169" customFormat="1" ht="22.5" x14ac:dyDescent="0.25">
      <c r="A37" s="384" t="s">
        <v>101</v>
      </c>
      <c r="B37" s="385">
        <v>92759</v>
      </c>
      <c r="C37" s="386" t="s">
        <v>103</v>
      </c>
      <c r="D37" s="387" t="s">
        <v>62</v>
      </c>
      <c r="E37" s="464"/>
      <c r="F37" s="464"/>
    </row>
    <row r="38" spans="1:10" s="169" customFormat="1" ht="22.5" x14ac:dyDescent="0.25">
      <c r="A38" s="384" t="s">
        <v>104</v>
      </c>
      <c r="B38" s="385">
        <v>92760</v>
      </c>
      <c r="C38" s="386" t="s">
        <v>106</v>
      </c>
      <c r="D38" s="387" t="s">
        <v>62</v>
      </c>
      <c r="E38" s="464"/>
      <c r="F38" s="464"/>
    </row>
    <row r="39" spans="1:10" s="167" customFormat="1" ht="22.5" x14ac:dyDescent="0.25">
      <c r="A39" s="384" t="s">
        <v>107</v>
      </c>
      <c r="B39" s="385">
        <v>92761</v>
      </c>
      <c r="C39" s="386" t="s">
        <v>109</v>
      </c>
      <c r="D39" s="387" t="s">
        <v>62</v>
      </c>
      <c r="E39" s="464"/>
      <c r="F39" s="464"/>
      <c r="G39" s="169"/>
      <c r="H39" s="169"/>
      <c r="I39" s="169"/>
      <c r="J39" s="169"/>
    </row>
    <row r="40" spans="1:10" s="169" customFormat="1" ht="22.5" x14ac:dyDescent="0.25">
      <c r="A40" s="384" t="s">
        <v>110</v>
      </c>
      <c r="B40" s="385">
        <v>92762</v>
      </c>
      <c r="C40" s="386" t="s">
        <v>112</v>
      </c>
      <c r="D40" s="387" t="s">
        <v>62</v>
      </c>
      <c r="E40" s="464"/>
      <c r="F40" s="464"/>
    </row>
    <row r="41" spans="1:10" s="169" customFormat="1" ht="22.5" x14ac:dyDescent="0.25">
      <c r="A41" s="384" t="s">
        <v>113</v>
      </c>
      <c r="B41" s="385">
        <v>92763</v>
      </c>
      <c r="C41" s="386" t="s">
        <v>115</v>
      </c>
      <c r="D41" s="387" t="s">
        <v>62</v>
      </c>
      <c r="E41" s="464"/>
      <c r="F41" s="464"/>
    </row>
    <row r="42" spans="1:10" s="167" customFormat="1" ht="22.5" x14ac:dyDescent="0.25">
      <c r="A42" s="384" t="s">
        <v>116</v>
      </c>
      <c r="B42" s="385">
        <v>92768</v>
      </c>
      <c r="C42" s="386" t="s">
        <v>118</v>
      </c>
      <c r="D42" s="387" t="s">
        <v>62</v>
      </c>
      <c r="E42" s="464"/>
      <c r="F42" s="464"/>
      <c r="G42" s="169"/>
      <c r="H42" s="169"/>
      <c r="I42" s="169"/>
      <c r="J42" s="169"/>
    </row>
    <row r="43" spans="1:10" s="167" customFormat="1" ht="22.5" x14ac:dyDescent="0.25">
      <c r="A43" s="384" t="s">
        <v>119</v>
      </c>
      <c r="B43" s="385">
        <v>92769</v>
      </c>
      <c r="C43" s="386" t="s">
        <v>121</v>
      </c>
      <c r="D43" s="387" t="s">
        <v>62</v>
      </c>
      <c r="E43" s="464"/>
      <c r="F43" s="464"/>
      <c r="G43" s="169"/>
      <c r="H43" s="169"/>
      <c r="I43" s="169"/>
      <c r="J43" s="169"/>
    </row>
    <row r="44" spans="1:10" s="167" customFormat="1" ht="22.5" x14ac:dyDescent="0.25">
      <c r="A44" s="384" t="s">
        <v>122</v>
      </c>
      <c r="B44" s="385">
        <v>92770</v>
      </c>
      <c r="C44" s="386" t="s">
        <v>124</v>
      </c>
      <c r="D44" s="387" t="s">
        <v>62</v>
      </c>
      <c r="E44" s="464"/>
      <c r="F44" s="464"/>
      <c r="G44" s="169"/>
      <c r="H44" s="169"/>
      <c r="I44" s="169"/>
      <c r="J44" s="169"/>
    </row>
    <row r="45" spans="1:10" s="164" customFormat="1" ht="33.75" x14ac:dyDescent="0.25">
      <c r="A45" s="384" t="s">
        <v>125</v>
      </c>
      <c r="B45" s="385">
        <v>94966</v>
      </c>
      <c r="C45" s="386" t="s">
        <v>65</v>
      </c>
      <c r="D45" s="387" t="s">
        <v>41</v>
      </c>
      <c r="E45" s="464"/>
      <c r="F45" s="464"/>
    </row>
    <row r="46" spans="1:10" s="167" customFormat="1" ht="22.5" x14ac:dyDescent="0.25">
      <c r="A46" s="384" t="s">
        <v>126</v>
      </c>
      <c r="B46" s="385">
        <v>103670</v>
      </c>
      <c r="C46" s="391" t="s">
        <v>71</v>
      </c>
      <c r="D46" s="387" t="s">
        <v>41</v>
      </c>
      <c r="E46" s="464"/>
      <c r="F46" s="464"/>
      <c r="G46" s="169"/>
      <c r="H46" s="169"/>
      <c r="I46" s="169"/>
      <c r="J46" s="169"/>
    </row>
    <row r="47" spans="1:10" s="167" customFormat="1" ht="22.5" x14ac:dyDescent="0.25">
      <c r="A47" s="384" t="s">
        <v>127</v>
      </c>
      <c r="B47" s="385">
        <v>92771</v>
      </c>
      <c r="C47" s="391" t="s">
        <v>129</v>
      </c>
      <c r="D47" s="387" t="s">
        <v>62</v>
      </c>
      <c r="E47" s="464"/>
      <c r="F47" s="464"/>
      <c r="G47" s="169"/>
      <c r="H47" s="169"/>
      <c r="I47" s="169"/>
      <c r="J47" s="169"/>
    </row>
    <row r="48" spans="1:10" s="167" customFormat="1" ht="22.5" x14ac:dyDescent="0.25">
      <c r="A48" s="384" t="s">
        <v>130</v>
      </c>
      <c r="B48" s="385">
        <v>92772</v>
      </c>
      <c r="C48" s="386" t="s">
        <v>132</v>
      </c>
      <c r="D48" s="387" t="s">
        <v>62</v>
      </c>
      <c r="E48" s="464"/>
      <c r="F48" s="464"/>
      <c r="G48" s="169"/>
      <c r="H48" s="169"/>
      <c r="I48" s="169"/>
      <c r="J48" s="169"/>
    </row>
    <row r="49" spans="1:10" s="167" customFormat="1" x14ac:dyDescent="0.25">
      <c r="A49" s="347">
        <v>1.5</v>
      </c>
      <c r="B49" s="348" t="s">
        <v>134</v>
      </c>
      <c r="C49" s="386"/>
      <c r="D49" s="387"/>
      <c r="E49" s="464"/>
      <c r="F49" s="464"/>
      <c r="G49" s="169"/>
      <c r="H49" s="169"/>
      <c r="I49" s="169"/>
      <c r="J49" s="169"/>
    </row>
    <row r="50" spans="1:10" ht="33.75" x14ac:dyDescent="0.25">
      <c r="A50" s="384" t="s">
        <v>135</v>
      </c>
      <c r="B50" s="385">
        <v>103356</v>
      </c>
      <c r="C50" s="386" t="s">
        <v>137</v>
      </c>
      <c r="D50" s="387" t="s">
        <v>17</v>
      </c>
      <c r="E50" s="464"/>
      <c r="F50" s="464"/>
    </row>
    <row r="51" spans="1:10" s="167" customFormat="1" ht="22.5" x14ac:dyDescent="0.25">
      <c r="A51" s="384" t="s">
        <v>138</v>
      </c>
      <c r="B51" s="385">
        <v>93189</v>
      </c>
      <c r="C51" s="391" t="s">
        <v>140</v>
      </c>
      <c r="D51" s="387" t="s">
        <v>37</v>
      </c>
      <c r="E51" s="464"/>
      <c r="F51" s="464"/>
      <c r="G51" s="169"/>
      <c r="H51" s="169"/>
      <c r="I51" s="169"/>
      <c r="J51" s="169"/>
    </row>
    <row r="52" spans="1:10" s="167" customFormat="1" ht="22.5" x14ac:dyDescent="0.25">
      <c r="A52" s="384" t="s">
        <v>141</v>
      </c>
      <c r="B52" s="385">
        <v>93191</v>
      </c>
      <c r="C52" s="386" t="s">
        <v>143</v>
      </c>
      <c r="D52" s="387" t="s">
        <v>37</v>
      </c>
      <c r="E52" s="464"/>
      <c r="F52" s="464"/>
      <c r="G52" s="169"/>
      <c r="H52" s="169"/>
      <c r="I52" s="169"/>
      <c r="J52" s="169"/>
    </row>
    <row r="53" spans="1:10" s="167" customFormat="1" ht="22.5" x14ac:dyDescent="0.25">
      <c r="A53" s="384" t="s">
        <v>144</v>
      </c>
      <c r="B53" s="385">
        <v>93197</v>
      </c>
      <c r="C53" s="386" t="s">
        <v>146</v>
      </c>
      <c r="D53" s="387" t="s">
        <v>37</v>
      </c>
      <c r="E53" s="464"/>
      <c r="F53" s="464"/>
      <c r="G53" s="169"/>
      <c r="H53" s="169"/>
      <c r="I53" s="169"/>
      <c r="J53" s="169"/>
    </row>
    <row r="54" spans="1:10" s="167" customFormat="1" ht="14.45" customHeight="1" x14ac:dyDescent="0.25">
      <c r="A54" s="347">
        <v>1.6</v>
      </c>
      <c r="B54" s="348" t="s">
        <v>148</v>
      </c>
      <c r="C54" s="386"/>
      <c r="D54" s="387"/>
      <c r="E54" s="464"/>
      <c r="F54" s="464"/>
      <c r="G54" s="169"/>
      <c r="H54" s="169"/>
      <c r="I54" s="169"/>
      <c r="J54" s="169"/>
    </row>
    <row r="55" spans="1:10" s="167" customFormat="1" ht="33.75" x14ac:dyDescent="0.25">
      <c r="A55" s="384" t="s">
        <v>149</v>
      </c>
      <c r="B55" s="385">
        <v>87893</v>
      </c>
      <c r="C55" s="386" t="s">
        <v>151</v>
      </c>
      <c r="D55" s="387" t="s">
        <v>17</v>
      </c>
      <c r="E55" s="464"/>
      <c r="F55" s="464"/>
      <c r="G55" s="169"/>
      <c r="H55" s="169"/>
      <c r="I55" s="169"/>
      <c r="J55" s="169"/>
    </row>
    <row r="56" spans="1:10" s="167" customFormat="1" ht="33.75" x14ac:dyDescent="0.25">
      <c r="A56" s="384" t="s">
        <v>152</v>
      </c>
      <c r="B56" s="385">
        <v>87548</v>
      </c>
      <c r="C56" s="386" t="s">
        <v>154</v>
      </c>
      <c r="D56" s="387" t="s">
        <v>17</v>
      </c>
      <c r="E56" s="464"/>
      <c r="F56" s="464"/>
      <c r="G56" s="169"/>
      <c r="H56" s="169"/>
      <c r="I56" s="169"/>
      <c r="J56" s="169"/>
    </row>
    <row r="57" spans="1:10" s="167" customFormat="1" ht="45" x14ac:dyDescent="0.25">
      <c r="A57" s="384" t="s">
        <v>155</v>
      </c>
      <c r="B57" s="385">
        <v>87536</v>
      </c>
      <c r="C57" s="386" t="s">
        <v>157</v>
      </c>
      <c r="D57" s="387" t="s">
        <v>17</v>
      </c>
      <c r="E57" s="464"/>
      <c r="F57" s="464"/>
      <c r="G57" s="169"/>
      <c r="H57" s="169"/>
      <c r="I57" s="169"/>
      <c r="J57" s="169"/>
    </row>
    <row r="58" spans="1:10" s="167" customFormat="1" ht="33.75" x14ac:dyDescent="0.25">
      <c r="A58" s="384" t="s">
        <v>158</v>
      </c>
      <c r="B58" s="385">
        <v>87275</v>
      </c>
      <c r="C58" s="386" t="s">
        <v>160</v>
      </c>
      <c r="D58" s="387" t="s">
        <v>17</v>
      </c>
      <c r="E58" s="464"/>
      <c r="F58" s="464"/>
      <c r="G58" s="169"/>
      <c r="H58" s="169"/>
      <c r="I58" s="169"/>
      <c r="J58" s="169"/>
    </row>
    <row r="59" spans="1:10" s="167" customFormat="1" x14ac:dyDescent="0.25">
      <c r="A59" s="347">
        <v>1.7</v>
      </c>
      <c r="B59" s="348" t="s">
        <v>162</v>
      </c>
      <c r="C59" s="386"/>
      <c r="D59" s="387"/>
      <c r="E59" s="464"/>
      <c r="F59" s="464"/>
      <c r="G59" s="169"/>
      <c r="H59" s="169"/>
      <c r="I59" s="169"/>
      <c r="J59" s="169"/>
    </row>
    <row r="60" spans="1:10" s="167" customFormat="1" ht="45" x14ac:dyDescent="0.25">
      <c r="A60" s="384" t="s">
        <v>163</v>
      </c>
      <c r="B60" s="385">
        <v>91315</v>
      </c>
      <c r="C60" s="391" t="s">
        <v>165</v>
      </c>
      <c r="D60" s="387" t="s">
        <v>166</v>
      </c>
      <c r="E60" s="464"/>
      <c r="F60" s="464"/>
      <c r="G60" s="169"/>
      <c r="H60" s="169"/>
      <c r="I60" s="169"/>
      <c r="J60" s="169"/>
    </row>
    <row r="61" spans="1:10" s="167" customFormat="1" ht="45" x14ac:dyDescent="0.25">
      <c r="A61" s="384" t="s">
        <v>167</v>
      </c>
      <c r="B61" s="385">
        <v>94570</v>
      </c>
      <c r="C61" s="386" t="s">
        <v>169</v>
      </c>
      <c r="D61" s="387" t="s">
        <v>17</v>
      </c>
      <c r="E61" s="464"/>
      <c r="F61" s="464"/>
      <c r="G61" s="169"/>
      <c r="H61" s="169"/>
      <c r="I61" s="169"/>
      <c r="J61" s="169"/>
    </row>
    <row r="62" spans="1:10" s="167" customFormat="1" ht="45" x14ac:dyDescent="0.25">
      <c r="A62" s="384" t="s">
        <v>170</v>
      </c>
      <c r="B62" s="385">
        <v>100689</v>
      </c>
      <c r="C62" s="386" t="s">
        <v>172</v>
      </c>
      <c r="D62" s="387" t="s">
        <v>166</v>
      </c>
      <c r="E62" s="464"/>
      <c r="F62" s="464"/>
      <c r="G62" s="169"/>
      <c r="H62" s="169"/>
      <c r="I62" s="169"/>
      <c r="J62" s="169"/>
    </row>
    <row r="63" spans="1:10" s="167" customFormat="1" ht="22.5" x14ac:dyDescent="0.25">
      <c r="A63" s="384" t="s">
        <v>173</v>
      </c>
      <c r="B63" s="442" t="s">
        <v>174</v>
      </c>
      <c r="C63" s="386" t="s">
        <v>175</v>
      </c>
      <c r="D63" s="387" t="s">
        <v>5</v>
      </c>
      <c r="E63" s="464"/>
      <c r="F63" s="464"/>
      <c r="G63" s="169"/>
      <c r="H63" s="169"/>
      <c r="I63" s="169"/>
      <c r="J63" s="169"/>
    </row>
    <row r="64" spans="1:10" s="167" customFormat="1" ht="22.5" x14ac:dyDescent="0.25">
      <c r="A64" s="384" t="s">
        <v>176</v>
      </c>
      <c r="B64" s="442" t="s">
        <v>177</v>
      </c>
      <c r="C64" s="386" t="s">
        <v>178</v>
      </c>
      <c r="D64" s="387" t="s">
        <v>5</v>
      </c>
      <c r="E64" s="464"/>
      <c r="F64" s="464"/>
      <c r="G64" s="169"/>
      <c r="H64" s="169"/>
      <c r="I64" s="169"/>
      <c r="J64" s="169"/>
    </row>
    <row r="65" spans="1:10" s="167" customFormat="1" ht="22.5" x14ac:dyDescent="0.25">
      <c r="A65" s="384" t="s">
        <v>179</v>
      </c>
      <c r="B65" s="385">
        <v>91341</v>
      </c>
      <c r="C65" s="386" t="s">
        <v>181</v>
      </c>
      <c r="D65" s="387" t="s">
        <v>17</v>
      </c>
      <c r="E65" s="464"/>
      <c r="F65" s="464"/>
      <c r="G65" s="169"/>
      <c r="H65" s="169"/>
      <c r="I65" s="169"/>
      <c r="J65" s="169"/>
    </row>
    <row r="66" spans="1:10" s="167" customFormat="1" ht="22.5" x14ac:dyDescent="0.25">
      <c r="A66" s="384" t="s">
        <v>182</v>
      </c>
      <c r="B66" s="385">
        <v>100702</v>
      </c>
      <c r="C66" s="386" t="s">
        <v>184</v>
      </c>
      <c r="D66" s="387" t="s">
        <v>17</v>
      </c>
      <c r="E66" s="464"/>
      <c r="F66" s="464"/>
      <c r="G66" s="169"/>
      <c r="H66" s="169"/>
      <c r="I66" s="169"/>
      <c r="J66" s="169"/>
    </row>
    <row r="67" spans="1:10" s="167" customFormat="1" ht="33.75" x14ac:dyDescent="0.25">
      <c r="A67" s="384" t="s">
        <v>185</v>
      </c>
      <c r="B67" s="385">
        <v>90831</v>
      </c>
      <c r="C67" s="386" t="s">
        <v>187</v>
      </c>
      <c r="D67" s="387" t="s">
        <v>166</v>
      </c>
      <c r="E67" s="464"/>
      <c r="F67" s="464"/>
      <c r="G67" s="169"/>
      <c r="H67" s="169"/>
      <c r="I67" s="169"/>
      <c r="J67" s="169"/>
    </row>
    <row r="68" spans="1:10" s="167" customFormat="1" x14ac:dyDescent="0.25">
      <c r="A68" s="347">
        <v>1.8</v>
      </c>
      <c r="B68" s="348" t="s">
        <v>189</v>
      </c>
      <c r="C68" s="386"/>
      <c r="D68" s="277"/>
      <c r="E68" s="464"/>
      <c r="F68" s="464"/>
      <c r="G68" s="169"/>
      <c r="H68" s="169"/>
      <c r="I68" s="169"/>
      <c r="J68" s="169"/>
    </row>
    <row r="69" spans="1:10" s="167" customFormat="1" ht="30" x14ac:dyDescent="0.25">
      <c r="A69" s="384" t="s">
        <v>190</v>
      </c>
      <c r="B69" s="385">
        <v>88485</v>
      </c>
      <c r="C69" s="386" t="s">
        <v>192</v>
      </c>
      <c r="D69" s="277" t="s">
        <v>17</v>
      </c>
      <c r="E69" s="602" t="s">
        <v>1108</v>
      </c>
      <c r="F69" s="464">
        <f>128.4*2.5*2</f>
        <v>642</v>
      </c>
      <c r="G69" s="169"/>
      <c r="H69" s="169"/>
      <c r="I69" s="169"/>
      <c r="J69" s="169"/>
    </row>
    <row r="70" spans="1:10" s="167" customFormat="1" ht="22.5" x14ac:dyDescent="0.25">
      <c r="A70" s="384" t="s">
        <v>193</v>
      </c>
      <c r="B70" s="385">
        <v>88495</v>
      </c>
      <c r="C70" s="386" t="s">
        <v>195</v>
      </c>
      <c r="D70" s="277" t="s">
        <v>17</v>
      </c>
      <c r="E70" s="464"/>
      <c r="F70" s="464"/>
      <c r="G70" s="169"/>
      <c r="H70" s="169"/>
      <c r="I70" s="169"/>
      <c r="J70" s="169"/>
    </row>
    <row r="71" spans="1:10" s="167" customFormat="1" ht="22.5" x14ac:dyDescent="0.25">
      <c r="A71" s="384" t="s">
        <v>196</v>
      </c>
      <c r="B71" s="385">
        <v>88489</v>
      </c>
      <c r="C71" s="386" t="s">
        <v>198</v>
      </c>
      <c r="D71" s="277" t="s">
        <v>17</v>
      </c>
      <c r="E71" s="464"/>
      <c r="F71" s="464"/>
      <c r="G71" s="169"/>
      <c r="H71" s="169"/>
      <c r="I71" s="169"/>
      <c r="J71" s="169"/>
    </row>
    <row r="72" spans="1:10" s="167" customFormat="1" ht="22.5" x14ac:dyDescent="0.25">
      <c r="A72" s="384" t="s">
        <v>199</v>
      </c>
      <c r="B72" s="385">
        <v>88484</v>
      </c>
      <c r="C72" s="386" t="s">
        <v>201</v>
      </c>
      <c r="D72" s="277" t="s">
        <v>17</v>
      </c>
      <c r="E72" s="464"/>
      <c r="F72" s="464"/>
      <c r="G72" s="169"/>
      <c r="H72" s="169"/>
      <c r="I72" s="169"/>
      <c r="J72" s="169"/>
    </row>
    <row r="73" spans="1:10" s="167" customFormat="1" ht="22.5" x14ac:dyDescent="0.25">
      <c r="A73" s="384" t="s">
        <v>202</v>
      </c>
      <c r="B73" s="385">
        <v>88494</v>
      </c>
      <c r="C73" s="386" t="s">
        <v>204</v>
      </c>
      <c r="D73" s="277" t="s">
        <v>17</v>
      </c>
      <c r="E73" s="464"/>
      <c r="F73" s="464"/>
      <c r="G73" s="169"/>
      <c r="H73" s="169"/>
      <c r="I73" s="169"/>
      <c r="J73" s="169"/>
    </row>
    <row r="74" spans="1:10" s="167" customFormat="1" ht="22.5" x14ac:dyDescent="0.25">
      <c r="A74" s="384" t="s">
        <v>205</v>
      </c>
      <c r="B74" s="385">
        <v>88488</v>
      </c>
      <c r="C74" s="386" t="s">
        <v>207</v>
      </c>
      <c r="D74" s="277" t="s">
        <v>17</v>
      </c>
      <c r="E74" s="464"/>
      <c r="F74" s="464"/>
      <c r="G74" s="169"/>
      <c r="H74" s="169"/>
      <c r="I74" s="169"/>
      <c r="J74" s="169"/>
    </row>
    <row r="75" spans="1:10" s="167" customFormat="1" ht="14.45" customHeight="1" x14ac:dyDescent="0.25">
      <c r="A75" s="347" t="s">
        <v>208</v>
      </c>
      <c r="B75" s="348" t="s">
        <v>209</v>
      </c>
      <c r="C75" s="386"/>
      <c r="D75" s="277"/>
      <c r="E75" s="464"/>
      <c r="F75" s="464"/>
      <c r="G75" s="169"/>
      <c r="H75" s="169"/>
      <c r="I75" s="169"/>
      <c r="J75" s="169"/>
    </row>
    <row r="76" spans="1:10" s="167" customFormat="1" ht="33.75" x14ac:dyDescent="0.25">
      <c r="A76" s="384" t="s">
        <v>210</v>
      </c>
      <c r="B76" s="385">
        <v>87894</v>
      </c>
      <c r="C76" s="386" t="s">
        <v>212</v>
      </c>
      <c r="D76" s="277" t="s">
        <v>17</v>
      </c>
      <c r="E76" s="464"/>
      <c r="F76" s="464"/>
      <c r="G76" s="169"/>
      <c r="H76" s="169"/>
      <c r="I76" s="169"/>
      <c r="J76" s="169"/>
    </row>
    <row r="77" spans="1:10" s="167" customFormat="1" ht="45" x14ac:dyDescent="0.25">
      <c r="A77" s="384" t="s">
        <v>213</v>
      </c>
      <c r="B77" s="385">
        <v>104233</v>
      </c>
      <c r="C77" s="386" t="s">
        <v>215</v>
      </c>
      <c r="D77" s="277" t="s">
        <v>17</v>
      </c>
      <c r="E77" s="464"/>
      <c r="F77" s="464"/>
      <c r="G77" s="169"/>
      <c r="H77" s="169"/>
      <c r="I77" s="169"/>
      <c r="J77" s="169"/>
    </row>
    <row r="78" spans="1:10" s="167" customFormat="1" ht="33.75" x14ac:dyDescent="0.25">
      <c r="A78" s="384" t="s">
        <v>216</v>
      </c>
      <c r="B78" s="442" t="s">
        <v>217</v>
      </c>
      <c r="C78" s="391" t="s">
        <v>218</v>
      </c>
      <c r="D78" s="277" t="s">
        <v>17</v>
      </c>
      <c r="E78" s="464"/>
      <c r="F78" s="464"/>
      <c r="G78" s="169"/>
      <c r="H78" s="169"/>
      <c r="I78" s="169"/>
      <c r="J78" s="169"/>
    </row>
    <row r="79" spans="1:10" s="167" customFormat="1" ht="33.75" x14ac:dyDescent="0.25">
      <c r="A79" s="384" t="s">
        <v>219</v>
      </c>
      <c r="B79" s="442" t="s">
        <v>220</v>
      </c>
      <c r="C79" s="386" t="s">
        <v>221</v>
      </c>
      <c r="D79" s="277" t="s">
        <v>222</v>
      </c>
      <c r="E79" s="464"/>
      <c r="F79" s="464"/>
      <c r="G79" s="169"/>
      <c r="H79" s="169"/>
      <c r="I79" s="169"/>
      <c r="J79" s="169"/>
    </row>
    <row r="80" spans="1:10" s="167" customFormat="1" ht="22.5" x14ac:dyDescent="0.25">
      <c r="A80" s="384" t="s">
        <v>223</v>
      </c>
      <c r="B80" s="385">
        <v>88485</v>
      </c>
      <c r="C80" s="386" t="s">
        <v>192</v>
      </c>
      <c r="D80" s="277" t="s">
        <v>17</v>
      </c>
      <c r="E80" s="464"/>
      <c r="F80" s="464"/>
      <c r="G80" s="169"/>
      <c r="H80" s="169"/>
      <c r="I80" s="169"/>
      <c r="J80" s="169"/>
    </row>
    <row r="81" spans="1:10" s="167" customFormat="1" ht="22.5" x14ac:dyDescent="0.25">
      <c r="A81" s="384" t="s">
        <v>224</v>
      </c>
      <c r="B81" s="385">
        <v>96130</v>
      </c>
      <c r="C81" s="386" t="s">
        <v>226</v>
      </c>
      <c r="D81" s="277" t="s">
        <v>17</v>
      </c>
      <c r="E81" s="464"/>
      <c r="F81" s="464"/>
      <c r="G81" s="169"/>
      <c r="H81" s="169"/>
      <c r="I81" s="169"/>
      <c r="J81" s="169"/>
    </row>
    <row r="82" spans="1:10" s="167" customFormat="1" ht="22.5" x14ac:dyDescent="0.25">
      <c r="A82" s="384" t="s">
        <v>227</v>
      </c>
      <c r="B82" s="385">
        <v>88489</v>
      </c>
      <c r="C82" s="386" t="s">
        <v>198</v>
      </c>
      <c r="D82" s="277" t="s">
        <v>17</v>
      </c>
      <c r="E82" s="464"/>
      <c r="F82" s="464"/>
      <c r="G82" s="169"/>
      <c r="H82" s="169"/>
      <c r="I82" s="169"/>
      <c r="J82" s="169"/>
    </row>
    <row r="83" spans="1:10" s="167" customFormat="1" ht="14.45" customHeight="1" x14ac:dyDescent="0.25">
      <c r="A83" s="348">
        <v>1.1000000000000001</v>
      </c>
      <c r="B83" s="348" t="s">
        <v>229</v>
      </c>
      <c r="C83" s="386"/>
      <c r="D83" s="277"/>
      <c r="E83" s="464"/>
      <c r="F83" s="464"/>
      <c r="G83" s="169"/>
      <c r="H83" s="169"/>
      <c r="I83" s="169"/>
      <c r="J83" s="169"/>
    </row>
    <row r="84" spans="1:10" s="167" customFormat="1" ht="22.5" x14ac:dyDescent="0.25">
      <c r="A84" s="384" t="s">
        <v>230</v>
      </c>
      <c r="B84" s="385">
        <v>92868</v>
      </c>
      <c r="C84" s="386" t="s">
        <v>232</v>
      </c>
      <c r="D84" s="245" t="s">
        <v>166</v>
      </c>
      <c r="E84" s="464"/>
      <c r="F84" s="464"/>
      <c r="G84" s="169"/>
      <c r="H84" s="169"/>
      <c r="I84" s="169"/>
      <c r="J84" s="169"/>
    </row>
    <row r="85" spans="1:10" s="167" customFormat="1" ht="22.5" x14ac:dyDescent="0.25">
      <c r="A85" s="384" t="s">
        <v>233</v>
      </c>
      <c r="B85" s="385">
        <v>91937</v>
      </c>
      <c r="C85" s="386" t="s">
        <v>235</v>
      </c>
      <c r="D85" s="245" t="s">
        <v>166</v>
      </c>
      <c r="E85" s="464"/>
      <c r="F85" s="464"/>
      <c r="G85" s="169"/>
      <c r="H85" s="169"/>
      <c r="I85" s="169"/>
      <c r="J85" s="169"/>
    </row>
    <row r="86" spans="1:10" s="167" customFormat="1" ht="22.5" x14ac:dyDescent="0.25">
      <c r="A86" s="384" t="s">
        <v>236</v>
      </c>
      <c r="B86" s="385">
        <v>91924</v>
      </c>
      <c r="C86" s="386" t="s">
        <v>238</v>
      </c>
      <c r="D86" s="245" t="s">
        <v>37</v>
      </c>
      <c r="E86" s="464"/>
      <c r="F86" s="464"/>
      <c r="G86" s="169"/>
      <c r="H86" s="169"/>
      <c r="I86" s="169"/>
      <c r="J86" s="169"/>
    </row>
    <row r="87" spans="1:10" s="167" customFormat="1" ht="22.5" x14ac:dyDescent="0.25">
      <c r="A87" s="384" t="s">
        <v>239</v>
      </c>
      <c r="B87" s="385">
        <v>91926</v>
      </c>
      <c r="C87" s="386" t="s">
        <v>241</v>
      </c>
      <c r="D87" s="245" t="s">
        <v>37</v>
      </c>
      <c r="E87" s="464"/>
      <c r="F87" s="464"/>
      <c r="G87" s="169"/>
      <c r="H87" s="169"/>
      <c r="I87" s="169"/>
      <c r="J87" s="169"/>
    </row>
    <row r="88" spans="1:10" s="167" customFormat="1" ht="22.5" x14ac:dyDescent="0.25">
      <c r="A88" s="384" t="s">
        <v>242</v>
      </c>
      <c r="B88" s="385">
        <v>91928</v>
      </c>
      <c r="C88" s="391" t="s">
        <v>244</v>
      </c>
      <c r="D88" s="245" t="s">
        <v>37</v>
      </c>
      <c r="E88" s="464"/>
      <c r="F88" s="464"/>
      <c r="G88" s="169"/>
      <c r="H88" s="169"/>
      <c r="I88" s="169"/>
      <c r="J88" s="169"/>
    </row>
    <row r="89" spans="1:10" s="167" customFormat="1" ht="22.5" x14ac:dyDescent="0.25">
      <c r="A89" s="384" t="s">
        <v>245</v>
      </c>
      <c r="B89" s="385">
        <v>91931</v>
      </c>
      <c r="C89" s="386" t="s">
        <v>247</v>
      </c>
      <c r="D89" s="245" t="s">
        <v>37</v>
      </c>
      <c r="E89" s="464"/>
      <c r="F89" s="464"/>
      <c r="G89" s="169"/>
      <c r="H89" s="169"/>
      <c r="I89" s="169"/>
      <c r="J89" s="169"/>
    </row>
    <row r="90" spans="1:10" s="167" customFormat="1" ht="22.5" x14ac:dyDescent="0.25">
      <c r="A90" s="384" t="s">
        <v>248</v>
      </c>
      <c r="B90" s="385">
        <v>39773</v>
      </c>
      <c r="C90" s="386" t="s">
        <v>250</v>
      </c>
      <c r="D90" s="245" t="s">
        <v>166</v>
      </c>
      <c r="E90" s="464"/>
      <c r="F90" s="464"/>
      <c r="G90" s="169"/>
      <c r="H90" s="169"/>
      <c r="I90" s="169"/>
      <c r="J90" s="169"/>
    </row>
    <row r="91" spans="1:10" s="167" customFormat="1" ht="22.5" x14ac:dyDescent="0.25">
      <c r="A91" s="384" t="s">
        <v>251</v>
      </c>
      <c r="B91" s="385">
        <v>101890</v>
      </c>
      <c r="C91" s="386" t="s">
        <v>253</v>
      </c>
      <c r="D91" s="245" t="s">
        <v>166</v>
      </c>
      <c r="E91" s="464"/>
      <c r="F91" s="464"/>
      <c r="G91" s="169"/>
      <c r="H91" s="169"/>
      <c r="I91" s="169"/>
      <c r="J91" s="169"/>
    </row>
    <row r="92" spans="1:10" s="167" customFormat="1" ht="22.5" x14ac:dyDescent="0.25">
      <c r="A92" s="384" t="s">
        <v>254</v>
      </c>
      <c r="B92" s="385">
        <v>93670</v>
      </c>
      <c r="C92" s="386" t="s">
        <v>256</v>
      </c>
      <c r="D92" s="245" t="s">
        <v>166</v>
      </c>
      <c r="E92" s="464"/>
      <c r="F92" s="464"/>
      <c r="G92" s="169"/>
      <c r="H92" s="169"/>
      <c r="I92" s="169"/>
      <c r="J92" s="169"/>
    </row>
    <row r="93" spans="1:10" s="167" customFormat="1" ht="22.5" x14ac:dyDescent="0.25">
      <c r="A93" s="384" t="s">
        <v>257</v>
      </c>
      <c r="B93" s="385">
        <v>93671</v>
      </c>
      <c r="C93" s="386" t="s">
        <v>259</v>
      </c>
      <c r="D93" s="245" t="s">
        <v>166</v>
      </c>
      <c r="E93" s="464"/>
      <c r="F93" s="464"/>
      <c r="G93" s="169"/>
      <c r="H93" s="169"/>
      <c r="I93" s="169"/>
      <c r="J93" s="169"/>
    </row>
    <row r="94" spans="1:10" s="167" customFormat="1" ht="22.5" x14ac:dyDescent="0.25">
      <c r="A94" s="384" t="s">
        <v>260</v>
      </c>
      <c r="B94" s="385">
        <v>39466</v>
      </c>
      <c r="C94" s="386" t="s">
        <v>262</v>
      </c>
      <c r="D94" s="245" t="s">
        <v>166</v>
      </c>
      <c r="E94" s="464"/>
      <c r="F94" s="464"/>
      <c r="G94" s="169"/>
      <c r="H94" s="169"/>
      <c r="I94" s="169"/>
      <c r="J94" s="169"/>
    </row>
    <row r="95" spans="1:10" s="167" customFormat="1" ht="22.5" x14ac:dyDescent="0.25">
      <c r="A95" s="384" t="s">
        <v>263</v>
      </c>
      <c r="B95" s="385">
        <v>39445</v>
      </c>
      <c r="C95" s="386" t="s">
        <v>265</v>
      </c>
      <c r="D95" s="245" t="s">
        <v>166</v>
      </c>
      <c r="E95" s="464"/>
      <c r="F95" s="464"/>
      <c r="G95" s="169"/>
      <c r="H95" s="169"/>
      <c r="I95" s="169"/>
      <c r="J95" s="169"/>
    </row>
    <row r="96" spans="1:10" s="167" customFormat="1" ht="22.5" x14ac:dyDescent="0.25">
      <c r="A96" s="384" t="s">
        <v>266</v>
      </c>
      <c r="B96" s="385">
        <v>39446</v>
      </c>
      <c r="C96" s="386" t="s">
        <v>268</v>
      </c>
      <c r="D96" s="245" t="s">
        <v>166</v>
      </c>
      <c r="E96" s="464"/>
      <c r="F96" s="464"/>
      <c r="G96" s="169"/>
      <c r="H96" s="169"/>
      <c r="I96" s="169"/>
      <c r="J96" s="169"/>
    </row>
    <row r="97" spans="1:10" s="167" customFormat="1" ht="22.5" x14ac:dyDescent="0.25">
      <c r="A97" s="384" t="s">
        <v>269</v>
      </c>
      <c r="B97" s="385">
        <v>91953</v>
      </c>
      <c r="C97" s="386" t="s">
        <v>271</v>
      </c>
      <c r="D97" s="245" t="s">
        <v>166</v>
      </c>
      <c r="E97" s="464"/>
      <c r="F97" s="464"/>
      <c r="G97" s="169"/>
      <c r="H97" s="169"/>
      <c r="I97" s="169"/>
      <c r="J97" s="169"/>
    </row>
    <row r="98" spans="1:10" s="167" customFormat="1" ht="22.5" x14ac:dyDescent="0.25">
      <c r="A98" s="384" t="s">
        <v>272</v>
      </c>
      <c r="B98" s="385">
        <v>91967</v>
      </c>
      <c r="C98" s="386" t="s">
        <v>274</v>
      </c>
      <c r="D98" s="245" t="s">
        <v>166</v>
      </c>
      <c r="E98" s="464"/>
      <c r="F98" s="464"/>
      <c r="G98" s="169"/>
      <c r="H98" s="169"/>
      <c r="I98" s="169"/>
      <c r="J98" s="169"/>
    </row>
    <row r="99" spans="1:10" s="167" customFormat="1" ht="22.5" x14ac:dyDescent="0.25">
      <c r="A99" s="384" t="s">
        <v>275</v>
      </c>
      <c r="B99" s="385">
        <v>92000</v>
      </c>
      <c r="C99" s="386" t="s">
        <v>277</v>
      </c>
      <c r="D99" s="245" t="s">
        <v>166</v>
      </c>
      <c r="E99" s="464"/>
      <c r="F99" s="464"/>
      <c r="G99" s="169"/>
      <c r="H99" s="169"/>
      <c r="I99" s="169"/>
      <c r="J99" s="169"/>
    </row>
    <row r="100" spans="1:10" s="167" customFormat="1" ht="22.5" x14ac:dyDescent="0.25">
      <c r="A100" s="384" t="s">
        <v>278</v>
      </c>
      <c r="B100" s="385">
        <v>92008</v>
      </c>
      <c r="C100" s="386" t="s">
        <v>280</v>
      </c>
      <c r="D100" s="245" t="s">
        <v>166</v>
      </c>
      <c r="E100" s="464"/>
      <c r="F100" s="464"/>
      <c r="G100" s="169"/>
      <c r="H100" s="169"/>
      <c r="I100" s="169"/>
      <c r="J100" s="169"/>
    </row>
    <row r="101" spans="1:10" s="167" customFormat="1" ht="22.5" x14ac:dyDescent="0.25">
      <c r="A101" s="384" t="s">
        <v>281</v>
      </c>
      <c r="B101" s="385">
        <v>91959</v>
      </c>
      <c r="C101" s="391" t="s">
        <v>283</v>
      </c>
      <c r="D101" s="245" t="s">
        <v>166</v>
      </c>
      <c r="E101" s="464"/>
      <c r="F101" s="464"/>
      <c r="G101" s="169"/>
      <c r="H101" s="169"/>
      <c r="I101" s="169"/>
      <c r="J101" s="169"/>
    </row>
    <row r="102" spans="1:10" s="167" customFormat="1" ht="33.75" x14ac:dyDescent="0.25">
      <c r="A102" s="384" t="s">
        <v>284</v>
      </c>
      <c r="B102" s="385">
        <v>91834</v>
      </c>
      <c r="C102" s="391" t="s">
        <v>286</v>
      </c>
      <c r="D102" s="245" t="s">
        <v>37</v>
      </c>
      <c r="E102" s="464"/>
      <c r="F102" s="464"/>
      <c r="G102" s="169"/>
      <c r="H102" s="169"/>
      <c r="I102" s="169"/>
      <c r="J102" s="169"/>
    </row>
    <row r="103" spans="1:10" s="167" customFormat="1" ht="22.5" x14ac:dyDescent="0.25">
      <c r="A103" s="384" t="s">
        <v>287</v>
      </c>
      <c r="B103" s="385">
        <v>91868</v>
      </c>
      <c r="C103" s="386" t="s">
        <v>289</v>
      </c>
      <c r="D103" s="245" t="s">
        <v>37</v>
      </c>
      <c r="E103" s="464"/>
      <c r="F103" s="464"/>
      <c r="G103" s="169"/>
      <c r="H103" s="169"/>
      <c r="I103" s="169"/>
      <c r="J103" s="169"/>
    </row>
    <row r="104" spans="1:10" s="167" customFormat="1" ht="22.5" x14ac:dyDescent="0.25">
      <c r="A104" s="384" t="s">
        <v>290</v>
      </c>
      <c r="B104" s="385">
        <v>91867</v>
      </c>
      <c r="C104" s="386" t="s">
        <v>292</v>
      </c>
      <c r="D104" s="245" t="s">
        <v>37</v>
      </c>
      <c r="E104" s="464"/>
      <c r="F104" s="464"/>
      <c r="G104" s="169"/>
      <c r="H104" s="169"/>
      <c r="I104" s="169"/>
      <c r="J104" s="169"/>
    </row>
    <row r="105" spans="1:10" s="167" customFormat="1" ht="22.5" x14ac:dyDescent="0.25">
      <c r="A105" s="384" t="s">
        <v>293</v>
      </c>
      <c r="B105" s="385">
        <v>101654</v>
      </c>
      <c r="C105" s="386" t="s">
        <v>295</v>
      </c>
      <c r="D105" s="245" t="s">
        <v>166</v>
      </c>
      <c r="E105" s="464"/>
      <c r="F105" s="464"/>
      <c r="G105" s="169"/>
      <c r="H105" s="169"/>
      <c r="I105" s="169"/>
      <c r="J105" s="169"/>
    </row>
    <row r="106" spans="1:10" s="167" customFormat="1" ht="22.5" x14ac:dyDescent="0.25">
      <c r="A106" s="384" t="s">
        <v>296</v>
      </c>
      <c r="B106" s="385">
        <v>103782</v>
      </c>
      <c r="C106" s="386" t="s">
        <v>298</v>
      </c>
      <c r="D106" s="245" t="s">
        <v>166</v>
      </c>
      <c r="E106" s="464"/>
      <c r="F106" s="464"/>
      <c r="G106" s="169"/>
      <c r="H106" s="169"/>
      <c r="I106" s="169"/>
      <c r="J106" s="169"/>
    </row>
    <row r="107" spans="1:10" s="167" customFormat="1" ht="33.75" x14ac:dyDescent="0.25">
      <c r="A107" s="384" t="s">
        <v>299</v>
      </c>
      <c r="B107" s="385">
        <v>101509</v>
      </c>
      <c r="C107" s="386" t="s">
        <v>301</v>
      </c>
      <c r="D107" s="245" t="s">
        <v>166</v>
      </c>
      <c r="E107" s="464"/>
      <c r="F107" s="464"/>
      <c r="G107" s="169"/>
      <c r="H107" s="169"/>
      <c r="I107" s="169"/>
      <c r="J107" s="169"/>
    </row>
    <row r="108" spans="1:10" s="167" customFormat="1" ht="22.5" x14ac:dyDescent="0.25">
      <c r="A108" s="384" t="s">
        <v>302</v>
      </c>
      <c r="B108" s="385">
        <v>5044</v>
      </c>
      <c r="C108" s="386" t="s">
        <v>304</v>
      </c>
      <c r="D108" s="245" t="s">
        <v>166</v>
      </c>
      <c r="E108" s="464"/>
      <c r="F108" s="464"/>
      <c r="G108" s="169"/>
      <c r="H108" s="169"/>
      <c r="I108" s="169"/>
      <c r="J108" s="169"/>
    </row>
    <row r="109" spans="1:10" s="167" customFormat="1" ht="33.75" x14ac:dyDescent="0.25">
      <c r="A109" s="384" t="s">
        <v>305</v>
      </c>
      <c r="B109" s="385">
        <v>101879</v>
      </c>
      <c r="C109" s="386" t="s">
        <v>307</v>
      </c>
      <c r="D109" s="245" t="s">
        <v>166</v>
      </c>
      <c r="E109" s="464"/>
      <c r="F109" s="464"/>
      <c r="G109" s="169"/>
      <c r="H109" s="169"/>
      <c r="I109" s="169"/>
      <c r="J109" s="169"/>
    </row>
    <row r="110" spans="1:10" s="167" customFormat="1" ht="22.5" x14ac:dyDescent="0.25">
      <c r="A110" s="384" t="s">
        <v>308</v>
      </c>
      <c r="B110" s="385">
        <v>5044</v>
      </c>
      <c r="C110" s="386" t="s">
        <v>304</v>
      </c>
      <c r="D110" s="245" t="s">
        <v>166</v>
      </c>
      <c r="E110" s="464"/>
      <c r="F110" s="464"/>
      <c r="G110" s="169"/>
      <c r="H110" s="169"/>
      <c r="I110" s="169"/>
      <c r="J110" s="169"/>
    </row>
    <row r="111" spans="1:10" s="167" customFormat="1" ht="22.5" x14ac:dyDescent="0.25">
      <c r="A111" s="384" t="s">
        <v>309</v>
      </c>
      <c r="B111" s="385">
        <v>92023</v>
      </c>
      <c r="C111" s="386" t="s">
        <v>311</v>
      </c>
      <c r="D111" s="245" t="s">
        <v>166</v>
      </c>
      <c r="E111" s="464"/>
      <c r="F111" s="464"/>
      <c r="G111" s="169"/>
      <c r="H111" s="169"/>
      <c r="I111" s="169"/>
      <c r="J111" s="169"/>
    </row>
    <row r="112" spans="1:10" s="167" customFormat="1" x14ac:dyDescent="0.25">
      <c r="A112" s="347" t="s">
        <v>312</v>
      </c>
      <c r="B112" s="349" t="s">
        <v>313</v>
      </c>
      <c r="C112" s="386"/>
      <c r="D112" s="245"/>
      <c r="E112" s="464"/>
      <c r="F112" s="464"/>
      <c r="G112" s="169" t="s">
        <v>1106</v>
      </c>
      <c r="H112" s="169"/>
      <c r="I112" s="169"/>
      <c r="J112" s="169"/>
    </row>
    <row r="113" spans="1:10" s="167" customFormat="1" ht="22.5" x14ac:dyDescent="0.25">
      <c r="A113" s="384" t="s">
        <v>314</v>
      </c>
      <c r="B113" s="385">
        <v>96620</v>
      </c>
      <c r="C113" s="386" t="s">
        <v>316</v>
      </c>
      <c r="D113" s="277" t="s">
        <v>41</v>
      </c>
      <c r="E113" s="464"/>
      <c r="F113" s="464"/>
      <c r="G113" s="169"/>
      <c r="H113" s="169"/>
      <c r="I113" s="169"/>
      <c r="J113" s="169"/>
    </row>
    <row r="114" spans="1:10" s="167" customFormat="1" ht="45" x14ac:dyDescent="0.25">
      <c r="A114" s="384" t="s">
        <v>317</v>
      </c>
      <c r="B114" s="385">
        <v>94439</v>
      </c>
      <c r="C114" s="386" t="s">
        <v>319</v>
      </c>
      <c r="D114" s="277" t="s">
        <v>17</v>
      </c>
      <c r="E114" s="464" t="s">
        <v>1107</v>
      </c>
      <c r="F114" s="464">
        <f>597-116.27</f>
        <v>480.73</v>
      </c>
      <c r="G114" s="169"/>
      <c r="H114" s="169"/>
      <c r="I114" s="169"/>
      <c r="J114" s="169"/>
    </row>
    <row r="115" spans="1:10" s="167" customFormat="1" ht="33.75" x14ac:dyDescent="0.25">
      <c r="A115" s="384" t="s">
        <v>320</v>
      </c>
      <c r="B115" s="385">
        <v>87257</v>
      </c>
      <c r="C115" s="386" t="s">
        <v>322</v>
      </c>
      <c r="D115" s="277" t="s">
        <v>17</v>
      </c>
      <c r="E115" s="464"/>
      <c r="F115" s="464"/>
      <c r="G115" s="169"/>
      <c r="H115" s="169"/>
      <c r="I115" s="169"/>
      <c r="J115" s="169"/>
    </row>
    <row r="116" spans="1:10" s="167" customFormat="1" ht="22.5" x14ac:dyDescent="0.25">
      <c r="A116" s="384" t="s">
        <v>323</v>
      </c>
      <c r="B116" s="385">
        <v>92403</v>
      </c>
      <c r="C116" s="386" t="s">
        <v>325</v>
      </c>
      <c r="D116" s="277" t="s">
        <v>17</v>
      </c>
      <c r="E116" s="464"/>
      <c r="F116" s="464"/>
      <c r="G116" s="169"/>
      <c r="H116" s="169"/>
      <c r="I116" s="169"/>
      <c r="J116" s="169"/>
    </row>
    <row r="117" spans="1:10" s="167" customFormat="1" ht="45" x14ac:dyDescent="0.25">
      <c r="A117" s="384" t="s">
        <v>326</v>
      </c>
      <c r="B117" s="385">
        <v>94273</v>
      </c>
      <c r="C117" s="386" t="s">
        <v>328</v>
      </c>
      <c r="D117" s="277" t="s">
        <v>37</v>
      </c>
      <c r="E117" s="464"/>
      <c r="F117" s="464"/>
      <c r="G117" s="169"/>
      <c r="H117" s="169"/>
      <c r="I117" s="169"/>
      <c r="J117" s="169"/>
    </row>
    <row r="118" spans="1:10" s="167" customFormat="1" ht="22.5" x14ac:dyDescent="0.25">
      <c r="A118" s="384" t="s">
        <v>329</v>
      </c>
      <c r="B118" s="385">
        <v>368</v>
      </c>
      <c r="C118" s="386" t="s">
        <v>331</v>
      </c>
      <c r="D118" s="277" t="s">
        <v>41</v>
      </c>
      <c r="E118" s="464"/>
      <c r="F118" s="464"/>
      <c r="G118" s="169"/>
      <c r="H118" s="169"/>
      <c r="I118" s="169"/>
      <c r="J118" s="169"/>
    </row>
    <row r="119" spans="1:10" s="167" customFormat="1" x14ac:dyDescent="0.25">
      <c r="A119" s="384" t="s">
        <v>332</v>
      </c>
      <c r="B119" s="385">
        <v>98504</v>
      </c>
      <c r="C119" s="386" t="s">
        <v>334</v>
      </c>
      <c r="D119" s="277" t="s">
        <v>17</v>
      </c>
      <c r="E119" s="464"/>
      <c r="F119" s="464"/>
      <c r="G119" s="169"/>
      <c r="H119" s="169"/>
      <c r="I119" s="169"/>
      <c r="J119" s="169"/>
    </row>
    <row r="120" spans="1:10" s="167" customFormat="1" ht="22.5" x14ac:dyDescent="0.25">
      <c r="A120" s="384" t="s">
        <v>335</v>
      </c>
      <c r="B120" s="385">
        <v>103913</v>
      </c>
      <c r="C120" s="386" t="s">
        <v>337</v>
      </c>
      <c r="D120" s="277" t="s">
        <v>17</v>
      </c>
      <c r="E120" s="464"/>
      <c r="F120" s="464"/>
      <c r="G120" s="169"/>
      <c r="H120" s="169"/>
      <c r="I120" s="169"/>
      <c r="J120" s="169"/>
    </row>
    <row r="121" spans="1:10" s="167" customFormat="1" x14ac:dyDescent="0.25">
      <c r="A121" s="347" t="s">
        <v>338</v>
      </c>
      <c r="B121" s="349" t="s">
        <v>339</v>
      </c>
      <c r="C121" s="386"/>
      <c r="D121" s="277"/>
      <c r="E121" s="464"/>
      <c r="F121" s="464"/>
      <c r="G121" s="169"/>
      <c r="H121" s="169"/>
      <c r="I121" s="169"/>
      <c r="J121" s="169"/>
    </row>
    <row r="122" spans="1:10" s="167" customFormat="1" ht="33.75" x14ac:dyDescent="0.25">
      <c r="A122" s="384" t="s">
        <v>340</v>
      </c>
      <c r="B122" s="385">
        <v>94207</v>
      </c>
      <c r="C122" s="386" t="s">
        <v>342</v>
      </c>
      <c r="D122" s="277" t="s">
        <v>17</v>
      </c>
      <c r="E122" s="464"/>
      <c r="F122" s="464"/>
      <c r="G122" s="169"/>
      <c r="H122" s="169"/>
      <c r="I122" s="169"/>
      <c r="J122" s="169"/>
    </row>
    <row r="123" spans="1:10" s="167" customFormat="1" ht="30" x14ac:dyDescent="0.25">
      <c r="A123" s="384" t="s">
        <v>343</v>
      </c>
      <c r="B123" s="385">
        <v>98546</v>
      </c>
      <c r="C123" s="386" t="s">
        <v>345</v>
      </c>
      <c r="D123" s="277" t="s">
        <v>17</v>
      </c>
      <c r="E123" s="604" t="s">
        <v>1100</v>
      </c>
      <c r="F123" s="464">
        <f>1*(7.7+4.93+4.35+11.2+4.05+4.82+5)+0.3*9.82</f>
        <v>44.995999999999995</v>
      </c>
      <c r="G123" s="169"/>
      <c r="H123" s="169"/>
      <c r="I123" s="169"/>
      <c r="J123" s="169"/>
    </row>
    <row r="124" spans="1:10" s="167" customFormat="1" ht="30" x14ac:dyDescent="0.25">
      <c r="A124" s="384" t="s">
        <v>346</v>
      </c>
      <c r="B124" s="385">
        <v>98565</v>
      </c>
      <c r="C124" s="386" t="s">
        <v>348</v>
      </c>
      <c r="D124" s="277" t="s">
        <v>17</v>
      </c>
      <c r="E124" s="604" t="s">
        <v>1100</v>
      </c>
      <c r="F124" s="464">
        <f>1*(7.7+4.93+4.35+11.2+4.05+4.82+5)+0.3*9.82</f>
        <v>44.995999999999995</v>
      </c>
      <c r="G124" s="169"/>
      <c r="H124" s="169"/>
      <c r="I124" s="169"/>
      <c r="J124" s="169"/>
    </row>
    <row r="125" spans="1:10" s="167" customFormat="1" ht="45" x14ac:dyDescent="0.25">
      <c r="A125" s="384" t="s">
        <v>349</v>
      </c>
      <c r="B125" s="385">
        <v>100374</v>
      </c>
      <c r="C125" s="386" t="s">
        <v>351</v>
      </c>
      <c r="D125" s="277" t="s">
        <v>166</v>
      </c>
      <c r="E125" s="464"/>
      <c r="F125" s="464"/>
      <c r="G125" s="169"/>
      <c r="H125" s="169"/>
      <c r="I125" s="169"/>
      <c r="J125" s="169"/>
    </row>
    <row r="126" spans="1:10" s="167" customFormat="1" ht="45" x14ac:dyDescent="0.25">
      <c r="A126" s="384" t="s">
        <v>352</v>
      </c>
      <c r="B126" s="385">
        <v>100375</v>
      </c>
      <c r="C126" s="386" t="s">
        <v>354</v>
      </c>
      <c r="D126" s="277" t="s">
        <v>166</v>
      </c>
      <c r="E126" s="464"/>
      <c r="F126" s="464"/>
      <c r="G126" s="169"/>
      <c r="H126" s="169"/>
      <c r="I126" s="169"/>
      <c r="J126" s="169"/>
    </row>
    <row r="127" spans="1:10" s="167" customFormat="1" ht="33.75" x14ac:dyDescent="0.25">
      <c r="A127" s="384" t="s">
        <v>355</v>
      </c>
      <c r="B127" s="385">
        <v>92544</v>
      </c>
      <c r="C127" s="386" t="s">
        <v>357</v>
      </c>
      <c r="D127" s="277" t="s">
        <v>17</v>
      </c>
      <c r="E127" s="464"/>
      <c r="F127" s="464"/>
      <c r="G127" s="169"/>
      <c r="H127" s="169"/>
      <c r="I127" s="169"/>
      <c r="J127" s="169"/>
    </row>
    <row r="128" spans="1:10" s="167" customFormat="1" ht="22.5" x14ac:dyDescent="0.25">
      <c r="A128" s="384" t="s">
        <v>358</v>
      </c>
      <c r="B128" s="385">
        <v>100435</v>
      </c>
      <c r="C128" s="386" t="s">
        <v>360</v>
      </c>
      <c r="D128" s="277" t="s">
        <v>37</v>
      </c>
      <c r="E128" s="464"/>
      <c r="F128" s="464"/>
      <c r="G128" s="169"/>
      <c r="H128" s="169"/>
      <c r="I128" s="169"/>
      <c r="J128" s="169"/>
    </row>
    <row r="129" spans="1:10" s="167" customFormat="1" ht="22.5" x14ac:dyDescent="0.25">
      <c r="A129" s="384" t="s">
        <v>361</v>
      </c>
      <c r="B129" s="385">
        <v>94229</v>
      </c>
      <c r="C129" s="386" t="s">
        <v>363</v>
      </c>
      <c r="D129" s="277" t="s">
        <v>37</v>
      </c>
      <c r="E129" s="464" t="s">
        <v>1101</v>
      </c>
      <c r="F129" s="464">
        <f>26.3*2</f>
        <v>52.6</v>
      </c>
      <c r="G129" s="169"/>
      <c r="H129" s="169"/>
      <c r="I129" s="169"/>
      <c r="J129" s="169"/>
    </row>
    <row r="130" spans="1:10" s="167" customFormat="1" ht="22.5" x14ac:dyDescent="0.25">
      <c r="A130" s="384" t="s">
        <v>364</v>
      </c>
      <c r="B130" s="385">
        <v>96113</v>
      </c>
      <c r="C130" s="386" t="s">
        <v>366</v>
      </c>
      <c r="D130" s="277" t="s">
        <v>17</v>
      </c>
      <c r="E130" s="464"/>
      <c r="F130" s="464"/>
      <c r="G130" s="169"/>
      <c r="H130" s="169"/>
      <c r="I130" s="169"/>
      <c r="J130" s="169"/>
    </row>
    <row r="131" spans="1:10" s="167" customFormat="1" ht="14.45" customHeight="1" x14ac:dyDescent="0.25">
      <c r="A131" s="347">
        <v>1.1299999999999999</v>
      </c>
      <c r="B131" s="348" t="s">
        <v>368</v>
      </c>
      <c r="C131" s="386"/>
      <c r="D131" s="277"/>
      <c r="E131" s="464"/>
      <c r="F131" s="464"/>
      <c r="G131" s="169"/>
      <c r="H131" s="169"/>
      <c r="I131" s="169"/>
      <c r="J131" s="169"/>
    </row>
    <row r="132" spans="1:10" s="167" customFormat="1" ht="45" x14ac:dyDescent="0.25">
      <c r="A132" s="384" t="s">
        <v>369</v>
      </c>
      <c r="B132" s="385">
        <v>91785</v>
      </c>
      <c r="C132" s="386" t="s">
        <v>371</v>
      </c>
      <c r="D132" s="277" t="s">
        <v>37</v>
      </c>
      <c r="E132" s="464"/>
      <c r="F132" s="464"/>
      <c r="G132" s="169"/>
      <c r="H132" s="169"/>
      <c r="I132" s="169"/>
      <c r="J132" s="169"/>
    </row>
    <row r="133" spans="1:10" s="167" customFormat="1" ht="45" x14ac:dyDescent="0.25">
      <c r="A133" s="384" t="s">
        <v>372</v>
      </c>
      <c r="B133" s="385">
        <v>91784</v>
      </c>
      <c r="C133" s="386" t="s">
        <v>374</v>
      </c>
      <c r="D133" s="277" t="s">
        <v>37</v>
      </c>
      <c r="E133" s="464"/>
      <c r="F133" s="464"/>
      <c r="G133" s="169"/>
      <c r="H133" s="169"/>
      <c r="I133" s="169"/>
      <c r="J133" s="169"/>
    </row>
    <row r="134" spans="1:10" s="167" customFormat="1" ht="45" x14ac:dyDescent="0.25">
      <c r="A134" s="384" t="s">
        <v>375</v>
      </c>
      <c r="B134" s="385">
        <v>91786</v>
      </c>
      <c r="C134" s="386" t="s">
        <v>377</v>
      </c>
      <c r="D134" s="277" t="s">
        <v>37</v>
      </c>
      <c r="E134" s="464"/>
      <c r="F134" s="464"/>
      <c r="G134" s="169"/>
      <c r="H134" s="169"/>
      <c r="I134" s="169"/>
      <c r="J134" s="169"/>
    </row>
    <row r="135" spans="1:10" s="167" customFormat="1" ht="33.75" x14ac:dyDescent="0.25">
      <c r="A135" s="384" t="s">
        <v>378</v>
      </c>
      <c r="B135" s="385">
        <v>91787</v>
      </c>
      <c r="C135" s="386" t="s">
        <v>380</v>
      </c>
      <c r="D135" s="277" t="s">
        <v>37</v>
      </c>
      <c r="E135" s="464"/>
      <c r="F135" s="464"/>
      <c r="G135" s="169"/>
      <c r="H135" s="169"/>
      <c r="I135" s="169"/>
      <c r="J135" s="169"/>
    </row>
    <row r="136" spans="1:10" s="167" customFormat="1" ht="22.5" x14ac:dyDescent="0.25">
      <c r="A136" s="384" t="s">
        <v>381</v>
      </c>
      <c r="B136" s="385">
        <v>89987</v>
      </c>
      <c r="C136" s="386" t="s">
        <v>383</v>
      </c>
      <c r="D136" s="277" t="s">
        <v>166</v>
      </c>
      <c r="E136" s="464"/>
      <c r="F136" s="464"/>
      <c r="G136" s="169"/>
      <c r="H136" s="169"/>
      <c r="I136" s="169"/>
      <c r="J136" s="169"/>
    </row>
    <row r="137" spans="1:10" s="167" customFormat="1" ht="22.5" x14ac:dyDescent="0.25">
      <c r="A137" s="384" t="s">
        <v>384</v>
      </c>
      <c r="B137" s="385">
        <v>94490</v>
      </c>
      <c r="C137" s="386" t="s">
        <v>386</v>
      </c>
      <c r="D137" s="277" t="s">
        <v>166</v>
      </c>
      <c r="E137" s="464"/>
      <c r="F137" s="464"/>
      <c r="G137" s="169"/>
      <c r="H137" s="169"/>
      <c r="I137" s="169"/>
      <c r="J137" s="169"/>
    </row>
    <row r="138" spans="1:10" s="167" customFormat="1" ht="22.5" x14ac:dyDescent="0.25">
      <c r="A138" s="384" t="s">
        <v>387</v>
      </c>
      <c r="B138" s="385">
        <v>89985</v>
      </c>
      <c r="C138" s="386" t="s">
        <v>389</v>
      </c>
      <c r="D138" s="277" t="s">
        <v>166</v>
      </c>
      <c r="E138" s="464"/>
      <c r="F138" s="464"/>
      <c r="G138" s="169"/>
      <c r="H138" s="169"/>
      <c r="I138" s="169"/>
      <c r="J138" s="169"/>
    </row>
    <row r="139" spans="1:10" s="167" customFormat="1" ht="22.5" x14ac:dyDescent="0.25">
      <c r="A139" s="384" t="s">
        <v>390</v>
      </c>
      <c r="B139" s="385">
        <v>102613</v>
      </c>
      <c r="C139" s="386" t="s">
        <v>392</v>
      </c>
      <c r="D139" s="277" t="s">
        <v>166</v>
      </c>
      <c r="E139" s="464"/>
      <c r="F139" s="464"/>
      <c r="G139" s="169"/>
      <c r="H139" s="169"/>
      <c r="I139" s="169"/>
      <c r="J139" s="169"/>
    </row>
    <row r="140" spans="1:10" s="167" customFormat="1" ht="22.5" x14ac:dyDescent="0.25">
      <c r="A140" s="384" t="s">
        <v>393</v>
      </c>
      <c r="B140" s="385">
        <v>102609</v>
      </c>
      <c r="C140" s="386" t="s">
        <v>395</v>
      </c>
      <c r="D140" s="277" t="s">
        <v>166</v>
      </c>
      <c r="E140" s="464"/>
      <c r="F140" s="464"/>
      <c r="G140" s="169"/>
      <c r="H140" s="169"/>
      <c r="I140" s="169"/>
      <c r="J140" s="169"/>
    </row>
    <row r="141" spans="1:10" s="167" customFormat="1" ht="22.5" x14ac:dyDescent="0.25">
      <c r="A141" s="384" t="s">
        <v>396</v>
      </c>
      <c r="B141" s="385">
        <v>94796</v>
      </c>
      <c r="C141" s="386" t="s">
        <v>398</v>
      </c>
      <c r="D141" s="277" t="s">
        <v>166</v>
      </c>
      <c r="E141" s="464"/>
      <c r="F141" s="464"/>
      <c r="G141" s="169"/>
      <c r="H141" s="169"/>
      <c r="I141" s="169"/>
      <c r="J141" s="169"/>
    </row>
    <row r="142" spans="1:10" s="167" customFormat="1" ht="22.5" x14ac:dyDescent="0.25">
      <c r="A142" s="384" t="s">
        <v>399</v>
      </c>
      <c r="B142" s="385">
        <v>94491</v>
      </c>
      <c r="C142" s="386" t="s">
        <v>401</v>
      </c>
      <c r="D142" s="277" t="s">
        <v>166</v>
      </c>
      <c r="E142" s="464"/>
      <c r="F142" s="464"/>
      <c r="G142" s="169"/>
      <c r="H142" s="169"/>
      <c r="I142" s="169"/>
      <c r="J142" s="169"/>
    </row>
    <row r="143" spans="1:10" s="167" customFormat="1" ht="22.5" x14ac:dyDescent="0.25">
      <c r="A143" s="384" t="s">
        <v>402</v>
      </c>
      <c r="B143" s="385">
        <v>94492</v>
      </c>
      <c r="C143" s="386" t="s">
        <v>404</v>
      </c>
      <c r="D143" s="277" t="s">
        <v>166</v>
      </c>
      <c r="E143" s="464"/>
      <c r="F143" s="464"/>
      <c r="G143" s="169"/>
      <c r="H143" s="169"/>
      <c r="I143" s="169"/>
      <c r="J143" s="169"/>
    </row>
    <row r="144" spans="1:10" s="167" customFormat="1" x14ac:dyDescent="0.25">
      <c r="A144" s="384" t="s">
        <v>405</v>
      </c>
      <c r="B144" s="385">
        <v>95675</v>
      </c>
      <c r="C144" s="386" t="s">
        <v>407</v>
      </c>
      <c r="D144" s="277" t="s">
        <v>166</v>
      </c>
      <c r="E144" s="464"/>
      <c r="F144" s="464"/>
      <c r="G144" s="169"/>
      <c r="H144" s="169"/>
      <c r="I144" s="169"/>
      <c r="J144" s="169"/>
    </row>
    <row r="145" spans="1:10" s="167" customFormat="1" ht="33.75" x14ac:dyDescent="0.25">
      <c r="A145" s="384" t="s">
        <v>408</v>
      </c>
      <c r="B145" s="385">
        <v>97902</v>
      </c>
      <c r="C145" s="386" t="s">
        <v>410</v>
      </c>
      <c r="D145" s="277" t="s">
        <v>166</v>
      </c>
      <c r="E145" s="464"/>
      <c r="F145" s="464"/>
      <c r="G145" s="169"/>
      <c r="H145" s="169"/>
      <c r="I145" s="169"/>
      <c r="J145" s="169"/>
    </row>
    <row r="146" spans="1:10" s="167" customFormat="1" ht="33.75" x14ac:dyDescent="0.25">
      <c r="A146" s="384" t="s">
        <v>411</v>
      </c>
      <c r="B146" s="385">
        <v>99258</v>
      </c>
      <c r="C146" s="386" t="s">
        <v>413</v>
      </c>
      <c r="D146" s="277" t="s">
        <v>166</v>
      </c>
      <c r="E146" s="464"/>
      <c r="F146" s="464"/>
      <c r="G146" s="169"/>
      <c r="H146" s="169"/>
      <c r="I146" s="169"/>
      <c r="J146" s="169"/>
    </row>
    <row r="147" spans="1:10" s="167" customFormat="1" ht="22.5" x14ac:dyDescent="0.25">
      <c r="A147" s="384" t="s">
        <v>414</v>
      </c>
      <c r="B147" s="385">
        <v>89482</v>
      </c>
      <c r="C147" s="386" t="s">
        <v>416</v>
      </c>
      <c r="D147" s="277" t="s">
        <v>166</v>
      </c>
      <c r="E147" s="464"/>
      <c r="F147" s="464"/>
      <c r="G147" s="169"/>
      <c r="H147" s="169"/>
      <c r="I147" s="169"/>
      <c r="J147" s="169"/>
    </row>
    <row r="148" spans="1:10" s="167" customFormat="1" ht="45" x14ac:dyDescent="0.25">
      <c r="A148" s="384" t="s">
        <v>417</v>
      </c>
      <c r="B148" s="385">
        <v>91792</v>
      </c>
      <c r="C148" s="386" t="s">
        <v>419</v>
      </c>
      <c r="D148" s="277" t="s">
        <v>37</v>
      </c>
      <c r="E148" s="464"/>
      <c r="F148" s="464"/>
      <c r="G148" s="169"/>
      <c r="H148" s="169"/>
      <c r="I148" s="169"/>
      <c r="J148" s="169"/>
    </row>
    <row r="149" spans="1:10" s="167" customFormat="1" ht="45" x14ac:dyDescent="0.25">
      <c r="A149" s="384" t="s">
        <v>420</v>
      </c>
      <c r="B149" s="385">
        <v>91793</v>
      </c>
      <c r="C149" s="386" t="s">
        <v>422</v>
      </c>
      <c r="D149" s="277" t="s">
        <v>37</v>
      </c>
      <c r="E149" s="464"/>
      <c r="F149" s="464"/>
      <c r="G149" s="169"/>
      <c r="H149" s="169"/>
      <c r="I149" s="169"/>
      <c r="J149" s="169"/>
    </row>
    <row r="150" spans="1:10" s="167" customFormat="1" ht="33.75" x14ac:dyDescent="0.25">
      <c r="A150" s="384" t="s">
        <v>423</v>
      </c>
      <c r="B150" s="385">
        <v>98107</v>
      </c>
      <c r="C150" s="386" t="s">
        <v>425</v>
      </c>
      <c r="D150" s="277" t="s">
        <v>166</v>
      </c>
      <c r="E150" s="464"/>
      <c r="F150" s="464"/>
      <c r="G150" s="169"/>
      <c r="H150" s="169"/>
      <c r="I150" s="169"/>
      <c r="J150" s="169"/>
    </row>
    <row r="151" spans="1:10" s="167" customFormat="1" ht="45" x14ac:dyDescent="0.25">
      <c r="A151" s="384" t="s">
        <v>426</v>
      </c>
      <c r="B151" s="385">
        <v>91795</v>
      </c>
      <c r="C151" s="386" t="s">
        <v>428</v>
      </c>
      <c r="D151" s="277" t="s">
        <v>37</v>
      </c>
      <c r="E151" s="464"/>
      <c r="F151" s="464"/>
      <c r="G151" s="169"/>
      <c r="H151" s="169"/>
      <c r="I151" s="169"/>
      <c r="J151" s="169"/>
    </row>
    <row r="152" spans="1:10" s="167" customFormat="1" ht="33.75" x14ac:dyDescent="0.25">
      <c r="A152" s="384" t="s">
        <v>429</v>
      </c>
      <c r="B152" s="385">
        <v>99251</v>
      </c>
      <c r="C152" s="391" t="s">
        <v>431</v>
      </c>
      <c r="D152" s="277" t="s">
        <v>166</v>
      </c>
      <c r="E152" s="464"/>
      <c r="F152" s="464"/>
      <c r="G152" s="169"/>
      <c r="H152" s="169"/>
      <c r="I152" s="169"/>
      <c r="J152" s="169"/>
    </row>
    <row r="153" spans="1:10" s="167" customFormat="1" ht="45" x14ac:dyDescent="0.25">
      <c r="A153" s="384" t="s">
        <v>432</v>
      </c>
      <c r="B153" s="385">
        <v>91790</v>
      </c>
      <c r="C153" s="391" t="s">
        <v>434</v>
      </c>
      <c r="D153" s="277" t="s">
        <v>37</v>
      </c>
      <c r="E153" s="464"/>
      <c r="F153" s="464"/>
      <c r="G153" s="169"/>
      <c r="H153" s="169"/>
      <c r="I153" s="169"/>
      <c r="J153" s="169"/>
    </row>
    <row r="154" spans="1:10" s="167" customFormat="1" ht="14.45" customHeight="1" x14ac:dyDescent="0.25">
      <c r="A154" s="347">
        <v>1.1399999999999999</v>
      </c>
      <c r="B154" s="348" t="s">
        <v>436</v>
      </c>
      <c r="C154" s="386"/>
      <c r="D154" s="277"/>
      <c r="E154" s="464"/>
      <c r="F154" s="464"/>
      <c r="G154" s="169"/>
      <c r="H154" s="169"/>
      <c r="I154" s="169"/>
      <c r="J154" s="169"/>
    </row>
    <row r="155" spans="1:10" s="167" customFormat="1" ht="22.5" x14ac:dyDescent="0.25">
      <c r="A155" s="384" t="s">
        <v>437</v>
      </c>
      <c r="B155" s="442" t="s">
        <v>438</v>
      </c>
      <c r="C155" s="386" t="s">
        <v>439</v>
      </c>
      <c r="D155" s="277" t="s">
        <v>17</v>
      </c>
      <c r="E155" s="464"/>
      <c r="F155" s="464"/>
      <c r="G155" s="169"/>
      <c r="H155" s="169"/>
      <c r="I155" s="169"/>
      <c r="J155" s="169"/>
    </row>
    <row r="156" spans="1:10" s="167" customFormat="1" ht="22.5" x14ac:dyDescent="0.25">
      <c r="A156" s="384" t="s">
        <v>440</v>
      </c>
      <c r="B156" s="385">
        <v>86906</v>
      </c>
      <c r="C156" s="391" t="s">
        <v>442</v>
      </c>
      <c r="D156" s="277" t="s">
        <v>166</v>
      </c>
      <c r="E156" s="464"/>
      <c r="F156" s="464"/>
      <c r="G156" s="169"/>
      <c r="H156" s="169"/>
      <c r="I156" s="169"/>
      <c r="J156" s="169"/>
    </row>
    <row r="157" spans="1:10" s="167" customFormat="1" ht="22.5" x14ac:dyDescent="0.25">
      <c r="A157" s="384" t="s">
        <v>443</v>
      </c>
      <c r="B157" s="385">
        <v>86911</v>
      </c>
      <c r="C157" s="386" t="s">
        <v>445</v>
      </c>
      <c r="D157" s="277" t="s">
        <v>166</v>
      </c>
      <c r="E157" s="464"/>
      <c r="F157" s="464"/>
      <c r="G157" s="169"/>
      <c r="H157" s="169"/>
      <c r="I157" s="169"/>
      <c r="J157" s="169"/>
    </row>
    <row r="158" spans="1:10" s="167" customFormat="1" ht="22.5" x14ac:dyDescent="0.25">
      <c r="A158" s="384" t="s">
        <v>446</v>
      </c>
      <c r="B158" s="385">
        <v>10428</v>
      </c>
      <c r="C158" s="386" t="s">
        <v>448</v>
      </c>
      <c r="D158" s="277" t="s">
        <v>166</v>
      </c>
      <c r="E158" s="464"/>
      <c r="F158" s="464"/>
      <c r="G158" s="169"/>
      <c r="H158" s="169"/>
      <c r="I158" s="169"/>
      <c r="J158" s="169"/>
    </row>
    <row r="159" spans="1:10" s="167" customFormat="1" ht="33.75" x14ac:dyDescent="0.25">
      <c r="A159" s="384" t="s">
        <v>449</v>
      </c>
      <c r="B159" s="385">
        <v>86932</v>
      </c>
      <c r="C159" s="386" t="s">
        <v>451</v>
      </c>
      <c r="D159" s="277" t="s">
        <v>166</v>
      </c>
      <c r="E159" s="464"/>
      <c r="F159" s="464"/>
      <c r="G159" s="169"/>
      <c r="H159" s="169"/>
      <c r="I159" s="169"/>
      <c r="J159" s="169"/>
    </row>
    <row r="160" spans="1:10" s="167" customFormat="1" ht="33.75" x14ac:dyDescent="0.25">
      <c r="A160" s="384" t="s">
        <v>452</v>
      </c>
      <c r="B160" s="385">
        <v>86935</v>
      </c>
      <c r="C160" s="386" t="s">
        <v>454</v>
      </c>
      <c r="D160" s="277" t="s">
        <v>166</v>
      </c>
      <c r="E160" s="464"/>
      <c r="F160" s="464"/>
      <c r="G160" s="169"/>
      <c r="H160" s="169"/>
      <c r="I160" s="169"/>
      <c r="J160" s="169"/>
    </row>
    <row r="161" spans="1:10" s="167" customFormat="1" ht="22.5" x14ac:dyDescent="0.25">
      <c r="A161" s="384" t="s">
        <v>455</v>
      </c>
      <c r="B161" s="385">
        <v>100868</v>
      </c>
      <c r="C161" s="386" t="s">
        <v>457</v>
      </c>
      <c r="D161" s="277" t="s">
        <v>166</v>
      </c>
      <c r="E161" s="464"/>
      <c r="F161" s="464"/>
      <c r="G161" s="169"/>
      <c r="H161" s="169"/>
      <c r="I161" s="169"/>
      <c r="J161" s="169"/>
    </row>
    <row r="162" spans="1:10" s="167" customFormat="1" ht="45" x14ac:dyDescent="0.25">
      <c r="A162" s="384" t="s">
        <v>458</v>
      </c>
      <c r="B162" s="385">
        <v>86942</v>
      </c>
      <c r="C162" s="386" t="s">
        <v>460</v>
      </c>
      <c r="D162" s="277" t="s">
        <v>166</v>
      </c>
      <c r="E162" s="464"/>
      <c r="F162" s="464"/>
      <c r="G162" s="169"/>
      <c r="H162" s="169"/>
      <c r="I162" s="169"/>
      <c r="J162" s="169"/>
    </row>
    <row r="163" spans="1:10" s="167" customFormat="1" ht="33.75" x14ac:dyDescent="0.25">
      <c r="A163" s="384" t="s">
        <v>461</v>
      </c>
      <c r="B163" s="385">
        <v>86923</v>
      </c>
      <c r="C163" s="386" t="s">
        <v>463</v>
      </c>
      <c r="D163" s="277" t="s">
        <v>166</v>
      </c>
      <c r="E163" s="464"/>
      <c r="F163" s="464"/>
      <c r="G163" s="169"/>
      <c r="H163" s="169"/>
      <c r="I163" s="169"/>
      <c r="J163" s="169"/>
    </row>
    <row r="164" spans="1:10" s="167" customFormat="1" ht="33.75" x14ac:dyDescent="0.25">
      <c r="A164" s="384" t="s">
        <v>464</v>
      </c>
      <c r="B164" s="385">
        <v>95472</v>
      </c>
      <c r="C164" s="386" t="s">
        <v>466</v>
      </c>
      <c r="D164" s="277" t="s">
        <v>166</v>
      </c>
      <c r="E164" s="464"/>
      <c r="F164" s="464"/>
      <c r="G164" s="169"/>
      <c r="H164" s="169"/>
      <c r="I164" s="169"/>
      <c r="J164" s="169"/>
    </row>
    <row r="165" spans="1:10" s="167" customFormat="1" ht="33.75" x14ac:dyDescent="0.25">
      <c r="A165" s="384" t="s">
        <v>467</v>
      </c>
      <c r="B165" s="385">
        <v>102253</v>
      </c>
      <c r="C165" s="386" t="s">
        <v>469</v>
      </c>
      <c r="D165" s="277" t="s">
        <v>17</v>
      </c>
      <c r="E165" s="464"/>
      <c r="F165" s="464"/>
      <c r="G165" s="169"/>
      <c r="H165" s="169"/>
      <c r="I165" s="169"/>
      <c r="J165" s="169"/>
    </row>
    <row r="166" spans="1:10" s="167" customFormat="1" ht="22.5" x14ac:dyDescent="0.25">
      <c r="A166" s="384" t="s">
        <v>470</v>
      </c>
      <c r="B166" s="385">
        <v>100860</v>
      </c>
      <c r="C166" s="386" t="s">
        <v>472</v>
      </c>
      <c r="D166" s="277" t="s">
        <v>166</v>
      </c>
      <c r="E166" s="464"/>
      <c r="F166" s="464"/>
      <c r="G166" s="169"/>
      <c r="H166" s="169"/>
      <c r="I166" s="169"/>
      <c r="J166" s="169"/>
    </row>
    <row r="167" spans="1:10" s="167" customFormat="1" ht="14.45" customHeight="1" x14ac:dyDescent="0.25">
      <c r="A167" s="347">
        <v>1.1499999999999999</v>
      </c>
      <c r="B167" s="348" t="s">
        <v>474</v>
      </c>
      <c r="C167" s="386"/>
      <c r="D167" s="277"/>
      <c r="E167" s="464"/>
      <c r="F167" s="464"/>
      <c r="G167" s="169"/>
      <c r="H167" s="169"/>
      <c r="I167" s="169"/>
      <c r="J167" s="169"/>
    </row>
    <row r="168" spans="1:10" s="167" customFormat="1" ht="22.5" x14ac:dyDescent="0.25">
      <c r="A168" s="384" t="s">
        <v>475</v>
      </c>
      <c r="B168" s="385">
        <v>99059</v>
      </c>
      <c r="C168" s="386" t="s">
        <v>36</v>
      </c>
      <c r="D168" s="277" t="s">
        <v>37</v>
      </c>
      <c r="E168" s="464"/>
      <c r="F168" s="464"/>
      <c r="G168" s="169"/>
      <c r="H168" s="169"/>
      <c r="I168" s="169"/>
      <c r="J168" s="169"/>
    </row>
    <row r="169" spans="1:10" s="167" customFormat="1" ht="22.5" x14ac:dyDescent="0.25">
      <c r="A169" s="384" t="s">
        <v>476</v>
      </c>
      <c r="B169" s="385">
        <v>93358</v>
      </c>
      <c r="C169" s="386" t="s">
        <v>40</v>
      </c>
      <c r="D169" s="277" t="s">
        <v>41</v>
      </c>
      <c r="E169" s="464"/>
      <c r="F169" s="464"/>
      <c r="G169" s="169"/>
      <c r="H169" s="169"/>
      <c r="I169" s="169"/>
      <c r="J169" s="169"/>
    </row>
    <row r="170" spans="1:10" s="167" customFormat="1" x14ac:dyDescent="0.25">
      <c r="A170" s="384" t="s">
        <v>477</v>
      </c>
      <c r="B170" s="385">
        <v>96995</v>
      </c>
      <c r="C170" s="386" t="s">
        <v>44</v>
      </c>
      <c r="D170" s="277" t="s">
        <v>41</v>
      </c>
      <c r="E170" s="464"/>
      <c r="F170" s="464"/>
      <c r="G170" s="169"/>
      <c r="H170" s="169"/>
      <c r="I170" s="169"/>
      <c r="J170" s="169"/>
    </row>
    <row r="171" spans="1:10" s="168" customFormat="1" ht="22.5" x14ac:dyDescent="0.25">
      <c r="A171" s="384" t="s">
        <v>478</v>
      </c>
      <c r="B171" s="385">
        <v>93205</v>
      </c>
      <c r="C171" s="386" t="s">
        <v>480</v>
      </c>
      <c r="D171" s="277" t="s">
        <v>37</v>
      </c>
      <c r="E171" s="464"/>
      <c r="F171" s="464"/>
      <c r="G171" s="169"/>
      <c r="H171" s="169"/>
      <c r="I171" s="169"/>
      <c r="J171" s="169"/>
    </row>
    <row r="172" spans="1:10" s="167" customFormat="1" ht="22.5" x14ac:dyDescent="0.25">
      <c r="A172" s="384" t="s">
        <v>481</v>
      </c>
      <c r="B172" s="385">
        <v>101616</v>
      </c>
      <c r="C172" s="386" t="s">
        <v>55</v>
      </c>
      <c r="D172" s="277" t="s">
        <v>17</v>
      </c>
      <c r="E172" s="464"/>
      <c r="F172" s="464"/>
      <c r="G172" s="169"/>
      <c r="H172" s="169"/>
      <c r="I172" s="169"/>
      <c r="J172" s="169"/>
    </row>
    <row r="173" spans="1:10" s="167" customFormat="1" ht="22.5" x14ac:dyDescent="0.25">
      <c r="A173" s="384" t="s">
        <v>482</v>
      </c>
      <c r="B173" s="385">
        <v>96619</v>
      </c>
      <c r="C173" s="386" t="s">
        <v>58</v>
      </c>
      <c r="D173" s="277" t="s">
        <v>17</v>
      </c>
      <c r="E173" s="464"/>
      <c r="F173" s="464"/>
      <c r="G173" s="169"/>
      <c r="H173" s="169"/>
      <c r="I173" s="169"/>
      <c r="J173" s="169"/>
    </row>
    <row r="174" spans="1:10" s="167" customFormat="1" ht="22.5" x14ac:dyDescent="0.25">
      <c r="A174" s="384" t="s">
        <v>483</v>
      </c>
      <c r="B174" s="385">
        <v>96545</v>
      </c>
      <c r="C174" s="391" t="s">
        <v>61</v>
      </c>
      <c r="D174" s="277" t="s">
        <v>62</v>
      </c>
      <c r="E174" s="464"/>
      <c r="F174" s="464"/>
      <c r="G174" s="169"/>
      <c r="H174" s="169"/>
      <c r="I174" s="169"/>
      <c r="J174" s="169"/>
    </row>
    <row r="175" spans="1:10" s="168" customFormat="1" ht="33.75" x14ac:dyDescent="0.25">
      <c r="A175" s="384" t="s">
        <v>484</v>
      </c>
      <c r="B175" s="385">
        <v>94966</v>
      </c>
      <c r="C175" s="391" t="s">
        <v>65</v>
      </c>
      <c r="D175" s="277" t="s">
        <v>41</v>
      </c>
      <c r="E175" s="464"/>
      <c r="F175" s="464"/>
      <c r="G175" s="169"/>
      <c r="H175" s="169"/>
      <c r="I175" s="169"/>
      <c r="J175" s="169"/>
    </row>
    <row r="176" spans="1:10" s="167" customFormat="1" ht="41.45" customHeight="1" x14ac:dyDescent="0.25">
      <c r="A176" s="384" t="s">
        <v>485</v>
      </c>
      <c r="B176" s="385">
        <v>103800</v>
      </c>
      <c r="C176" s="386" t="s">
        <v>487</v>
      </c>
      <c r="D176" s="277" t="s">
        <v>41</v>
      </c>
      <c r="E176" s="464"/>
      <c r="F176" s="464"/>
      <c r="G176" s="169"/>
      <c r="H176" s="169"/>
      <c r="I176" s="169"/>
      <c r="J176" s="169"/>
    </row>
    <row r="177" spans="1:10" s="168" customFormat="1" ht="22.5" x14ac:dyDescent="0.25">
      <c r="A177" s="384" t="s">
        <v>488</v>
      </c>
      <c r="B177" s="385">
        <v>103670</v>
      </c>
      <c r="C177" s="386" t="s">
        <v>71</v>
      </c>
      <c r="D177" s="277" t="s">
        <v>41</v>
      </c>
      <c r="E177" s="464"/>
      <c r="F177" s="464"/>
      <c r="G177" s="169"/>
      <c r="H177" s="169"/>
      <c r="I177" s="169"/>
      <c r="J177" s="169"/>
    </row>
    <row r="178" spans="1:10" s="168" customFormat="1" ht="22.5" x14ac:dyDescent="0.25">
      <c r="A178" s="384" t="s">
        <v>489</v>
      </c>
      <c r="B178" s="385">
        <v>96543</v>
      </c>
      <c r="C178" s="386" t="s">
        <v>74</v>
      </c>
      <c r="D178" s="277" t="s">
        <v>62</v>
      </c>
      <c r="E178" s="464"/>
      <c r="F178" s="464"/>
      <c r="G178" s="169"/>
      <c r="H178" s="169"/>
      <c r="I178" s="169"/>
      <c r="J178" s="169"/>
    </row>
    <row r="179" spans="1:10" s="168" customFormat="1" ht="22.5" x14ac:dyDescent="0.25">
      <c r="A179" s="384" t="s">
        <v>490</v>
      </c>
      <c r="B179" s="385">
        <v>96546</v>
      </c>
      <c r="C179" s="391" t="s">
        <v>80</v>
      </c>
      <c r="D179" s="277" t="s">
        <v>62</v>
      </c>
      <c r="E179" s="464"/>
      <c r="F179" s="464"/>
      <c r="G179" s="169"/>
      <c r="H179" s="169"/>
      <c r="I179" s="169"/>
      <c r="J179" s="169"/>
    </row>
    <row r="180" spans="1:10" s="168" customFormat="1" ht="22.5" x14ac:dyDescent="0.25">
      <c r="A180" s="384" t="s">
        <v>491</v>
      </c>
      <c r="B180" s="385">
        <v>96536</v>
      </c>
      <c r="C180" s="386" t="s">
        <v>86</v>
      </c>
      <c r="D180" s="277" t="s">
        <v>17</v>
      </c>
      <c r="E180" s="464"/>
      <c r="F180" s="464"/>
      <c r="G180" s="169"/>
      <c r="H180" s="169"/>
      <c r="I180" s="169"/>
      <c r="J180" s="169"/>
    </row>
    <row r="181" spans="1:10" s="169" customFormat="1" ht="22.5" x14ac:dyDescent="0.25">
      <c r="A181" s="384" t="s">
        <v>492</v>
      </c>
      <c r="B181" s="385">
        <v>98557</v>
      </c>
      <c r="C181" s="386" t="s">
        <v>89</v>
      </c>
      <c r="D181" s="277" t="s">
        <v>17</v>
      </c>
      <c r="E181" s="464"/>
      <c r="F181" s="464"/>
    </row>
    <row r="182" spans="1:10" s="169" customFormat="1" ht="33.75" x14ac:dyDescent="0.25">
      <c r="A182" s="384" t="s">
        <v>493</v>
      </c>
      <c r="B182" s="385">
        <v>103356</v>
      </c>
      <c r="C182" s="386" t="s">
        <v>137</v>
      </c>
      <c r="D182" s="277" t="s">
        <v>17</v>
      </c>
      <c r="E182" s="464"/>
      <c r="F182" s="464"/>
    </row>
    <row r="183" spans="1:10" s="169" customFormat="1" ht="33.75" x14ac:dyDescent="0.25">
      <c r="A183" s="384" t="s">
        <v>494</v>
      </c>
      <c r="B183" s="385">
        <v>87893</v>
      </c>
      <c r="C183" s="386" t="s">
        <v>151</v>
      </c>
      <c r="D183" s="277" t="s">
        <v>17</v>
      </c>
      <c r="E183" s="464"/>
      <c r="F183" s="464"/>
    </row>
    <row r="184" spans="1:10" s="167" customFormat="1" ht="33.75" x14ac:dyDescent="0.25">
      <c r="A184" s="384" t="s">
        <v>495</v>
      </c>
      <c r="B184" s="385">
        <v>87548</v>
      </c>
      <c r="C184" s="386" t="s">
        <v>154</v>
      </c>
      <c r="D184" s="277" t="s">
        <v>17</v>
      </c>
      <c r="E184" s="464"/>
      <c r="F184" s="464"/>
      <c r="G184" s="169"/>
      <c r="H184" s="169"/>
      <c r="I184" s="169"/>
      <c r="J184" s="169"/>
    </row>
    <row r="185" spans="1:10" s="167" customFormat="1" ht="22.5" x14ac:dyDescent="0.25">
      <c r="A185" s="384" t="s">
        <v>496</v>
      </c>
      <c r="B185" s="385">
        <v>88489</v>
      </c>
      <c r="C185" s="386" t="s">
        <v>198</v>
      </c>
      <c r="D185" s="277" t="s">
        <v>17</v>
      </c>
      <c r="E185" s="464"/>
      <c r="F185" s="464"/>
      <c r="G185" s="169"/>
      <c r="H185" s="169"/>
      <c r="I185" s="169"/>
      <c r="J185" s="169"/>
    </row>
    <row r="186" spans="1:10" s="167" customFormat="1" ht="22.5" x14ac:dyDescent="0.25">
      <c r="A186" s="384" t="s">
        <v>497</v>
      </c>
      <c r="B186" s="385">
        <v>95305</v>
      </c>
      <c r="C186" s="386" t="s">
        <v>499</v>
      </c>
      <c r="D186" s="277" t="s">
        <v>17</v>
      </c>
      <c r="E186" s="464"/>
      <c r="F186" s="464"/>
      <c r="G186" s="169"/>
      <c r="H186" s="169"/>
      <c r="I186" s="169"/>
      <c r="J186" s="169"/>
    </row>
    <row r="187" spans="1:10" s="167" customFormat="1" ht="14.45" customHeight="1" x14ac:dyDescent="0.25">
      <c r="A187" s="347">
        <v>1.1599999999999999</v>
      </c>
      <c r="B187" s="348" t="s">
        <v>501</v>
      </c>
      <c r="C187" s="386"/>
      <c r="D187" s="277"/>
      <c r="E187" s="464"/>
      <c r="F187" s="464"/>
      <c r="G187" s="169"/>
      <c r="H187" s="169"/>
      <c r="I187" s="169"/>
      <c r="J187" s="169"/>
    </row>
    <row r="188" spans="1:10" s="167" customFormat="1" ht="33.75" x14ac:dyDescent="0.25">
      <c r="A188" s="384" t="s">
        <v>502</v>
      </c>
      <c r="B188" s="442" t="s">
        <v>503</v>
      </c>
      <c r="C188" s="386" t="s">
        <v>504</v>
      </c>
      <c r="D188" s="277" t="s">
        <v>166</v>
      </c>
      <c r="E188" s="464"/>
      <c r="F188" s="464"/>
      <c r="G188" s="169"/>
      <c r="H188" s="169"/>
      <c r="I188" s="169"/>
      <c r="J188" s="169"/>
    </row>
    <row r="189" spans="1:10" s="167" customFormat="1" ht="33.75" x14ac:dyDescent="0.25">
      <c r="A189" s="384" t="s">
        <v>505</v>
      </c>
      <c r="B189" s="442" t="s">
        <v>506</v>
      </c>
      <c r="C189" s="448" t="s">
        <v>507</v>
      </c>
      <c r="D189" s="277" t="s">
        <v>166</v>
      </c>
      <c r="E189" s="464"/>
      <c r="F189" s="464"/>
      <c r="G189" s="169"/>
      <c r="H189" s="169"/>
      <c r="I189" s="169"/>
      <c r="J189" s="169"/>
    </row>
    <row r="190" spans="1:10" s="167" customFormat="1" x14ac:dyDescent="0.25">
      <c r="A190" s="455">
        <v>1.17</v>
      </c>
      <c r="B190" s="456" t="s">
        <v>1030</v>
      </c>
      <c r="C190" s="457"/>
      <c r="D190" s="458"/>
      <c r="E190" s="464"/>
      <c r="F190" s="464"/>
      <c r="G190" s="169"/>
      <c r="H190" s="169"/>
      <c r="I190" s="169"/>
      <c r="J190" s="169"/>
    </row>
    <row r="191" spans="1:10" s="167" customFormat="1" ht="30.6" customHeight="1" x14ac:dyDescent="0.25">
      <c r="A191" s="384" t="s">
        <v>1017</v>
      </c>
      <c r="B191" s="385">
        <v>94316</v>
      </c>
      <c r="C191" s="386" t="s">
        <v>1035</v>
      </c>
      <c r="D191" s="277" t="s">
        <v>41</v>
      </c>
      <c r="E191" s="464"/>
      <c r="F191" s="464"/>
      <c r="G191" s="169"/>
      <c r="H191" s="169"/>
      <c r="I191" s="169"/>
      <c r="J191" s="169"/>
    </row>
    <row r="192" spans="1:10" s="167" customFormat="1" ht="30.6" customHeight="1" x14ac:dyDescent="0.25">
      <c r="A192" s="384" t="s">
        <v>1018</v>
      </c>
      <c r="B192" s="385">
        <v>97626</v>
      </c>
      <c r="C192" s="386" t="s">
        <v>1036</v>
      </c>
      <c r="D192" s="277" t="s">
        <v>41</v>
      </c>
      <c r="E192" s="464"/>
      <c r="F192" s="464"/>
      <c r="G192" s="169"/>
      <c r="H192" s="169"/>
      <c r="I192" s="169"/>
      <c r="J192" s="169"/>
    </row>
    <row r="193" spans="1:10" s="167" customFormat="1" ht="30.6" customHeight="1" x14ac:dyDescent="0.25">
      <c r="A193" s="384" t="s">
        <v>1019</v>
      </c>
      <c r="B193" s="385">
        <v>97622</v>
      </c>
      <c r="C193" s="386" t="s">
        <v>1037</v>
      </c>
      <c r="D193" s="277" t="s">
        <v>41</v>
      </c>
      <c r="E193" s="464"/>
      <c r="F193" s="464"/>
      <c r="G193" s="169"/>
      <c r="H193" s="169"/>
      <c r="I193" s="169"/>
      <c r="J193" s="169"/>
    </row>
    <row r="194" spans="1:10" s="167" customFormat="1" ht="30.6" customHeight="1" x14ac:dyDescent="0.25">
      <c r="A194" s="384" t="s">
        <v>1020</v>
      </c>
      <c r="B194" s="385" t="s">
        <v>1031</v>
      </c>
      <c r="C194" s="386" t="s">
        <v>1038</v>
      </c>
      <c r="D194" s="277" t="s">
        <v>1046</v>
      </c>
      <c r="E194" s="464"/>
      <c r="F194" s="464"/>
      <c r="G194" s="169"/>
      <c r="H194" s="169"/>
      <c r="I194" s="169"/>
      <c r="J194" s="169"/>
    </row>
    <row r="195" spans="1:10" s="167" customFormat="1" ht="30.6" customHeight="1" x14ac:dyDescent="0.25">
      <c r="A195" s="384" t="s">
        <v>1021</v>
      </c>
      <c r="B195" s="385">
        <v>101493</v>
      </c>
      <c r="C195" s="386" t="s">
        <v>1039</v>
      </c>
      <c r="D195" s="277" t="s">
        <v>166</v>
      </c>
      <c r="E195" s="464"/>
      <c r="F195" s="464"/>
      <c r="G195" s="169"/>
      <c r="H195" s="169"/>
      <c r="I195" s="169"/>
      <c r="J195" s="169"/>
    </row>
    <row r="196" spans="1:10" s="167" customFormat="1" ht="30.6" customHeight="1" x14ac:dyDescent="0.25">
      <c r="A196" s="384" t="s">
        <v>1022</v>
      </c>
      <c r="B196" s="385" t="s">
        <v>1032</v>
      </c>
      <c r="C196" s="386" t="s">
        <v>1040</v>
      </c>
      <c r="D196" s="277" t="s">
        <v>166</v>
      </c>
      <c r="E196" s="464"/>
      <c r="F196" s="464"/>
      <c r="G196" s="169"/>
      <c r="H196" s="169"/>
      <c r="I196" s="169"/>
      <c r="J196" s="169"/>
    </row>
    <row r="197" spans="1:10" s="167" customFormat="1" ht="30.6" customHeight="1" x14ac:dyDescent="0.25">
      <c r="A197" s="384" t="s">
        <v>1023</v>
      </c>
      <c r="B197" s="385" t="s">
        <v>1033</v>
      </c>
      <c r="C197" s="386" t="s">
        <v>1041</v>
      </c>
      <c r="D197" s="277" t="s">
        <v>37</v>
      </c>
      <c r="E197" s="464"/>
      <c r="F197" s="464"/>
      <c r="G197" s="169"/>
      <c r="H197" s="169"/>
      <c r="I197" s="169"/>
      <c r="J197" s="169"/>
    </row>
    <row r="198" spans="1:10" s="167" customFormat="1" ht="30.6" customHeight="1" x14ac:dyDescent="0.25">
      <c r="A198" s="384" t="s">
        <v>1024</v>
      </c>
      <c r="B198" s="385" t="s">
        <v>1034</v>
      </c>
      <c r="C198" s="386" t="s">
        <v>1042</v>
      </c>
      <c r="D198" s="277" t="s">
        <v>37</v>
      </c>
      <c r="E198" s="464"/>
      <c r="F198" s="464"/>
      <c r="G198" s="169"/>
      <c r="H198" s="169"/>
      <c r="I198" s="169"/>
      <c r="J198" s="169"/>
    </row>
    <row r="199" spans="1:10" s="167" customFormat="1" ht="45" x14ac:dyDescent="0.25">
      <c r="A199" s="384" t="s">
        <v>1025</v>
      </c>
      <c r="B199" s="385">
        <v>87887</v>
      </c>
      <c r="C199" s="386" t="s">
        <v>1043</v>
      </c>
      <c r="D199" s="277" t="s">
        <v>17</v>
      </c>
      <c r="E199" s="604" t="s">
        <v>1109</v>
      </c>
      <c r="F199" s="464">
        <f>50.18-37.43</f>
        <v>12.75</v>
      </c>
      <c r="G199" s="169"/>
      <c r="H199" s="169"/>
      <c r="I199" s="169"/>
      <c r="J199" s="169"/>
    </row>
    <row r="200" spans="1:10" s="167" customFormat="1" ht="45" x14ac:dyDescent="0.25">
      <c r="A200" s="384" t="s">
        <v>1026</v>
      </c>
      <c r="B200" s="385">
        <v>90408</v>
      </c>
      <c r="C200" s="386" t="s">
        <v>1044</v>
      </c>
      <c r="D200" s="277" t="s">
        <v>17</v>
      </c>
      <c r="E200" s="604" t="s">
        <v>1109</v>
      </c>
      <c r="F200" s="464">
        <f>F199</f>
        <v>12.75</v>
      </c>
      <c r="G200" s="169"/>
      <c r="H200" s="169"/>
      <c r="I200" s="169"/>
      <c r="J200" s="169"/>
    </row>
    <row r="201" spans="1:10" s="167" customFormat="1" ht="30.6" customHeight="1" x14ac:dyDescent="0.25">
      <c r="A201" s="384" t="s">
        <v>1027</v>
      </c>
      <c r="B201" s="385">
        <v>88494</v>
      </c>
      <c r="C201" s="386" t="s">
        <v>204</v>
      </c>
      <c r="D201" s="277" t="s">
        <v>17</v>
      </c>
      <c r="E201" s="464"/>
      <c r="F201" s="464"/>
      <c r="G201" s="169"/>
      <c r="H201" s="169"/>
      <c r="I201" s="169"/>
      <c r="J201" s="169"/>
    </row>
    <row r="202" spans="1:10" s="167" customFormat="1" ht="30.6" customHeight="1" thickBot="1" x14ac:dyDescent="0.3">
      <c r="A202" s="460" t="s">
        <v>1028</v>
      </c>
      <c r="B202" s="461">
        <v>88486</v>
      </c>
      <c r="C202" s="462" t="s">
        <v>1045</v>
      </c>
      <c r="D202" s="463" t="s">
        <v>17</v>
      </c>
      <c r="E202" s="464"/>
      <c r="F202" s="464"/>
      <c r="G202" s="169"/>
      <c r="H202" s="169"/>
      <c r="I202" s="169"/>
      <c r="J202" s="169"/>
    </row>
    <row r="203" spans="1:10" x14ac:dyDescent="0.25">
      <c r="A203" s="167"/>
      <c r="B203" s="167"/>
      <c r="C203" s="167"/>
      <c r="D203" s="231"/>
    </row>
    <row r="205" spans="1:10" ht="24" customHeight="1" x14ac:dyDescent="0.25"/>
  </sheetData>
  <mergeCells count="7">
    <mergeCell ref="E4:E5"/>
    <mergeCell ref="F4:F5"/>
    <mergeCell ref="A2:F2"/>
    <mergeCell ref="A4:A5"/>
    <mergeCell ref="B4:B5"/>
    <mergeCell ref="C4:C5"/>
    <mergeCell ref="D4:D5"/>
  </mergeCells>
  <pageMargins left="0.511811024" right="0.511811024" top="0.78740157499999996" bottom="0.78740157499999996" header="0.31496062000000002" footer="0.31496062000000002"/>
  <pageSetup paperSize="9" scale="6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0DE3-A014-4742-B93F-E9DD2CE1A43D}">
  <sheetPr>
    <pageSetUpPr fitToPage="1"/>
  </sheetPr>
  <dimension ref="A1:U594"/>
  <sheetViews>
    <sheetView topLeftCell="A300" zoomScale="78" zoomScaleNormal="205" workbookViewId="0">
      <selection activeCell="J317" sqref="J317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3" t="s">
        <v>1047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f>'BOLETIM DE MEDIÇÃO 12'!B8:C8</f>
        <v>45985</v>
      </c>
      <c r="C8" s="498"/>
      <c r="D8" s="23" t="str">
        <f>'BOLETIM DE MEDIÇÃO 12'!D8</f>
        <v>27/09/2025 a 24/11/2025</v>
      </c>
      <c r="E8" s="499">
        <f>'BOLETIM DE MEDIÇÃO 12'!E8</f>
        <v>42245.579999999994</v>
      </c>
      <c r="F8" s="500"/>
      <c r="G8" s="501"/>
      <c r="H8" s="502">
        <f>'BOLETIM DE MEDIÇÃO 12'!P8</f>
        <v>815893.51710544969</v>
      </c>
      <c r="I8" s="503"/>
      <c r="J8" s="504" t="s">
        <v>1006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hidden="1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10'!K14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10'!K15</f>
        <v>2.25</v>
      </c>
      <c r="K15" s="81">
        <f>F15*G15*H15</f>
        <v>2.75</v>
      </c>
      <c r="L15" s="82">
        <f t="shared" ref="L15:L453" si="0">J15+K15</f>
        <v>5</v>
      </c>
      <c r="M15" s="82">
        <f>'BOLETIM DE MEDIÇÃO 05'!G15</f>
        <v>5</v>
      </c>
      <c r="N15" s="86">
        <f t="shared" ref="N15:N453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10'!K16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10'!K17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10'!K19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10'!K21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10'!K24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10'!K25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t="22.5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0">
        <v>1</v>
      </c>
      <c r="G70" s="525">
        <f>43.05</f>
        <v>43.05</v>
      </c>
      <c r="H70" s="526"/>
      <c r="I70" s="527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1"/>
      <c r="G71" s="528"/>
      <c r="H71" s="529"/>
      <c r="I71" s="530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22" t="s">
        <v>883</v>
      </c>
      <c r="H72" s="523"/>
      <c r="I72" s="524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20" t="s">
        <v>838</v>
      </c>
      <c r="H73" s="521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20">
        <v>9</v>
      </c>
      <c r="H74" s="521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20">
        <v>5</v>
      </c>
      <c r="H75" s="521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20">
        <f xml:space="preserve"> (13.03 * 2.7)</f>
        <v>35.180999999999997</v>
      </c>
      <c r="H76" s="521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20">
        <v>3</v>
      </c>
      <c r="H77" s="521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20">
        <v>7</v>
      </c>
      <c r="H78" s="521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20">
        <v>21</v>
      </c>
      <c r="H79" s="521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20">
        <v>27</v>
      </c>
      <c r="H80" s="521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20">
        <v>26</v>
      </c>
      <c r="H81" s="521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20">
        <v>1.6</v>
      </c>
      <c r="H82" s="521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20">
        <v>1.6</v>
      </c>
      <c r="H83" s="521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20">
        <v>45</v>
      </c>
      <c r="H84" s="521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20">
        <v>19</v>
      </c>
      <c r="H85" s="521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20">
        <v>19</v>
      </c>
      <c r="H86" s="521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20">
        <v>5</v>
      </c>
      <c r="H87" s="521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20">
        <v>14</v>
      </c>
      <c r="H88" s="521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31">
        <v>36</v>
      </c>
      <c r="H89" s="532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31">
        <v>46</v>
      </c>
      <c r="H90" s="532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20">
        <v>41</v>
      </c>
      <c r="H91" s="521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20">
        <v>27</v>
      </c>
      <c r="H92" s="521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20">
        <v>53</v>
      </c>
      <c r="H93" s="521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20">
        <f xml:space="preserve"> (2.65*1.8)</f>
        <v>4.7699999999999996</v>
      </c>
      <c r="H94" s="521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20">
        <v>30</v>
      </c>
      <c r="H95" s="521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20">
        <v>30</v>
      </c>
      <c r="H96" s="521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20">
        <v>14</v>
      </c>
      <c r="H97" s="521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20">
        <v>14</v>
      </c>
      <c r="H98" s="521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20">
        <v>20</v>
      </c>
      <c r="H99" s="521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20">
        <v>3</v>
      </c>
      <c r="H100" s="521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20">
        <v>4</v>
      </c>
      <c r="H101" s="521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20">
        <v>12</v>
      </c>
      <c r="H102" s="521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20">
        <v>20</v>
      </c>
      <c r="H103" s="521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20">
        <v>4</v>
      </c>
      <c r="H104" s="521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20">
        <v>5</v>
      </c>
      <c r="H105" s="521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20">
        <f>1184.23-SUM(G74:H105)</f>
        <v>582.07900000000006</v>
      </c>
      <c r="H106" s="521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x14ac:dyDescent="0.25">
      <c r="B107" s="56" t="s">
        <v>48</v>
      </c>
      <c r="C107" s="60" t="s">
        <v>49</v>
      </c>
      <c r="D107" s="52"/>
      <c r="E107" s="64"/>
      <c r="F107" s="94"/>
      <c r="G107" s="520"/>
      <c r="H107" s="521"/>
      <c r="I107" s="105"/>
      <c r="J107" s="99"/>
      <c r="K107" s="81"/>
      <c r="L107" s="82"/>
      <c r="M107" s="82"/>
      <c r="N107" s="86"/>
    </row>
    <row r="108" spans="2:14" ht="40.9" customHeight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78" t="s">
        <v>1074</v>
      </c>
      <c r="H108" s="579"/>
      <c r="I108" s="580"/>
      <c r="J108" s="99">
        <f>'BOLETIM DE MEDIÇÃO 12'!T26</f>
        <v>55.31541</v>
      </c>
      <c r="K108" s="81">
        <f>SUM(K110:K187)-13.99</f>
        <v>41.333933999999992</v>
      </c>
      <c r="L108" s="82">
        <f t="shared" si="0"/>
        <v>96.649343999999985</v>
      </c>
      <c r="M108" s="82">
        <f>'BOLETIM DE MEDIÇÃO 12'!G26</f>
        <v>55.32</v>
      </c>
      <c r="N108" s="86">
        <f t="shared" si="1"/>
        <v>-41.329343999999985</v>
      </c>
    </row>
    <row r="109" spans="2:14" ht="33.75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x14ac:dyDescent="0.25">
      <c r="B110" s="49"/>
      <c r="C110" s="58"/>
      <c r="D110" s="144" t="s">
        <v>656</v>
      </c>
      <c r="E110" s="64"/>
      <c r="F110" s="94"/>
      <c r="G110" s="159">
        <v>4.758</v>
      </c>
      <c r="H110" s="92">
        <v>0.2</v>
      </c>
      <c r="I110" s="105" t="s">
        <v>660</v>
      </c>
      <c r="J110" s="99"/>
      <c r="K110" s="82">
        <v>0.58999199999999996</v>
      </c>
      <c r="L110" s="82"/>
      <c r="M110" s="82"/>
      <c r="N110" s="86"/>
    </row>
    <row r="111" spans="2:14" x14ac:dyDescent="0.25">
      <c r="B111" s="49"/>
      <c r="C111" s="58"/>
      <c r="D111" s="144" t="s">
        <v>657</v>
      </c>
      <c r="E111" s="64"/>
      <c r="F111" s="94"/>
      <c r="G111" s="159">
        <v>3.097</v>
      </c>
      <c r="H111" s="92">
        <v>0.2</v>
      </c>
      <c r="I111" s="105" t="s">
        <v>655</v>
      </c>
      <c r="J111" s="99"/>
      <c r="K111" s="82">
        <v>0.30040899999999998</v>
      </c>
      <c r="L111" s="82"/>
      <c r="M111" s="82"/>
      <c r="N111" s="86"/>
    </row>
    <row r="112" spans="2:14" x14ac:dyDescent="0.25">
      <c r="B112" s="49"/>
      <c r="C112" s="58"/>
      <c r="D112" s="144" t="s">
        <v>658</v>
      </c>
      <c r="E112" s="64"/>
      <c r="F112" s="94"/>
      <c r="G112" s="159">
        <v>3.0470000000000002</v>
      </c>
      <c r="H112" s="92">
        <v>0.2</v>
      </c>
      <c r="I112" s="105" t="s">
        <v>655</v>
      </c>
      <c r="J112" s="99"/>
      <c r="K112" s="82">
        <v>0.29555900000000002</v>
      </c>
      <c r="L112" s="82"/>
      <c r="M112" s="82"/>
      <c r="N112" s="86"/>
    </row>
    <row r="113" spans="2:14" x14ac:dyDescent="0.25">
      <c r="B113" s="49"/>
      <c r="C113" s="58"/>
      <c r="D113" s="144" t="s">
        <v>659</v>
      </c>
      <c r="E113" s="64"/>
      <c r="F113" s="94"/>
      <c r="G113" s="159">
        <v>5.109</v>
      </c>
      <c r="H113" s="92">
        <v>0.2</v>
      </c>
      <c r="I113" s="105" t="s">
        <v>660</v>
      </c>
      <c r="J113" s="99"/>
      <c r="K113" s="82">
        <v>0.49557300000000004</v>
      </c>
      <c r="L113" s="82"/>
      <c r="M113" s="82"/>
      <c r="N113" s="86"/>
    </row>
    <row r="114" spans="2:14" x14ac:dyDescent="0.25">
      <c r="B114" s="49"/>
      <c r="C114" s="58"/>
      <c r="D114" s="144" t="s">
        <v>661</v>
      </c>
      <c r="E114" s="64"/>
      <c r="F114" s="94"/>
      <c r="G114" s="159">
        <v>2.5640000000000001</v>
      </c>
      <c r="H114" s="92">
        <v>0.2</v>
      </c>
      <c r="I114" s="105" t="s">
        <v>664</v>
      </c>
      <c r="J114" s="99"/>
      <c r="K114" s="82">
        <v>0.17948</v>
      </c>
      <c r="L114" s="82"/>
      <c r="M114" s="82"/>
      <c r="N114" s="86"/>
    </row>
    <row r="115" spans="2:14" x14ac:dyDescent="0.25">
      <c r="B115" s="49"/>
      <c r="C115" s="58"/>
      <c r="D115" s="144" t="s">
        <v>662</v>
      </c>
      <c r="E115" s="64"/>
      <c r="F115" s="94"/>
      <c r="G115" s="159">
        <v>1.6779999999999999</v>
      </c>
      <c r="H115" s="92">
        <v>0.2</v>
      </c>
      <c r="I115" s="105" t="s">
        <v>664</v>
      </c>
      <c r="J115" s="99"/>
      <c r="K115" s="82">
        <v>0.11745999999999999</v>
      </c>
      <c r="L115" s="82"/>
      <c r="M115" s="82"/>
      <c r="N115" s="86"/>
    </row>
    <row r="116" spans="2:14" x14ac:dyDescent="0.25">
      <c r="B116" s="49"/>
      <c r="C116" s="58"/>
      <c r="D116" s="144" t="s">
        <v>663</v>
      </c>
      <c r="E116" s="64"/>
      <c r="F116" s="94"/>
      <c r="G116" s="159">
        <v>6.5330000000000004</v>
      </c>
      <c r="H116" s="92">
        <v>0.2</v>
      </c>
      <c r="I116" s="105" t="s">
        <v>665</v>
      </c>
      <c r="J116" s="99"/>
      <c r="K116" s="82">
        <v>0.64676700000000009</v>
      </c>
      <c r="L116" s="82"/>
      <c r="M116" s="82"/>
      <c r="N116" s="86"/>
    </row>
    <row r="117" spans="2:14" x14ac:dyDescent="0.25">
      <c r="B117" s="49"/>
      <c r="C117" s="58"/>
      <c r="D117" s="144" t="s">
        <v>666</v>
      </c>
      <c r="E117" s="64"/>
      <c r="F117" s="94"/>
      <c r="G117" s="104">
        <v>12.68</v>
      </c>
      <c r="H117" s="92">
        <v>0.2</v>
      </c>
      <c r="I117" s="105" t="s">
        <v>668</v>
      </c>
      <c r="J117" s="99"/>
      <c r="K117" s="82">
        <v>1.36944</v>
      </c>
      <c r="L117" s="82"/>
      <c r="M117" s="82"/>
      <c r="N117" s="86"/>
    </row>
    <row r="118" spans="2:14" x14ac:dyDescent="0.25">
      <c r="B118" s="49"/>
      <c r="C118" s="58"/>
      <c r="D118" s="144" t="s">
        <v>667</v>
      </c>
      <c r="E118" s="64"/>
      <c r="F118" s="94"/>
      <c r="G118" s="104">
        <v>1.85</v>
      </c>
      <c r="H118" s="92">
        <v>0.2</v>
      </c>
      <c r="I118" s="105" t="s">
        <v>669</v>
      </c>
      <c r="J118" s="99"/>
      <c r="K118" s="82">
        <v>0.18500000000000003</v>
      </c>
      <c r="L118" s="82"/>
      <c r="M118" s="82"/>
      <c r="N118" s="86"/>
    </row>
    <row r="119" spans="2:14" x14ac:dyDescent="0.25">
      <c r="B119" s="49"/>
      <c r="C119" s="58"/>
      <c r="D119" s="144" t="s">
        <v>671</v>
      </c>
      <c r="E119" s="64"/>
      <c r="F119" s="94"/>
      <c r="G119" s="104">
        <v>9.4600000000000009</v>
      </c>
      <c r="H119" s="92">
        <v>0.2</v>
      </c>
      <c r="I119" s="105" t="s">
        <v>670</v>
      </c>
      <c r="J119" s="99"/>
      <c r="K119" s="82">
        <v>0.97438000000000025</v>
      </c>
      <c r="L119" s="82"/>
      <c r="M119" s="82"/>
      <c r="N119" s="86"/>
    </row>
    <row r="120" spans="2:14" x14ac:dyDescent="0.25">
      <c r="B120" s="49"/>
      <c r="C120" s="58"/>
      <c r="D120" s="144" t="s">
        <v>673</v>
      </c>
      <c r="E120" s="64"/>
      <c r="F120" s="94"/>
      <c r="G120" s="104">
        <v>2.33</v>
      </c>
      <c r="H120" s="92">
        <v>0.2</v>
      </c>
      <c r="I120" s="105" t="s">
        <v>672</v>
      </c>
      <c r="J120" s="99"/>
      <c r="K120" s="82">
        <v>0.25630000000000003</v>
      </c>
      <c r="L120" s="82"/>
      <c r="M120" s="82"/>
      <c r="N120" s="86"/>
    </row>
    <row r="121" spans="2:14" x14ac:dyDescent="0.25">
      <c r="B121" s="49"/>
      <c r="C121" s="58"/>
      <c r="D121" s="144" t="s">
        <v>674</v>
      </c>
      <c r="E121" s="64"/>
      <c r="F121" s="94"/>
      <c r="G121" s="104">
        <v>9.7899999999999991</v>
      </c>
      <c r="H121" s="92">
        <v>0.2</v>
      </c>
      <c r="I121" s="105" t="s">
        <v>675</v>
      </c>
      <c r="J121" s="99"/>
      <c r="K121" s="82">
        <v>1.0475299999999999</v>
      </c>
      <c r="L121" s="82"/>
      <c r="M121" s="82"/>
      <c r="N121" s="86"/>
    </row>
    <row r="122" spans="2:14" x14ac:dyDescent="0.25">
      <c r="B122" s="49"/>
      <c r="C122" s="58"/>
      <c r="D122" s="241" t="s">
        <v>677</v>
      </c>
      <c r="E122" s="242"/>
      <c r="F122" s="94"/>
      <c r="G122" s="244">
        <v>2.38</v>
      </c>
      <c r="H122" s="245">
        <v>0.2</v>
      </c>
      <c r="I122" s="246" t="s">
        <v>660</v>
      </c>
      <c r="J122" s="99"/>
      <c r="K122" s="82">
        <v>0.26179999999999998</v>
      </c>
      <c r="L122" s="82"/>
      <c r="M122" s="82"/>
      <c r="N122" s="86"/>
    </row>
    <row r="123" spans="2:14" x14ac:dyDescent="0.25">
      <c r="B123" s="49"/>
      <c r="C123" s="58"/>
      <c r="D123" s="144" t="s">
        <v>678</v>
      </c>
      <c r="E123" s="64"/>
      <c r="F123" s="94"/>
      <c r="G123" s="104">
        <v>2.65</v>
      </c>
      <c r="H123" s="92">
        <v>0.2</v>
      </c>
      <c r="I123" s="105" t="s">
        <v>660</v>
      </c>
      <c r="J123" s="99"/>
      <c r="K123" s="82">
        <v>0.3286</v>
      </c>
      <c r="L123" s="82"/>
      <c r="M123" s="82"/>
      <c r="N123" s="86"/>
    </row>
    <row r="124" spans="2:14" x14ac:dyDescent="0.25">
      <c r="B124" s="49"/>
      <c r="C124" s="58"/>
      <c r="D124" s="144" t="s">
        <v>1048</v>
      </c>
      <c r="E124" s="64"/>
      <c r="F124" s="94"/>
      <c r="G124" s="104">
        <v>2.38</v>
      </c>
      <c r="H124" s="92">
        <v>0.2</v>
      </c>
      <c r="I124" s="105" t="s">
        <v>660</v>
      </c>
      <c r="J124" s="99"/>
      <c r="K124" s="82">
        <v>0.29511999999999999</v>
      </c>
      <c r="L124" s="82"/>
      <c r="M124" s="82"/>
      <c r="N124" s="86"/>
    </row>
    <row r="125" spans="2:14" x14ac:dyDescent="0.25">
      <c r="B125" s="49"/>
      <c r="C125" s="58"/>
      <c r="D125" s="144" t="s">
        <v>715</v>
      </c>
      <c r="E125" s="64"/>
      <c r="F125" s="94"/>
      <c r="G125" s="104">
        <v>15.175000000000001</v>
      </c>
      <c r="H125" s="92">
        <v>0.2</v>
      </c>
      <c r="I125" s="105" t="s">
        <v>716</v>
      </c>
      <c r="J125" s="99"/>
      <c r="K125" s="82">
        <v>1.107775</v>
      </c>
      <c r="L125" s="82"/>
      <c r="M125" s="82"/>
      <c r="N125" s="86"/>
    </row>
    <row r="126" spans="2:14" x14ac:dyDescent="0.25">
      <c r="B126" s="49"/>
      <c r="C126" s="58"/>
      <c r="D126" s="144" t="s">
        <v>717</v>
      </c>
      <c r="E126" s="64"/>
      <c r="F126" s="94"/>
      <c r="G126" s="104">
        <v>11</v>
      </c>
      <c r="H126" s="92">
        <v>0.2</v>
      </c>
      <c r="I126" s="105" t="s">
        <v>718</v>
      </c>
      <c r="J126" s="99"/>
      <c r="K126" s="82">
        <v>0.44000000000000006</v>
      </c>
      <c r="L126" s="82"/>
      <c r="M126" s="82"/>
      <c r="N126" s="86"/>
    </row>
    <row r="127" spans="2:14" x14ac:dyDescent="0.25">
      <c r="B127" s="49"/>
      <c r="C127" s="58"/>
      <c r="D127" s="144" t="s">
        <v>719</v>
      </c>
      <c r="E127" s="64"/>
      <c r="F127" s="94"/>
      <c r="G127" s="104">
        <v>1.9</v>
      </c>
      <c r="H127" s="92">
        <v>0.2</v>
      </c>
      <c r="I127" s="105" t="s">
        <v>718</v>
      </c>
      <c r="J127" s="99"/>
      <c r="K127" s="82">
        <v>7.6000000000000012E-2</v>
      </c>
      <c r="L127" s="82"/>
      <c r="M127" s="82"/>
      <c r="N127" s="86"/>
    </row>
    <row r="128" spans="2:14" x14ac:dyDescent="0.25">
      <c r="B128" s="49"/>
      <c r="C128" s="58"/>
      <c r="D128" s="144" t="s">
        <v>720</v>
      </c>
      <c r="E128" s="64"/>
      <c r="F128" s="94"/>
      <c r="G128" s="104">
        <v>6.38</v>
      </c>
      <c r="H128" s="92">
        <v>0.2</v>
      </c>
      <c r="I128" s="105" t="s">
        <v>721</v>
      </c>
      <c r="J128" s="99"/>
      <c r="K128" s="82">
        <v>0.31262000000000001</v>
      </c>
      <c r="L128" s="82"/>
      <c r="M128" s="82"/>
      <c r="N128" s="86"/>
    </row>
    <row r="129" spans="2:14" x14ac:dyDescent="0.25">
      <c r="B129" s="49"/>
      <c r="C129" s="58"/>
      <c r="D129" s="144" t="s">
        <v>722</v>
      </c>
      <c r="E129" s="64"/>
      <c r="F129" s="94"/>
      <c r="G129" s="104">
        <v>8.31</v>
      </c>
      <c r="H129" s="92">
        <v>0.2</v>
      </c>
      <c r="I129" s="105" t="s">
        <v>723</v>
      </c>
      <c r="J129" s="99"/>
      <c r="K129" s="82">
        <v>0.52353000000000005</v>
      </c>
      <c r="L129" s="82"/>
      <c r="M129" s="82"/>
      <c r="N129" s="86"/>
    </row>
    <row r="130" spans="2:14" x14ac:dyDescent="0.25">
      <c r="B130" s="49"/>
      <c r="C130" s="58"/>
      <c r="D130" s="144" t="s">
        <v>796</v>
      </c>
      <c r="E130" s="64"/>
      <c r="F130" s="94"/>
      <c r="G130" s="104">
        <v>24.074999999999999</v>
      </c>
      <c r="H130" s="92">
        <v>0.2</v>
      </c>
      <c r="I130" s="105" t="s">
        <v>797</v>
      </c>
      <c r="J130" s="99"/>
      <c r="K130" s="82">
        <v>1.9260000000000002</v>
      </c>
      <c r="L130" s="82"/>
      <c r="M130" s="82"/>
      <c r="N130" s="86"/>
    </row>
    <row r="131" spans="2:14" x14ac:dyDescent="0.25">
      <c r="B131" s="49"/>
      <c r="C131" s="58"/>
      <c r="D131" s="144" t="s">
        <v>724</v>
      </c>
      <c r="E131" s="64"/>
      <c r="F131" s="94"/>
      <c r="G131" s="104">
        <v>5.31</v>
      </c>
      <c r="H131" s="92">
        <v>0.2</v>
      </c>
      <c r="I131" s="105" t="s">
        <v>725</v>
      </c>
      <c r="J131" s="99"/>
      <c r="K131" s="82">
        <v>0.41417999999999999</v>
      </c>
      <c r="L131" s="82"/>
      <c r="M131" s="82"/>
      <c r="N131" s="86"/>
    </row>
    <row r="132" spans="2:14" x14ac:dyDescent="0.25">
      <c r="B132" s="49"/>
      <c r="C132" s="58"/>
      <c r="D132" s="144" t="s">
        <v>726</v>
      </c>
      <c r="E132" s="64"/>
      <c r="F132" s="94"/>
      <c r="G132" s="104">
        <v>5.47</v>
      </c>
      <c r="H132" s="92">
        <v>0.2</v>
      </c>
      <c r="I132" s="105" t="s">
        <v>727</v>
      </c>
      <c r="J132" s="99"/>
      <c r="K132" s="82">
        <v>0.33914</v>
      </c>
      <c r="L132" s="82"/>
      <c r="M132" s="82"/>
      <c r="N132" s="86"/>
    </row>
    <row r="133" spans="2:14" x14ac:dyDescent="0.25">
      <c r="B133" s="49"/>
      <c r="C133" s="58"/>
      <c r="D133" s="144" t="s">
        <v>816</v>
      </c>
      <c r="E133" s="64"/>
      <c r="F133" s="94"/>
      <c r="G133" s="104">
        <v>13.42</v>
      </c>
      <c r="H133" s="92">
        <v>0.2</v>
      </c>
      <c r="I133" s="105" t="s">
        <v>865</v>
      </c>
      <c r="J133" s="99"/>
      <c r="K133" s="82">
        <v>1.3151600000000001</v>
      </c>
      <c r="L133" s="82"/>
      <c r="M133" s="82"/>
      <c r="N133" s="86"/>
    </row>
    <row r="134" spans="2:14" x14ac:dyDescent="0.25">
      <c r="B134" s="49"/>
      <c r="C134" s="58"/>
      <c r="D134" s="144" t="s">
        <v>728</v>
      </c>
      <c r="E134" s="64"/>
      <c r="F134" s="94"/>
      <c r="G134" s="104">
        <v>5.31</v>
      </c>
      <c r="H134" s="92">
        <v>0.2</v>
      </c>
      <c r="I134" s="105" t="s">
        <v>729</v>
      </c>
      <c r="J134" s="99"/>
      <c r="K134" s="82">
        <v>0.41417999999999999</v>
      </c>
      <c r="L134" s="82"/>
      <c r="M134" s="82"/>
      <c r="N134" s="86"/>
    </row>
    <row r="135" spans="2:14" x14ac:dyDescent="0.25">
      <c r="B135" s="49"/>
      <c r="C135" s="58"/>
      <c r="D135" s="144" t="s">
        <v>730</v>
      </c>
      <c r="E135" s="64"/>
      <c r="F135" s="94"/>
      <c r="G135" s="104">
        <v>5.31</v>
      </c>
      <c r="H135" s="92">
        <v>0.2</v>
      </c>
      <c r="I135" s="105" t="s">
        <v>866</v>
      </c>
      <c r="J135" s="99"/>
      <c r="K135" s="82">
        <v>0.56816999999999984</v>
      </c>
      <c r="L135" s="82"/>
      <c r="M135" s="82"/>
      <c r="N135" s="86"/>
    </row>
    <row r="136" spans="2:14" x14ac:dyDescent="0.25">
      <c r="B136" s="49"/>
      <c r="C136" s="58"/>
      <c r="D136" s="144" t="s">
        <v>731</v>
      </c>
      <c r="E136" s="64"/>
      <c r="F136" s="94"/>
      <c r="G136" s="104">
        <v>19.97</v>
      </c>
      <c r="H136" s="92">
        <v>0.2</v>
      </c>
      <c r="I136" s="105" t="s">
        <v>830</v>
      </c>
      <c r="J136" s="99"/>
      <c r="K136" s="82">
        <v>2.2366400000000004</v>
      </c>
      <c r="L136" s="82"/>
      <c r="M136" s="82"/>
      <c r="N136" s="86"/>
    </row>
    <row r="137" spans="2:14" x14ac:dyDescent="0.25">
      <c r="B137" s="49"/>
      <c r="C137" s="58"/>
      <c r="D137" s="144" t="s">
        <v>732</v>
      </c>
      <c r="E137" s="64"/>
      <c r="F137" s="94"/>
      <c r="G137" s="104">
        <v>7.83</v>
      </c>
      <c r="H137" s="92">
        <v>0.2</v>
      </c>
      <c r="I137" s="105" t="s">
        <v>733</v>
      </c>
      <c r="J137" s="99"/>
      <c r="K137" s="82">
        <v>0.87696000000000007</v>
      </c>
      <c r="L137" s="82"/>
      <c r="M137" s="82"/>
      <c r="N137" s="86"/>
    </row>
    <row r="138" spans="2:14" x14ac:dyDescent="0.25">
      <c r="B138" s="49"/>
      <c r="C138" s="58"/>
      <c r="D138" s="144" t="s">
        <v>735</v>
      </c>
      <c r="E138" s="64"/>
      <c r="F138" s="94"/>
      <c r="G138" s="104">
        <v>2.5350000000000001</v>
      </c>
      <c r="H138" s="92">
        <v>0.2</v>
      </c>
      <c r="I138" s="105" t="s">
        <v>734</v>
      </c>
      <c r="J138" s="99"/>
      <c r="K138" s="82">
        <v>0.30927000000000004</v>
      </c>
      <c r="L138" s="82"/>
      <c r="M138" s="82"/>
      <c r="N138" s="86"/>
    </row>
    <row r="139" spans="2:14" x14ac:dyDescent="0.25">
      <c r="B139" s="49"/>
      <c r="C139" s="58"/>
      <c r="D139" s="144" t="s">
        <v>736</v>
      </c>
      <c r="E139" s="64"/>
      <c r="F139" s="94"/>
      <c r="G139" s="104">
        <v>6.39</v>
      </c>
      <c r="H139" s="92">
        <v>0.2</v>
      </c>
      <c r="I139" s="105" t="s">
        <v>737</v>
      </c>
      <c r="J139" s="99"/>
      <c r="K139" s="82">
        <v>0.60065999999999997</v>
      </c>
      <c r="L139" s="82"/>
      <c r="M139" s="82"/>
      <c r="N139" s="86"/>
    </row>
    <row r="140" spans="2:14" x14ac:dyDescent="0.25">
      <c r="B140" s="49"/>
      <c r="C140" s="58"/>
      <c r="D140" s="144" t="s">
        <v>738</v>
      </c>
      <c r="E140" s="64"/>
      <c r="F140" s="94"/>
      <c r="G140" s="104">
        <v>4.0049999999999999</v>
      </c>
      <c r="H140" s="92">
        <v>0.2</v>
      </c>
      <c r="I140" s="105" t="s">
        <v>739</v>
      </c>
      <c r="J140" s="99"/>
      <c r="K140" s="82">
        <v>0.39249000000000001</v>
      </c>
      <c r="L140" s="82"/>
      <c r="M140" s="82"/>
      <c r="N140" s="86"/>
    </row>
    <row r="141" spans="2:14" x14ac:dyDescent="0.25">
      <c r="B141" s="49"/>
      <c r="C141" s="58"/>
      <c r="D141" s="144" t="s">
        <v>817</v>
      </c>
      <c r="E141" s="64"/>
      <c r="F141" s="94"/>
      <c r="G141" s="104">
        <v>2.2000000000000002</v>
      </c>
      <c r="H141" s="92">
        <v>0.2</v>
      </c>
      <c r="I141" s="105" t="s">
        <v>740</v>
      </c>
      <c r="J141" s="99"/>
      <c r="K141" s="82">
        <v>0.24200000000000005</v>
      </c>
      <c r="L141" s="82"/>
      <c r="M141" s="82"/>
      <c r="N141" s="86"/>
    </row>
    <row r="142" spans="2:14" x14ac:dyDescent="0.25">
      <c r="B142" s="49"/>
      <c r="C142" s="58"/>
      <c r="D142" s="144" t="s">
        <v>741</v>
      </c>
      <c r="E142" s="64"/>
      <c r="F142" s="94"/>
      <c r="G142" s="104">
        <v>7.75</v>
      </c>
      <c r="H142" s="92">
        <v>0.2</v>
      </c>
      <c r="I142" s="105" t="s">
        <v>742</v>
      </c>
      <c r="J142" s="99"/>
      <c r="K142" s="82">
        <v>0.80600000000000005</v>
      </c>
      <c r="L142" s="82"/>
      <c r="M142" s="82"/>
      <c r="N142" s="86"/>
    </row>
    <row r="143" spans="2:14" x14ac:dyDescent="0.25">
      <c r="B143" s="49"/>
      <c r="C143" s="58"/>
      <c r="D143" s="144" t="s">
        <v>743</v>
      </c>
      <c r="E143" s="64"/>
      <c r="F143" s="94"/>
      <c r="G143" s="104">
        <v>3.01</v>
      </c>
      <c r="H143" s="92">
        <v>0.2</v>
      </c>
      <c r="I143" s="105" t="s">
        <v>744</v>
      </c>
      <c r="J143" s="99"/>
      <c r="K143" s="82">
        <v>0.18059999999999998</v>
      </c>
      <c r="L143" s="82"/>
      <c r="M143" s="82"/>
      <c r="N143" s="86"/>
    </row>
    <row r="144" spans="2:14" x14ac:dyDescent="0.25">
      <c r="B144" s="49"/>
      <c r="C144" s="58"/>
      <c r="D144" s="144" t="s">
        <v>745</v>
      </c>
      <c r="E144" s="64"/>
      <c r="F144" s="94"/>
      <c r="G144" s="104">
        <v>3.01</v>
      </c>
      <c r="H144" s="92">
        <v>0.2</v>
      </c>
      <c r="I144" s="105" t="s">
        <v>746</v>
      </c>
      <c r="J144" s="99"/>
      <c r="K144" s="82">
        <v>0.22875999999999999</v>
      </c>
      <c r="L144" s="82"/>
      <c r="M144" s="82"/>
      <c r="N144" s="86"/>
    </row>
    <row r="145" spans="2:14" x14ac:dyDescent="0.25">
      <c r="B145" s="49"/>
      <c r="C145" s="58"/>
      <c r="D145" s="144" t="s">
        <v>800</v>
      </c>
      <c r="E145" s="64"/>
      <c r="F145" s="94"/>
      <c r="G145" s="104">
        <v>22.225000000000001</v>
      </c>
      <c r="H145" s="92">
        <v>0.2</v>
      </c>
      <c r="I145" s="105" t="s">
        <v>801</v>
      </c>
      <c r="J145" s="99"/>
      <c r="K145" s="82">
        <v>1.4001750000000002</v>
      </c>
      <c r="L145" s="82"/>
      <c r="M145" s="82"/>
      <c r="N145" s="86"/>
    </row>
    <row r="146" spans="2:14" x14ac:dyDescent="0.25">
      <c r="B146" s="49"/>
      <c r="C146" s="58"/>
      <c r="D146" s="144" t="s">
        <v>747</v>
      </c>
      <c r="E146" s="64"/>
      <c r="F146" s="94"/>
      <c r="G146" s="104">
        <v>5.2949999999999999</v>
      </c>
      <c r="H146" s="92">
        <v>0.2</v>
      </c>
      <c r="I146" s="105" t="s">
        <v>748</v>
      </c>
      <c r="J146" s="99"/>
      <c r="K146" s="82">
        <v>0.33888000000000001</v>
      </c>
      <c r="L146" s="82"/>
      <c r="M146" s="82"/>
      <c r="N146" s="86"/>
    </row>
    <row r="147" spans="2:14" x14ac:dyDescent="0.25">
      <c r="B147" s="49"/>
      <c r="C147" s="58"/>
      <c r="D147" s="144" t="s">
        <v>810</v>
      </c>
      <c r="E147" s="64"/>
      <c r="F147" s="94"/>
      <c r="G147" s="104">
        <v>16.48</v>
      </c>
      <c r="H147" s="92">
        <v>0.2</v>
      </c>
      <c r="I147" s="105" t="s">
        <v>811</v>
      </c>
      <c r="J147" s="99"/>
      <c r="K147" s="82">
        <v>1.1865600000000001</v>
      </c>
      <c r="L147" s="82"/>
      <c r="M147" s="82"/>
      <c r="N147" s="86"/>
    </row>
    <row r="148" spans="2:14" x14ac:dyDescent="0.25">
      <c r="B148" s="49"/>
      <c r="C148" s="58"/>
      <c r="D148" s="144" t="s">
        <v>749</v>
      </c>
      <c r="E148" s="64"/>
      <c r="F148" s="94"/>
      <c r="G148" s="104">
        <v>5.47</v>
      </c>
      <c r="H148" s="92">
        <v>0.2</v>
      </c>
      <c r="I148" s="105" t="s">
        <v>750</v>
      </c>
      <c r="J148" s="99"/>
      <c r="K148" s="82">
        <v>0.40477999999999997</v>
      </c>
      <c r="L148" s="82"/>
      <c r="M148" s="82"/>
      <c r="N148" s="86"/>
    </row>
    <row r="149" spans="2:14" x14ac:dyDescent="0.25">
      <c r="B149" s="49"/>
      <c r="C149" s="58"/>
      <c r="D149" s="144" t="s">
        <v>751</v>
      </c>
      <c r="E149" s="64"/>
      <c r="F149" s="94"/>
      <c r="G149" s="104">
        <v>2.69</v>
      </c>
      <c r="H149" s="92">
        <v>0.2</v>
      </c>
      <c r="I149" s="105" t="s">
        <v>753</v>
      </c>
      <c r="J149" s="99"/>
      <c r="K149" s="82">
        <v>0.17484999999999998</v>
      </c>
      <c r="L149" s="82"/>
      <c r="M149" s="82"/>
      <c r="N149" s="86"/>
    </row>
    <row r="150" spans="2:14" x14ac:dyDescent="0.25">
      <c r="B150" s="49"/>
      <c r="C150" s="58"/>
      <c r="D150" s="144" t="s">
        <v>752</v>
      </c>
      <c r="E150" s="64"/>
      <c r="F150" s="94"/>
      <c r="G150" s="104">
        <v>2.69</v>
      </c>
      <c r="H150" s="92">
        <v>0.2</v>
      </c>
      <c r="I150" s="105" t="s">
        <v>754</v>
      </c>
      <c r="J150" s="99"/>
      <c r="K150" s="82">
        <v>0.1883</v>
      </c>
      <c r="L150" s="82"/>
      <c r="M150" s="82"/>
      <c r="N150" s="86"/>
    </row>
    <row r="151" spans="2:14" x14ac:dyDescent="0.25">
      <c r="B151" s="49"/>
      <c r="C151" s="58"/>
      <c r="D151" s="144" t="s">
        <v>786</v>
      </c>
      <c r="E151" s="64"/>
      <c r="F151" s="94"/>
      <c r="G151" s="104">
        <v>8.85</v>
      </c>
      <c r="H151" s="92">
        <v>0.2</v>
      </c>
      <c r="I151" s="105" t="s">
        <v>787</v>
      </c>
      <c r="J151" s="99"/>
      <c r="K151" s="82">
        <v>1.0796999999999999</v>
      </c>
      <c r="L151" s="82"/>
      <c r="M151" s="82"/>
      <c r="N151" s="86"/>
    </row>
    <row r="152" spans="2:14" x14ac:dyDescent="0.25">
      <c r="B152" s="49"/>
      <c r="C152" s="58"/>
      <c r="D152" s="144" t="s">
        <v>788</v>
      </c>
      <c r="E152" s="64"/>
      <c r="F152" s="94"/>
      <c r="G152" s="104">
        <v>4.9000000000000004</v>
      </c>
      <c r="H152" s="92">
        <v>0.2</v>
      </c>
      <c r="I152" s="105" t="s">
        <v>789</v>
      </c>
      <c r="J152" s="99"/>
      <c r="K152" s="82">
        <v>0.62230000000000008</v>
      </c>
      <c r="L152" s="82"/>
      <c r="M152" s="82"/>
      <c r="N152" s="86"/>
    </row>
    <row r="153" spans="2:14" x14ac:dyDescent="0.25">
      <c r="B153" s="49"/>
      <c r="C153" s="58"/>
      <c r="D153" s="144" t="s">
        <v>790</v>
      </c>
      <c r="E153" s="64"/>
      <c r="F153" s="94"/>
      <c r="G153" s="104">
        <v>7.21</v>
      </c>
      <c r="H153" s="92">
        <v>0.2</v>
      </c>
      <c r="I153" s="105" t="s">
        <v>791</v>
      </c>
      <c r="J153" s="99"/>
      <c r="K153" s="82">
        <v>0.82194000000000011</v>
      </c>
      <c r="L153" s="82"/>
      <c r="M153" s="82"/>
      <c r="N153" s="86"/>
    </row>
    <row r="154" spans="2:14" x14ac:dyDescent="0.25">
      <c r="B154" s="49"/>
      <c r="C154" s="58"/>
      <c r="D154" s="144" t="s">
        <v>792</v>
      </c>
      <c r="E154" s="64"/>
      <c r="F154" s="94"/>
      <c r="G154" s="104">
        <v>8.85</v>
      </c>
      <c r="H154" s="92">
        <v>0.2</v>
      </c>
      <c r="I154" s="105" t="s">
        <v>793</v>
      </c>
      <c r="J154" s="99"/>
      <c r="K154" s="82">
        <v>1.0885499999999999</v>
      </c>
      <c r="L154" s="82"/>
      <c r="M154" s="82"/>
      <c r="N154" s="86"/>
    </row>
    <row r="155" spans="2:14" x14ac:dyDescent="0.25">
      <c r="B155" s="49"/>
      <c r="C155" s="58"/>
      <c r="D155" s="144" t="s">
        <v>794</v>
      </c>
      <c r="E155" s="64"/>
      <c r="F155" s="94"/>
      <c r="G155" s="104">
        <v>2.46</v>
      </c>
      <c r="H155" s="92">
        <v>0.2</v>
      </c>
      <c r="I155" s="105" t="s">
        <v>795</v>
      </c>
      <c r="J155" s="99"/>
      <c r="K155" s="82">
        <v>0.27798</v>
      </c>
      <c r="L155" s="82"/>
      <c r="M155" s="82"/>
      <c r="N155" s="86"/>
    </row>
    <row r="156" spans="2:14" x14ac:dyDescent="0.25">
      <c r="B156" s="49"/>
      <c r="C156" s="58"/>
      <c r="D156" s="144" t="s">
        <v>802</v>
      </c>
      <c r="E156" s="64"/>
      <c r="F156" s="94"/>
      <c r="G156" s="104">
        <v>3.16</v>
      </c>
      <c r="H156" s="92">
        <v>0.2</v>
      </c>
      <c r="I156" s="105" t="s">
        <v>804</v>
      </c>
      <c r="J156" s="99"/>
      <c r="K156" s="82">
        <v>0.34128000000000003</v>
      </c>
      <c r="L156" s="82"/>
      <c r="M156" s="82"/>
      <c r="N156" s="86"/>
    </row>
    <row r="157" spans="2:14" x14ac:dyDescent="0.25">
      <c r="B157" s="49"/>
      <c r="C157" s="58"/>
      <c r="D157" s="144" t="s">
        <v>798</v>
      </c>
      <c r="E157" s="64"/>
      <c r="F157" s="94"/>
      <c r="G157" s="104">
        <v>5.7</v>
      </c>
      <c r="H157" s="92">
        <v>0.2</v>
      </c>
      <c r="I157" s="105" t="s">
        <v>799</v>
      </c>
      <c r="J157" s="99"/>
      <c r="K157" s="82">
        <v>0.60420000000000007</v>
      </c>
      <c r="L157" s="82"/>
      <c r="M157" s="82"/>
      <c r="N157" s="86"/>
    </row>
    <row r="158" spans="2:14" x14ac:dyDescent="0.25">
      <c r="B158" s="49"/>
      <c r="C158" s="58"/>
      <c r="D158" s="144" t="s">
        <v>803</v>
      </c>
      <c r="E158" s="64"/>
      <c r="F158" s="94"/>
      <c r="G158" s="104">
        <v>7.6849999999999996</v>
      </c>
      <c r="H158" s="92">
        <v>0.2</v>
      </c>
      <c r="I158" s="105" t="s">
        <v>805</v>
      </c>
      <c r="J158" s="99"/>
      <c r="K158" s="82">
        <v>0.73775999999999997</v>
      </c>
      <c r="L158" s="82"/>
      <c r="M158" s="82"/>
      <c r="N158" s="86"/>
    </row>
    <row r="159" spans="2:14" x14ac:dyDescent="0.25">
      <c r="B159" s="49"/>
      <c r="C159" s="58"/>
      <c r="D159" s="144" t="s">
        <v>806</v>
      </c>
      <c r="E159" s="64"/>
      <c r="F159" s="94"/>
      <c r="G159" s="104">
        <v>1.8</v>
      </c>
      <c r="H159" s="92">
        <v>0.2</v>
      </c>
      <c r="I159" s="105" t="s">
        <v>807</v>
      </c>
      <c r="J159" s="99"/>
      <c r="K159" s="82">
        <v>0.1512</v>
      </c>
      <c r="L159" s="82"/>
      <c r="M159" s="82"/>
      <c r="N159" s="86"/>
    </row>
    <row r="160" spans="2:14" x14ac:dyDescent="0.25">
      <c r="B160" s="49"/>
      <c r="C160" s="58"/>
      <c r="D160" s="144" t="s">
        <v>808</v>
      </c>
      <c r="E160" s="64"/>
      <c r="F160" s="94"/>
      <c r="G160" s="104">
        <v>8.3000000000000007</v>
      </c>
      <c r="H160" s="92">
        <v>0.2</v>
      </c>
      <c r="I160" s="105" t="s">
        <v>809</v>
      </c>
      <c r="J160" s="99"/>
      <c r="K160" s="82">
        <v>0.62250000000000005</v>
      </c>
      <c r="L160" s="82"/>
      <c r="M160" s="82"/>
      <c r="N160" s="86"/>
    </row>
    <row r="161" spans="2:14" x14ac:dyDescent="0.25">
      <c r="B161" s="49"/>
      <c r="C161" s="58"/>
      <c r="D161" s="144" t="s">
        <v>812</v>
      </c>
      <c r="E161" s="64"/>
      <c r="F161" s="94"/>
      <c r="G161" s="104">
        <v>3.65</v>
      </c>
      <c r="H161" s="92">
        <v>0.2</v>
      </c>
      <c r="I161" s="105" t="s">
        <v>813</v>
      </c>
      <c r="J161" s="99"/>
      <c r="K161" s="82">
        <v>0.2409</v>
      </c>
      <c r="L161" s="82"/>
      <c r="M161" s="82"/>
      <c r="N161" s="86"/>
    </row>
    <row r="162" spans="2:14" x14ac:dyDescent="0.25">
      <c r="B162" s="49"/>
      <c r="C162" s="58"/>
      <c r="D162" s="144" t="s">
        <v>820</v>
      </c>
      <c r="E162" s="64"/>
      <c r="F162" s="94"/>
      <c r="G162" s="104">
        <v>2.0950000000000002</v>
      </c>
      <c r="H162" s="92">
        <v>0.2</v>
      </c>
      <c r="I162" s="105" t="s">
        <v>821</v>
      </c>
      <c r="J162" s="99"/>
      <c r="K162" s="82">
        <v>0.15712500000000001</v>
      </c>
      <c r="L162" s="82"/>
      <c r="M162" s="82"/>
      <c r="N162" s="86"/>
    </row>
    <row r="163" spans="2:14" x14ac:dyDescent="0.25">
      <c r="B163" s="49"/>
      <c r="C163" s="58"/>
      <c r="D163" s="144" t="s">
        <v>814</v>
      </c>
      <c r="E163" s="64"/>
      <c r="F163" s="94"/>
      <c r="G163" s="104">
        <v>4.3899999999999997</v>
      </c>
      <c r="H163" s="92">
        <v>0.2</v>
      </c>
      <c r="I163" s="105" t="s">
        <v>815</v>
      </c>
      <c r="J163" s="99"/>
      <c r="K163" s="82">
        <v>0.41704999999999998</v>
      </c>
      <c r="L163" s="82"/>
      <c r="M163" s="82"/>
      <c r="N163" s="86"/>
    </row>
    <row r="164" spans="2:14" x14ac:dyDescent="0.25">
      <c r="B164" s="49"/>
      <c r="C164" s="58"/>
      <c r="D164" s="144" t="s">
        <v>818</v>
      </c>
      <c r="E164" s="64"/>
      <c r="F164" s="94"/>
      <c r="G164" s="104">
        <v>2.95</v>
      </c>
      <c r="H164" s="92">
        <v>0.2</v>
      </c>
      <c r="I164" s="105" t="s">
        <v>819</v>
      </c>
      <c r="J164" s="99"/>
      <c r="K164" s="82">
        <v>0.19174999999999998</v>
      </c>
      <c r="L164" s="82"/>
      <c r="M164" s="82"/>
      <c r="N164" s="86"/>
    </row>
    <row r="165" spans="2:14" x14ac:dyDescent="0.25">
      <c r="B165" s="49"/>
      <c r="C165" s="58"/>
      <c r="D165" s="144" t="s">
        <v>822</v>
      </c>
      <c r="E165" s="64"/>
      <c r="F165" s="94"/>
      <c r="G165" s="104">
        <v>2.95</v>
      </c>
      <c r="H165" s="92">
        <v>0.2</v>
      </c>
      <c r="I165" s="105" t="s">
        <v>823</v>
      </c>
      <c r="J165" s="99"/>
      <c r="K165" s="82">
        <v>0.21240000000000003</v>
      </c>
      <c r="L165" s="82"/>
      <c r="M165" s="82"/>
      <c r="N165" s="86"/>
    </row>
    <row r="166" spans="2:14" x14ac:dyDescent="0.25">
      <c r="B166" s="49"/>
      <c r="C166" s="58"/>
      <c r="D166" s="144" t="s">
        <v>824</v>
      </c>
      <c r="E166" s="64"/>
      <c r="F166" s="94"/>
      <c r="G166" s="104">
        <v>2.0950000000000002</v>
      </c>
      <c r="H166" s="92">
        <v>0.2</v>
      </c>
      <c r="I166" s="105" t="s">
        <v>825</v>
      </c>
      <c r="J166" s="99"/>
      <c r="K166" s="82">
        <v>0.12989000000000003</v>
      </c>
      <c r="L166" s="82"/>
      <c r="M166" s="82"/>
      <c r="N166" s="86"/>
    </row>
    <row r="167" spans="2:14" x14ac:dyDescent="0.25">
      <c r="B167" s="49"/>
      <c r="C167" s="58"/>
      <c r="D167" s="144" t="s">
        <v>826</v>
      </c>
      <c r="E167" s="64"/>
      <c r="F167" s="94"/>
      <c r="G167" s="104">
        <v>6.9</v>
      </c>
      <c r="H167" s="92">
        <v>0.2</v>
      </c>
      <c r="I167" s="105" t="s">
        <v>827</v>
      </c>
      <c r="J167" s="99"/>
      <c r="K167" s="82">
        <v>0.67620000000000013</v>
      </c>
      <c r="L167" s="82"/>
      <c r="M167" s="82"/>
      <c r="N167" s="86"/>
    </row>
    <row r="168" spans="2:14" x14ac:dyDescent="0.25">
      <c r="B168" s="49"/>
      <c r="C168" s="58"/>
      <c r="D168" s="144" t="s">
        <v>828</v>
      </c>
      <c r="E168" s="64"/>
      <c r="F168" s="94"/>
      <c r="G168" s="104">
        <v>5.83</v>
      </c>
      <c r="H168" s="92">
        <v>0.2</v>
      </c>
      <c r="I168" s="105" t="s">
        <v>829</v>
      </c>
      <c r="J168" s="99"/>
      <c r="K168" s="82">
        <v>0.39643999999999996</v>
      </c>
      <c r="L168" s="82"/>
      <c r="M168" s="82"/>
      <c r="N168" s="86"/>
    </row>
    <row r="169" spans="2:14" ht="22.5" x14ac:dyDescent="0.25">
      <c r="B169" s="49"/>
      <c r="C169" s="58"/>
      <c r="D169" s="153" t="s">
        <v>1049</v>
      </c>
      <c r="E169" s="64"/>
      <c r="F169" s="94"/>
      <c r="G169" s="99"/>
      <c r="H169" s="92"/>
      <c r="I169" s="105"/>
      <c r="J169" s="99"/>
      <c r="K169" s="82"/>
      <c r="L169" s="82"/>
      <c r="M169" s="82"/>
      <c r="N169" s="86"/>
    </row>
    <row r="170" spans="2:14" ht="33.75" x14ac:dyDescent="0.25">
      <c r="B170" s="49"/>
      <c r="C170" s="58"/>
      <c r="D170" s="144" t="s">
        <v>1050</v>
      </c>
      <c r="E170" s="64"/>
      <c r="F170" s="94"/>
      <c r="G170" s="99">
        <v>0.92700000000000005</v>
      </c>
      <c r="H170" s="92">
        <v>0.2</v>
      </c>
      <c r="I170" s="105" t="s">
        <v>1061</v>
      </c>
      <c r="J170" s="99"/>
      <c r="K170" s="82">
        <v>7.6013999999999998E-2</v>
      </c>
      <c r="L170" s="82"/>
      <c r="M170" s="82"/>
      <c r="N170" s="86"/>
    </row>
    <row r="171" spans="2:14" ht="33.75" x14ac:dyDescent="0.25">
      <c r="B171" s="49"/>
      <c r="C171" s="58"/>
      <c r="D171" s="144" t="s">
        <v>1051</v>
      </c>
      <c r="E171" s="64"/>
      <c r="F171" s="94"/>
      <c r="G171" s="99">
        <v>0.8</v>
      </c>
      <c r="H171" s="92">
        <v>0.2</v>
      </c>
      <c r="I171" s="105" t="s">
        <v>1062</v>
      </c>
      <c r="J171" s="99"/>
      <c r="K171" s="82">
        <v>0.21997500000000003</v>
      </c>
      <c r="L171" s="82"/>
      <c r="M171" s="82"/>
      <c r="N171" s="86"/>
    </row>
    <row r="172" spans="2:14" x14ac:dyDescent="0.25">
      <c r="B172" s="49"/>
      <c r="C172" s="58"/>
      <c r="D172" s="144" t="s">
        <v>1052</v>
      </c>
      <c r="E172" s="64"/>
      <c r="F172" s="94"/>
      <c r="G172" s="99">
        <f>(1.7+0.15+1.855)</f>
        <v>3.7050000000000001</v>
      </c>
      <c r="H172" s="92">
        <v>0.2</v>
      </c>
      <c r="I172" s="105" t="s">
        <v>1063</v>
      </c>
      <c r="J172" s="99"/>
      <c r="K172" s="82">
        <v>0.80730000000000013</v>
      </c>
      <c r="L172" s="82"/>
      <c r="M172" s="82"/>
      <c r="N172" s="86"/>
    </row>
    <row r="173" spans="2:14" x14ac:dyDescent="0.25">
      <c r="B173" s="49"/>
      <c r="C173" s="58"/>
      <c r="D173" s="144" t="s">
        <v>1053</v>
      </c>
      <c r="E173" s="64"/>
      <c r="F173" s="94"/>
      <c r="G173" s="99">
        <v>2.7</v>
      </c>
      <c r="H173" s="92">
        <v>0.2</v>
      </c>
      <c r="I173" s="105" t="s">
        <v>1064</v>
      </c>
      <c r="J173" s="99"/>
      <c r="K173" s="82">
        <v>0.32065000000000005</v>
      </c>
      <c r="L173" s="82"/>
      <c r="M173" s="82"/>
      <c r="N173" s="86"/>
    </row>
    <row r="174" spans="2:14" ht="22.5" x14ac:dyDescent="0.25">
      <c r="B174" s="49"/>
      <c r="C174" s="58"/>
      <c r="D174" s="144" t="s">
        <v>1054</v>
      </c>
      <c r="E174" s="64"/>
      <c r="F174" s="94"/>
      <c r="G174" s="99"/>
      <c r="H174" s="92"/>
      <c r="I174" s="105"/>
      <c r="J174" s="99"/>
      <c r="K174" s="82"/>
      <c r="L174" s="82"/>
      <c r="M174" s="82"/>
      <c r="N174" s="86"/>
    </row>
    <row r="175" spans="2:14" x14ac:dyDescent="0.25">
      <c r="B175" s="49"/>
      <c r="C175" s="58"/>
      <c r="D175" s="144"/>
      <c r="E175" s="64"/>
      <c r="F175" s="94"/>
      <c r="G175" s="99"/>
      <c r="H175" s="92"/>
      <c r="I175" s="105"/>
      <c r="J175" s="99"/>
      <c r="K175" s="82"/>
      <c r="L175" s="82"/>
      <c r="M175" s="82"/>
      <c r="N175" s="86"/>
    </row>
    <row r="176" spans="2:14" ht="23.25" x14ac:dyDescent="0.25">
      <c r="B176" s="49"/>
      <c r="C176" s="58"/>
      <c r="D176" s="419" t="s">
        <v>1055</v>
      </c>
      <c r="E176" s="239"/>
      <c r="F176" s="94"/>
      <c r="G176" s="422" t="s">
        <v>833</v>
      </c>
      <c r="H176" s="276" t="s">
        <v>834</v>
      </c>
      <c r="I176" s="423" t="s">
        <v>835</v>
      </c>
      <c r="J176" s="99"/>
      <c r="K176" s="239"/>
      <c r="L176" s="82"/>
      <c r="M176" s="82"/>
      <c r="N176" s="86"/>
    </row>
    <row r="177" spans="2:14" ht="22.5" x14ac:dyDescent="0.25">
      <c r="B177" s="49"/>
      <c r="C177" s="58"/>
      <c r="D177" s="420" t="s">
        <v>879</v>
      </c>
      <c r="E177" s="239"/>
      <c r="F177" s="94"/>
      <c r="G177" s="424">
        <v>12.5</v>
      </c>
      <c r="H177" s="245">
        <v>0.1</v>
      </c>
      <c r="I177" s="425">
        <v>0.36</v>
      </c>
      <c r="J177" s="99"/>
      <c r="K177" s="245">
        <v>1.0250000000000001</v>
      </c>
      <c r="L177" s="82"/>
      <c r="M177" s="82"/>
      <c r="N177" s="86"/>
    </row>
    <row r="178" spans="2:14" ht="22.5" x14ac:dyDescent="0.25">
      <c r="B178" s="49"/>
      <c r="C178" s="58"/>
      <c r="D178" s="420" t="s">
        <v>876</v>
      </c>
      <c r="E178" s="239"/>
      <c r="F178" s="94"/>
      <c r="G178" s="424">
        <v>11.67</v>
      </c>
      <c r="H178" s="245">
        <v>0.36</v>
      </c>
      <c r="I178" s="425">
        <v>0.53</v>
      </c>
      <c r="J178" s="99"/>
      <c r="K178" s="245">
        <v>1.6571400000000001</v>
      </c>
      <c r="L178" s="82"/>
      <c r="M178" s="82"/>
      <c r="N178" s="86"/>
    </row>
    <row r="179" spans="2:14" ht="33.75" x14ac:dyDescent="0.25">
      <c r="B179" s="49"/>
      <c r="C179" s="58"/>
      <c r="D179" s="420" t="s">
        <v>880</v>
      </c>
      <c r="E179" s="239"/>
      <c r="F179" s="94"/>
      <c r="G179" s="424">
        <v>27.1</v>
      </c>
      <c r="H179" s="245">
        <v>0.53</v>
      </c>
      <c r="I179" s="425">
        <v>0.74</v>
      </c>
      <c r="J179" s="99"/>
      <c r="K179" s="245">
        <v>5.4470999999999998</v>
      </c>
      <c r="L179" s="82"/>
      <c r="M179" s="82"/>
      <c r="N179" s="86"/>
    </row>
    <row r="180" spans="2:14" ht="33.75" x14ac:dyDescent="0.25">
      <c r="B180" s="49"/>
      <c r="C180" s="58"/>
      <c r="D180" s="420" t="s">
        <v>881</v>
      </c>
      <c r="E180" s="239"/>
      <c r="F180" s="94"/>
      <c r="G180" s="424">
        <v>33.9</v>
      </c>
      <c r="H180" s="245">
        <v>0.74</v>
      </c>
      <c r="I180" s="425">
        <v>0.61</v>
      </c>
      <c r="J180" s="99"/>
      <c r="K180" s="245">
        <v>6.644400000000001</v>
      </c>
      <c r="L180" s="82"/>
      <c r="M180" s="82"/>
      <c r="N180" s="86"/>
    </row>
    <row r="181" spans="2:14" ht="22.5" x14ac:dyDescent="0.25">
      <c r="B181" s="49"/>
      <c r="C181" s="58"/>
      <c r="D181" s="420" t="s">
        <v>882</v>
      </c>
      <c r="E181" s="239"/>
      <c r="F181" s="94"/>
      <c r="G181" s="424">
        <v>12.4</v>
      </c>
      <c r="H181" s="245">
        <v>0.61</v>
      </c>
      <c r="I181" s="425">
        <v>0.38</v>
      </c>
      <c r="J181" s="99"/>
      <c r="K181" s="245">
        <v>1.6988000000000003</v>
      </c>
      <c r="L181" s="82"/>
      <c r="M181" s="82"/>
      <c r="N181" s="86"/>
    </row>
    <row r="182" spans="2:14" ht="33.75" x14ac:dyDescent="0.25">
      <c r="B182" s="49"/>
      <c r="C182" s="58"/>
      <c r="D182" s="419" t="s">
        <v>1056</v>
      </c>
      <c r="E182" s="239"/>
      <c r="F182" s="94"/>
      <c r="G182" s="426" t="s">
        <v>1065</v>
      </c>
      <c r="H182" s="427" t="s">
        <v>1066</v>
      </c>
      <c r="I182" s="425" t="s">
        <v>649</v>
      </c>
      <c r="J182" s="99"/>
      <c r="K182" s="245"/>
      <c r="L182" s="82"/>
      <c r="M182" s="82"/>
      <c r="N182" s="86"/>
    </row>
    <row r="183" spans="2:14" x14ac:dyDescent="0.25">
      <c r="B183" s="49"/>
      <c r="C183" s="58"/>
      <c r="D183" s="421" t="s">
        <v>1057</v>
      </c>
      <c r="E183" s="239"/>
      <c r="F183" s="94"/>
      <c r="G183" s="424">
        <f>(11.1+9.1+13.6+1.9+16.3+22.8+5.1+6.3+5.4+2.45+5.4+10.9)</f>
        <v>110.35000000000001</v>
      </c>
      <c r="H183" s="245">
        <v>0.15</v>
      </c>
      <c r="I183" s="425">
        <v>0.2</v>
      </c>
      <c r="J183" s="99"/>
      <c r="K183" s="245">
        <v>3.3105000000000007</v>
      </c>
      <c r="L183" s="82"/>
      <c r="M183" s="82"/>
      <c r="N183" s="86"/>
    </row>
    <row r="184" spans="2:14" ht="33.75" x14ac:dyDescent="0.25">
      <c r="B184" s="49"/>
      <c r="C184" s="58"/>
      <c r="D184" s="419" t="s">
        <v>1058</v>
      </c>
      <c r="E184" s="239"/>
      <c r="F184" s="94"/>
      <c r="G184" s="426" t="s">
        <v>1065</v>
      </c>
      <c r="H184" s="427" t="s">
        <v>1066</v>
      </c>
      <c r="I184" s="425" t="s">
        <v>649</v>
      </c>
      <c r="J184" s="99"/>
      <c r="K184" s="245"/>
      <c r="L184" s="82"/>
      <c r="M184" s="82"/>
      <c r="N184" s="86"/>
    </row>
    <row r="185" spans="2:14" x14ac:dyDescent="0.25">
      <c r="B185" s="49"/>
      <c r="C185" s="58"/>
      <c r="D185" s="421"/>
      <c r="E185" s="239"/>
      <c r="F185" s="94"/>
      <c r="G185" s="424">
        <f>(6.8+3.6)</f>
        <v>10.4</v>
      </c>
      <c r="H185" s="245">
        <v>0.15</v>
      </c>
      <c r="I185" s="425">
        <v>0.2</v>
      </c>
      <c r="J185" s="99"/>
      <c r="K185" s="245">
        <v>0.31200000000000006</v>
      </c>
      <c r="L185" s="82"/>
      <c r="M185" s="82"/>
      <c r="N185" s="86"/>
    </row>
    <row r="186" spans="2:14" ht="33.75" x14ac:dyDescent="0.25">
      <c r="B186" s="49"/>
      <c r="C186" s="58"/>
      <c r="D186" s="419" t="s">
        <v>1059</v>
      </c>
      <c r="E186" s="239"/>
      <c r="F186" s="94"/>
      <c r="G186" s="426" t="s">
        <v>1065</v>
      </c>
      <c r="H186" s="427" t="s">
        <v>1066</v>
      </c>
      <c r="I186" s="425" t="s">
        <v>649</v>
      </c>
      <c r="J186" s="99"/>
      <c r="K186" s="245"/>
      <c r="L186" s="82"/>
      <c r="M186" s="82"/>
      <c r="N186" s="86"/>
    </row>
    <row r="187" spans="2:14" x14ac:dyDescent="0.25">
      <c r="B187" s="49"/>
      <c r="C187" s="58"/>
      <c r="D187" s="421" t="s">
        <v>1060</v>
      </c>
      <c r="E187" s="239"/>
      <c r="F187" s="94"/>
      <c r="G187" s="424">
        <f>(3.55*2)+(5.06*2)</f>
        <v>17.22</v>
      </c>
      <c r="H187" s="245">
        <v>0.2</v>
      </c>
      <c r="I187" s="425">
        <v>0.2</v>
      </c>
      <c r="J187" s="99"/>
      <c r="K187" s="245">
        <v>0.68880000000000008</v>
      </c>
      <c r="L187" s="82"/>
      <c r="M187" s="82"/>
      <c r="N187" s="86"/>
    </row>
    <row r="188" spans="2:14" x14ac:dyDescent="0.25">
      <c r="B188" s="49"/>
      <c r="C188" s="58"/>
      <c r="D188" s="144"/>
      <c r="E188" s="64"/>
      <c r="F188" s="94"/>
      <c r="G188" s="104"/>
      <c r="H188" s="92"/>
      <c r="I188" s="105"/>
      <c r="J188" s="99"/>
      <c r="K188" s="82"/>
      <c r="L188" s="82"/>
      <c r="M188" s="82"/>
      <c r="N188" s="86"/>
    </row>
    <row r="189" spans="2:14" ht="22.5" hidden="1" x14ac:dyDescent="0.25">
      <c r="B189" s="49" t="s">
        <v>53</v>
      </c>
      <c r="C189" s="57">
        <v>101616</v>
      </c>
      <c r="D189" s="52" t="s">
        <v>55</v>
      </c>
      <c r="E189" s="64" t="s">
        <v>17</v>
      </c>
      <c r="F189" s="94"/>
      <c r="G189" s="104"/>
      <c r="H189" s="92">
        <v>0.2</v>
      </c>
      <c r="I189" s="105"/>
      <c r="J189" s="99">
        <f>'BOLETIM DE MEDIÇÃO 05'!O27-'MEMORIAL DE CALCULO 10'!K189</f>
        <v>27.17</v>
      </c>
      <c r="K189" s="81">
        <f>SUM(K191:K197)</f>
        <v>10.64</v>
      </c>
      <c r="L189" s="82">
        <f t="shared" si="0"/>
        <v>37.81</v>
      </c>
      <c r="M189" s="82">
        <f>'BOLETIM DE MEDIÇÃO 05'!G27</f>
        <v>37.81</v>
      </c>
      <c r="N189" s="86">
        <f t="shared" si="1"/>
        <v>0</v>
      </c>
    </row>
    <row r="190" spans="2:14" hidden="1" x14ac:dyDescent="0.25">
      <c r="B190" s="49"/>
      <c r="C190" s="57"/>
      <c r="D190" s="152" t="s">
        <v>588</v>
      </c>
      <c r="E190" s="64"/>
      <c r="F190" s="94"/>
      <c r="G190" s="104"/>
      <c r="H190" s="92">
        <v>0.2</v>
      </c>
      <c r="I190" s="105"/>
      <c r="J190" s="99"/>
      <c r="K190" s="81"/>
      <c r="L190" s="82"/>
      <c r="M190" s="82"/>
      <c r="N190" s="86"/>
    </row>
    <row r="191" spans="2:14" ht="33.75" hidden="1" x14ac:dyDescent="0.25">
      <c r="B191" s="49"/>
      <c r="C191" s="57"/>
      <c r="D191" s="144" t="s">
        <v>569</v>
      </c>
      <c r="E191" s="64"/>
      <c r="F191" s="94">
        <v>32</v>
      </c>
      <c r="G191" s="104">
        <v>0.6</v>
      </c>
      <c r="H191" s="92">
        <v>0.2</v>
      </c>
      <c r="I191" s="156"/>
      <c r="J191" s="99"/>
      <c r="K191" s="82">
        <f>F191*(G191*H191)</f>
        <v>3.84</v>
      </c>
      <c r="L191" s="82"/>
      <c r="M191" s="82"/>
      <c r="N191" s="86"/>
    </row>
    <row r="192" spans="2:14" ht="45" hidden="1" x14ac:dyDescent="0.25">
      <c r="B192" s="49"/>
      <c r="C192" s="57"/>
      <c r="D192" s="144" t="s">
        <v>570</v>
      </c>
      <c r="E192" s="64"/>
      <c r="F192" s="94">
        <v>40</v>
      </c>
      <c r="G192" s="104">
        <v>0.6</v>
      </c>
      <c r="H192" s="92">
        <v>0.2</v>
      </c>
      <c r="I192" s="156"/>
      <c r="J192" s="99"/>
      <c r="K192" s="82">
        <f t="shared" ref="K192:K197" si="6">F192*(G192*H192)</f>
        <v>4.8</v>
      </c>
      <c r="L192" s="82"/>
      <c r="M192" s="82"/>
      <c r="N192" s="86"/>
    </row>
    <row r="193" spans="2:14" hidden="1" x14ac:dyDescent="0.25">
      <c r="B193" s="49"/>
      <c r="C193" s="57"/>
      <c r="D193" s="144" t="s">
        <v>571</v>
      </c>
      <c r="E193" s="64"/>
      <c r="F193" s="94">
        <v>1</v>
      </c>
      <c r="G193" s="104">
        <v>0.6</v>
      </c>
      <c r="H193" s="92">
        <v>0.2</v>
      </c>
      <c r="I193" s="156"/>
      <c r="J193" s="99"/>
      <c r="K193" s="82">
        <f t="shared" si="6"/>
        <v>0.12</v>
      </c>
      <c r="L193" s="82"/>
      <c r="M193" s="82"/>
      <c r="N193" s="86"/>
    </row>
    <row r="194" spans="2:14" hidden="1" x14ac:dyDescent="0.25">
      <c r="B194" s="49"/>
      <c r="C194" s="57"/>
      <c r="D194" s="144" t="s">
        <v>572</v>
      </c>
      <c r="E194" s="64"/>
      <c r="F194" s="94">
        <v>2</v>
      </c>
      <c r="G194" s="104">
        <v>0.9</v>
      </c>
      <c r="H194" s="92">
        <v>0.2</v>
      </c>
      <c r="I194" s="156"/>
      <c r="J194" s="99"/>
      <c r="K194" s="82">
        <f t="shared" si="6"/>
        <v>0.36000000000000004</v>
      </c>
      <c r="L194" s="82"/>
      <c r="M194" s="82"/>
      <c r="N194" s="86"/>
    </row>
    <row r="195" spans="2:14" hidden="1" x14ac:dyDescent="0.25">
      <c r="B195" s="49"/>
      <c r="C195" s="57"/>
      <c r="D195" s="144" t="s">
        <v>573</v>
      </c>
      <c r="E195" s="64"/>
      <c r="F195" s="94">
        <v>7</v>
      </c>
      <c r="G195" s="104">
        <v>0.65</v>
      </c>
      <c r="H195" s="92">
        <v>0.2</v>
      </c>
      <c r="I195" s="156"/>
      <c r="J195" s="99"/>
      <c r="K195" s="82">
        <f t="shared" si="6"/>
        <v>0.91</v>
      </c>
      <c r="L195" s="82"/>
      <c r="M195" s="82"/>
      <c r="N195" s="86"/>
    </row>
    <row r="196" spans="2:14" hidden="1" x14ac:dyDescent="0.25">
      <c r="B196" s="49"/>
      <c r="C196" s="57"/>
      <c r="D196" s="144" t="s">
        <v>574</v>
      </c>
      <c r="E196" s="64"/>
      <c r="F196" s="94">
        <v>3</v>
      </c>
      <c r="G196" s="104">
        <v>0.65</v>
      </c>
      <c r="H196" s="92">
        <v>0.2</v>
      </c>
      <c r="I196" s="156"/>
      <c r="J196" s="99"/>
      <c r="K196" s="82">
        <f t="shared" si="6"/>
        <v>0.39</v>
      </c>
      <c r="L196" s="82"/>
      <c r="M196" s="82"/>
      <c r="N196" s="86"/>
    </row>
    <row r="197" spans="2:14" hidden="1" x14ac:dyDescent="0.25">
      <c r="B197" s="49"/>
      <c r="C197" s="57"/>
      <c r="D197" s="144" t="s">
        <v>575</v>
      </c>
      <c r="E197" s="64"/>
      <c r="F197" s="94">
        <v>2</v>
      </c>
      <c r="G197" s="104">
        <v>0.55000000000000004</v>
      </c>
      <c r="H197" s="92">
        <v>0.2</v>
      </c>
      <c r="I197" s="156"/>
      <c r="J197" s="99"/>
      <c r="K197" s="82">
        <f t="shared" si="6"/>
        <v>0.22000000000000003</v>
      </c>
      <c r="L197" s="82"/>
      <c r="M197" s="82"/>
      <c r="N197" s="86"/>
    </row>
    <row r="198" spans="2:14" ht="33.75" hidden="1" x14ac:dyDescent="0.25">
      <c r="B198" s="49" t="s">
        <v>56</v>
      </c>
      <c r="C198" s="57">
        <v>96619</v>
      </c>
      <c r="D198" s="61" t="s">
        <v>58</v>
      </c>
      <c r="E198" s="64" t="s">
        <v>17</v>
      </c>
      <c r="F198" s="94"/>
      <c r="G198" s="104"/>
      <c r="H198" s="92">
        <v>0.2</v>
      </c>
      <c r="I198" s="105"/>
      <c r="J198" s="99">
        <f>'BOLETIM DE MEDIÇÃO 05'!O28-'MEMORIAL DE CALCULO 10'!K198</f>
        <v>27.17</v>
      </c>
      <c r="K198" s="81">
        <f>SUM(K200:K206)</f>
        <v>10.64</v>
      </c>
      <c r="L198" s="82">
        <f t="shared" si="0"/>
        <v>37.81</v>
      </c>
      <c r="M198" s="82">
        <f>'BOLETIM DE MEDIÇÃO 05'!G28</f>
        <v>77.41</v>
      </c>
      <c r="N198" s="86">
        <f t="shared" si="1"/>
        <v>39.599999999999994</v>
      </c>
    </row>
    <row r="199" spans="2:14" hidden="1" x14ac:dyDescent="0.25">
      <c r="B199" s="49"/>
      <c r="C199" s="57"/>
      <c r="D199" s="152" t="s">
        <v>588</v>
      </c>
      <c r="E199" s="64"/>
      <c r="F199" s="94"/>
      <c r="G199" s="104"/>
      <c r="H199" s="92">
        <v>0.2</v>
      </c>
      <c r="I199" s="105"/>
      <c r="J199" s="99"/>
      <c r="K199" s="81"/>
      <c r="L199" s="82"/>
      <c r="M199" s="82"/>
      <c r="N199" s="86"/>
    </row>
    <row r="200" spans="2:14" ht="33.75" hidden="1" x14ac:dyDescent="0.25">
      <c r="B200" s="49"/>
      <c r="C200" s="57"/>
      <c r="D200" s="144" t="s">
        <v>569</v>
      </c>
      <c r="E200" s="64"/>
      <c r="F200" s="94">
        <v>32</v>
      </c>
      <c r="G200" s="104">
        <v>0.6</v>
      </c>
      <c r="H200" s="92">
        <v>0.2</v>
      </c>
      <c r="I200" s="105"/>
      <c r="J200" s="99"/>
      <c r="K200" s="82">
        <f>F200*(G200*H200)</f>
        <v>3.84</v>
      </c>
      <c r="L200" s="82"/>
      <c r="M200" s="82"/>
      <c r="N200" s="86"/>
    </row>
    <row r="201" spans="2:14" ht="45" hidden="1" x14ac:dyDescent="0.25">
      <c r="B201" s="49"/>
      <c r="C201" s="57"/>
      <c r="D201" s="144" t="s">
        <v>570</v>
      </c>
      <c r="E201" s="64"/>
      <c r="F201" s="94">
        <v>40</v>
      </c>
      <c r="G201" s="104">
        <v>0.6</v>
      </c>
      <c r="H201" s="92">
        <v>0.2</v>
      </c>
      <c r="I201" s="105"/>
      <c r="J201" s="99"/>
      <c r="K201" s="82">
        <f t="shared" ref="K201:K206" si="7">F201*(G201*H201)</f>
        <v>4.8</v>
      </c>
      <c r="L201" s="82"/>
      <c r="M201" s="82"/>
      <c r="N201" s="86"/>
    </row>
    <row r="202" spans="2:14" hidden="1" x14ac:dyDescent="0.25">
      <c r="B202" s="49"/>
      <c r="C202" s="57"/>
      <c r="D202" s="144" t="s">
        <v>571</v>
      </c>
      <c r="E202" s="64"/>
      <c r="F202" s="94">
        <v>1</v>
      </c>
      <c r="G202" s="104">
        <v>0.6</v>
      </c>
      <c r="H202" s="92">
        <v>0.2</v>
      </c>
      <c r="I202" s="105"/>
      <c r="J202" s="99"/>
      <c r="K202" s="82">
        <f t="shared" si="7"/>
        <v>0.12</v>
      </c>
      <c r="L202" s="82"/>
      <c r="M202" s="82"/>
      <c r="N202" s="86"/>
    </row>
    <row r="203" spans="2:14" hidden="1" x14ac:dyDescent="0.25">
      <c r="B203" s="49"/>
      <c r="C203" s="57"/>
      <c r="D203" s="144" t="s">
        <v>572</v>
      </c>
      <c r="E203" s="64"/>
      <c r="F203" s="94">
        <v>2</v>
      </c>
      <c r="G203" s="104">
        <v>0.9</v>
      </c>
      <c r="H203" s="92">
        <v>0.2</v>
      </c>
      <c r="I203" s="105"/>
      <c r="J203" s="99"/>
      <c r="K203" s="82">
        <f t="shared" si="7"/>
        <v>0.36000000000000004</v>
      </c>
      <c r="L203" s="82"/>
      <c r="M203" s="82"/>
      <c r="N203" s="86"/>
    </row>
    <row r="204" spans="2:14" hidden="1" x14ac:dyDescent="0.25">
      <c r="B204" s="49"/>
      <c r="C204" s="57"/>
      <c r="D204" s="144" t="s">
        <v>573</v>
      </c>
      <c r="E204" s="64"/>
      <c r="F204" s="94">
        <v>7</v>
      </c>
      <c r="G204" s="104">
        <v>0.65</v>
      </c>
      <c r="H204" s="92">
        <v>0.2</v>
      </c>
      <c r="I204" s="105"/>
      <c r="J204" s="99"/>
      <c r="K204" s="82">
        <f t="shared" si="7"/>
        <v>0.91</v>
      </c>
      <c r="L204" s="82"/>
      <c r="M204" s="82"/>
      <c r="N204" s="86"/>
    </row>
    <row r="205" spans="2:14" hidden="1" x14ac:dyDescent="0.25">
      <c r="B205" s="49"/>
      <c r="C205" s="57"/>
      <c r="D205" s="144" t="s">
        <v>574</v>
      </c>
      <c r="E205" s="64"/>
      <c r="F205" s="94">
        <v>3</v>
      </c>
      <c r="G205" s="104">
        <v>0.65</v>
      </c>
      <c r="H205" s="92">
        <v>0.2</v>
      </c>
      <c r="I205" s="105"/>
      <c r="J205" s="99"/>
      <c r="K205" s="82">
        <f t="shared" si="7"/>
        <v>0.39</v>
      </c>
      <c r="L205" s="82"/>
      <c r="M205" s="82"/>
      <c r="N205" s="86"/>
    </row>
    <row r="206" spans="2:14" hidden="1" x14ac:dyDescent="0.25">
      <c r="B206" s="49"/>
      <c r="C206" s="57"/>
      <c r="D206" s="144" t="s">
        <v>575</v>
      </c>
      <c r="E206" s="64"/>
      <c r="F206" s="94">
        <v>2</v>
      </c>
      <c r="G206" s="104">
        <v>0.55000000000000004</v>
      </c>
      <c r="H206" s="92">
        <v>0.2</v>
      </c>
      <c r="I206" s="105"/>
      <c r="J206" s="99"/>
      <c r="K206" s="82">
        <f t="shared" si="7"/>
        <v>0.22000000000000003</v>
      </c>
      <c r="L206" s="82"/>
      <c r="M206" s="82"/>
      <c r="N206" s="86"/>
    </row>
    <row r="207" spans="2:14" s="167" customFormat="1" ht="22.5" x14ac:dyDescent="0.25">
      <c r="B207" s="49" t="s">
        <v>59</v>
      </c>
      <c r="C207" s="57">
        <v>96545</v>
      </c>
      <c r="D207" s="52" t="s">
        <v>61</v>
      </c>
      <c r="E207" s="64" t="s">
        <v>62</v>
      </c>
      <c r="F207" s="94"/>
      <c r="G207" s="578" t="s">
        <v>1075</v>
      </c>
      <c r="H207" s="579"/>
      <c r="I207" s="580"/>
      <c r="J207" s="99">
        <v>537.29999999999995</v>
      </c>
      <c r="K207" s="81">
        <f>SUM(K210:K214)</f>
        <v>17.746560000000002</v>
      </c>
      <c r="L207" s="82">
        <f>J207+K207</f>
        <v>555.04656</v>
      </c>
      <c r="M207" s="82">
        <f>'BOLETIM DE MEDIÇÃO 12'!G29</f>
        <v>555.04999999999995</v>
      </c>
      <c r="N207" s="86">
        <f>M207-L207</f>
        <v>3.4399999999550346E-3</v>
      </c>
    </row>
    <row r="208" spans="2:14" s="167" customFormat="1" x14ac:dyDescent="0.25">
      <c r="B208" s="49"/>
      <c r="C208" s="57"/>
      <c r="D208" s="152" t="s">
        <v>1067</v>
      </c>
      <c r="E208" s="64"/>
      <c r="F208" s="94">
        <v>1</v>
      </c>
      <c r="G208" s="509">
        <v>537.29999999999995</v>
      </c>
      <c r="H208" s="512"/>
      <c r="I208" s="513"/>
      <c r="J208" s="82"/>
      <c r="K208" s="82">
        <f>F208*G208</f>
        <v>537.29999999999995</v>
      </c>
      <c r="L208" s="82"/>
      <c r="M208" s="82"/>
      <c r="N208" s="86"/>
    </row>
    <row r="209" spans="2:14" ht="22.5" x14ac:dyDescent="0.25">
      <c r="B209" s="49"/>
      <c r="C209" s="57"/>
      <c r="D209" s="428" t="s">
        <v>1068</v>
      </c>
      <c r="E209" s="64"/>
      <c r="F209" s="94">
        <v>1</v>
      </c>
      <c r="G209" s="157" t="s">
        <v>1069</v>
      </c>
      <c r="H209" s="172" t="s">
        <v>1070</v>
      </c>
      <c r="I209" s="155" t="s">
        <v>611</v>
      </c>
      <c r="J209" s="186"/>
      <c r="K209" s="186"/>
      <c r="L209" s="82"/>
      <c r="M209" s="82"/>
      <c r="N209" s="86"/>
    </row>
    <row r="210" spans="2:14" ht="33.75" x14ac:dyDescent="0.25">
      <c r="B210" s="49"/>
      <c r="C210" s="57"/>
      <c r="D210" s="144" t="s">
        <v>1050</v>
      </c>
      <c r="E210" s="64"/>
      <c r="F210" s="105">
        <v>1</v>
      </c>
      <c r="G210" s="99">
        <v>0.92700000000000005</v>
      </c>
      <c r="H210" s="172">
        <v>4</v>
      </c>
      <c r="I210" s="155">
        <v>0.39500000000000002</v>
      </c>
      <c r="J210" s="82"/>
      <c r="K210" s="429">
        <f>G210*H210*I210</f>
        <v>1.4646600000000001</v>
      </c>
      <c r="L210" s="82"/>
      <c r="M210" s="82"/>
      <c r="N210" s="86"/>
    </row>
    <row r="211" spans="2:14" ht="33.75" x14ac:dyDescent="0.25">
      <c r="B211" s="49"/>
      <c r="C211" s="57"/>
      <c r="D211" s="144" t="s">
        <v>1051</v>
      </c>
      <c r="E211" s="64"/>
      <c r="F211" s="105">
        <v>1</v>
      </c>
      <c r="G211" s="99">
        <v>0.8</v>
      </c>
      <c r="H211" s="172">
        <v>4</v>
      </c>
      <c r="I211" s="155">
        <v>0.39500000000000002</v>
      </c>
      <c r="J211" s="82"/>
      <c r="K211" s="429">
        <f>G211*H211*I211</f>
        <v>1.2640000000000002</v>
      </c>
      <c r="L211" s="82"/>
      <c r="M211" s="82"/>
      <c r="N211" s="86"/>
    </row>
    <row r="212" spans="2:14" x14ac:dyDescent="0.25">
      <c r="B212" s="49"/>
      <c r="C212" s="57"/>
      <c r="D212" s="144" t="s">
        <v>1052</v>
      </c>
      <c r="E212" s="64"/>
      <c r="F212" s="105">
        <v>1</v>
      </c>
      <c r="G212" s="99">
        <f>(1.7+0.15+1.855)</f>
        <v>3.7050000000000001</v>
      </c>
      <c r="H212" s="172">
        <v>4</v>
      </c>
      <c r="I212" s="155">
        <v>0.39500000000000002</v>
      </c>
      <c r="J212" s="82"/>
      <c r="K212" s="429">
        <f>G212*H212*I212</f>
        <v>5.8539000000000003</v>
      </c>
      <c r="L212" s="82"/>
      <c r="M212" s="82"/>
      <c r="N212" s="86"/>
    </row>
    <row r="213" spans="2:14" x14ac:dyDescent="0.25">
      <c r="B213" s="49"/>
      <c r="C213" s="57"/>
      <c r="D213" s="144" t="s">
        <v>1053</v>
      </c>
      <c r="E213" s="64"/>
      <c r="F213" s="105">
        <v>1</v>
      </c>
      <c r="G213" s="99">
        <v>2.7</v>
      </c>
      <c r="H213" s="172">
        <v>4</v>
      </c>
      <c r="I213" s="155">
        <v>0.39500000000000002</v>
      </c>
      <c r="J213" s="82"/>
      <c r="K213" s="429">
        <f>G213*H213*I213</f>
        <v>4.2660000000000009</v>
      </c>
      <c r="L213" s="82"/>
      <c r="M213" s="82"/>
      <c r="N213" s="86"/>
    </row>
    <row r="214" spans="2:14" ht="22.5" x14ac:dyDescent="0.25">
      <c r="B214" s="49"/>
      <c r="C214" s="57"/>
      <c r="D214" s="144" t="s">
        <v>1071</v>
      </c>
      <c r="E214" s="64"/>
      <c r="F214" s="105">
        <v>2</v>
      </c>
      <c r="G214" s="99">
        <v>3.1</v>
      </c>
      <c r="H214" s="172">
        <v>4</v>
      </c>
      <c r="I214" s="155">
        <v>0.39500000000000002</v>
      </c>
      <c r="J214" s="82"/>
      <c r="K214" s="429">
        <f>G214*H214*I214</f>
        <v>4.8980000000000006</v>
      </c>
      <c r="L214" s="82"/>
      <c r="M214" s="82"/>
      <c r="N214" s="86"/>
    </row>
    <row r="215" spans="2:14" x14ac:dyDescent="0.25">
      <c r="B215" s="49"/>
      <c r="C215" s="57"/>
      <c r="D215" s="144"/>
      <c r="E215" s="64"/>
      <c r="F215" s="105"/>
      <c r="G215" s="374"/>
      <c r="H215" s="418"/>
      <c r="I215" s="430"/>
      <c r="J215" s="429"/>
      <c r="K215" s="186"/>
      <c r="L215" s="82"/>
      <c r="M215" s="82"/>
      <c r="N215" s="86"/>
    </row>
    <row r="216" spans="2:14" s="167" customFormat="1" ht="33.75" x14ac:dyDescent="0.25">
      <c r="B216" s="49" t="s">
        <v>63</v>
      </c>
      <c r="C216" s="57">
        <v>94966</v>
      </c>
      <c r="D216" s="52" t="s">
        <v>65</v>
      </c>
      <c r="E216" s="64" t="s">
        <v>41</v>
      </c>
      <c r="F216" s="94"/>
      <c r="G216" s="578" t="s">
        <v>1076</v>
      </c>
      <c r="H216" s="579"/>
      <c r="I216" s="580"/>
      <c r="J216" s="99">
        <f>'BOLETIM DE MEDIÇÃO 12'!T30</f>
        <v>22.889974999999996</v>
      </c>
      <c r="K216" s="81">
        <f>SUM(K218:K263)-21.16</f>
        <v>1.7294349999999952</v>
      </c>
      <c r="L216" s="82">
        <f t="shared" si="0"/>
        <v>24.619409999999991</v>
      </c>
      <c r="M216" s="82">
        <f>'BOLETIM DE MEDIÇÃO 12'!G30</f>
        <v>22.89</v>
      </c>
      <c r="N216" s="86">
        <f t="shared" si="1"/>
        <v>-1.7294099999999908</v>
      </c>
    </row>
    <row r="217" spans="2:14" s="167" customFormat="1" x14ac:dyDescent="0.25">
      <c r="B217" s="49"/>
      <c r="C217" s="57"/>
      <c r="D217" s="160" t="s">
        <v>588</v>
      </c>
      <c r="E217" s="64"/>
      <c r="F217" s="94"/>
      <c r="G217" s="506"/>
      <c r="H217" s="507"/>
      <c r="I217" s="508"/>
      <c r="J217" s="99"/>
      <c r="K217" s="82"/>
      <c r="L217" s="82"/>
      <c r="M217" s="82"/>
      <c r="N217" s="86"/>
    </row>
    <row r="218" spans="2:14" s="167" customFormat="1" ht="33.75" x14ac:dyDescent="0.25">
      <c r="B218" s="49"/>
      <c r="C218" s="57"/>
      <c r="D218" s="144" t="s">
        <v>569</v>
      </c>
      <c r="E218" s="64"/>
      <c r="F218" s="94">
        <v>32</v>
      </c>
      <c r="G218" s="104">
        <v>0.6</v>
      </c>
      <c r="H218" s="92">
        <v>0.7</v>
      </c>
      <c r="I218" s="105">
        <v>0.25</v>
      </c>
      <c r="J218" s="82"/>
      <c r="K218" s="82">
        <v>3.36</v>
      </c>
      <c r="L218" s="82"/>
      <c r="M218" s="82"/>
      <c r="N218" s="86"/>
    </row>
    <row r="219" spans="2:14" s="167" customFormat="1" ht="45" x14ac:dyDescent="0.25">
      <c r="B219" s="49"/>
      <c r="C219" s="57"/>
      <c r="D219" s="144" t="s">
        <v>570</v>
      </c>
      <c r="E219" s="64"/>
      <c r="F219" s="94">
        <v>41</v>
      </c>
      <c r="G219" s="104">
        <v>0.6</v>
      </c>
      <c r="H219" s="92">
        <v>0.7</v>
      </c>
      <c r="I219" s="105">
        <v>0.25</v>
      </c>
      <c r="J219" s="82"/>
      <c r="K219" s="82">
        <v>4.3049999999999997</v>
      </c>
      <c r="L219" s="82"/>
      <c r="M219" s="82"/>
      <c r="N219" s="86"/>
    </row>
    <row r="220" spans="2:14" s="167" customFormat="1" x14ac:dyDescent="0.25">
      <c r="B220" s="49"/>
      <c r="C220" s="57"/>
      <c r="D220" s="144" t="s">
        <v>571</v>
      </c>
      <c r="E220" s="64"/>
      <c r="F220" s="94">
        <v>1</v>
      </c>
      <c r="G220" s="104">
        <v>0.6</v>
      </c>
      <c r="H220" s="92">
        <v>0.8</v>
      </c>
      <c r="I220" s="105">
        <v>0.25</v>
      </c>
      <c r="J220" s="82"/>
      <c r="K220" s="82">
        <v>0.12</v>
      </c>
      <c r="L220" s="82"/>
      <c r="M220" s="82"/>
      <c r="N220" s="86"/>
    </row>
    <row r="221" spans="2:14" s="167" customFormat="1" x14ac:dyDescent="0.25">
      <c r="B221" s="49"/>
      <c r="C221" s="57"/>
      <c r="D221" s="144" t="s">
        <v>572</v>
      </c>
      <c r="E221" s="64"/>
      <c r="F221" s="94">
        <v>2</v>
      </c>
      <c r="G221" s="104">
        <v>0.9</v>
      </c>
      <c r="H221" s="92">
        <v>0.9</v>
      </c>
      <c r="I221" s="105">
        <v>0.25</v>
      </c>
      <c r="J221" s="82"/>
      <c r="K221" s="82">
        <v>0.40500000000000003</v>
      </c>
      <c r="L221" s="82"/>
      <c r="M221" s="82"/>
      <c r="N221" s="86"/>
    </row>
    <row r="222" spans="2:14" s="167" customFormat="1" x14ac:dyDescent="0.25">
      <c r="B222" s="49"/>
      <c r="C222" s="57"/>
      <c r="D222" s="144" t="s">
        <v>573</v>
      </c>
      <c r="E222" s="64"/>
      <c r="F222" s="94">
        <v>7</v>
      </c>
      <c r="G222" s="104">
        <v>0.65</v>
      </c>
      <c r="H222" s="92">
        <v>0.65</v>
      </c>
      <c r="I222" s="105">
        <v>0.25</v>
      </c>
      <c r="J222" s="82"/>
      <c r="K222" s="82">
        <v>0.73937500000000012</v>
      </c>
      <c r="L222" s="82"/>
      <c r="M222" s="82"/>
      <c r="N222" s="86"/>
    </row>
    <row r="223" spans="2:14" s="167" customFormat="1" x14ac:dyDescent="0.25">
      <c r="B223" s="49"/>
      <c r="C223" s="57"/>
      <c r="D223" s="144" t="s">
        <v>574</v>
      </c>
      <c r="E223" s="64"/>
      <c r="F223" s="94">
        <v>3</v>
      </c>
      <c r="G223" s="104">
        <v>0.65</v>
      </c>
      <c r="H223" s="92">
        <v>0.75</v>
      </c>
      <c r="I223" s="105">
        <v>0.25</v>
      </c>
      <c r="J223" s="82"/>
      <c r="K223" s="82">
        <v>0.36562500000000003</v>
      </c>
      <c r="L223" s="82"/>
      <c r="M223" s="82"/>
      <c r="N223" s="86"/>
    </row>
    <row r="224" spans="2:14" s="167" customFormat="1" x14ac:dyDescent="0.25">
      <c r="B224" s="49"/>
      <c r="C224" s="57"/>
      <c r="D224" s="144" t="s">
        <v>575</v>
      </c>
      <c r="E224" s="64"/>
      <c r="F224" s="94">
        <v>2</v>
      </c>
      <c r="G224" s="104">
        <v>0.55000000000000004</v>
      </c>
      <c r="H224" s="92">
        <v>0.95</v>
      </c>
      <c r="I224" s="105">
        <v>0.25</v>
      </c>
      <c r="J224" s="82"/>
      <c r="K224" s="82">
        <v>0.26124999999999998</v>
      </c>
      <c r="L224" s="82"/>
      <c r="M224" s="82"/>
      <c r="N224" s="86"/>
    </row>
    <row r="225" spans="2:14" s="167" customFormat="1" ht="14.45" customHeight="1" x14ac:dyDescent="0.25">
      <c r="B225" s="49"/>
      <c r="C225" s="57"/>
      <c r="D225" s="152" t="s">
        <v>646</v>
      </c>
      <c r="E225" s="64"/>
      <c r="F225" s="94"/>
      <c r="G225" s="509" t="s">
        <v>679</v>
      </c>
      <c r="H225" s="510"/>
      <c r="I225" s="105" t="s">
        <v>651</v>
      </c>
      <c r="J225" s="82"/>
      <c r="K225" s="82"/>
      <c r="L225" s="82"/>
      <c r="M225" s="82"/>
      <c r="N225" s="86"/>
    </row>
    <row r="226" spans="2:14" s="167" customFormat="1" x14ac:dyDescent="0.25">
      <c r="B226" s="49"/>
      <c r="C226" s="57"/>
      <c r="D226" s="144" t="s">
        <v>614</v>
      </c>
      <c r="E226" s="64"/>
      <c r="F226" s="94">
        <v>1</v>
      </c>
      <c r="G226" s="506" t="s">
        <v>680</v>
      </c>
      <c r="H226" s="511"/>
      <c r="I226" s="105">
        <v>1.85</v>
      </c>
      <c r="J226" s="82"/>
      <c r="K226" s="82">
        <v>0.13875000000000001</v>
      </c>
      <c r="L226" s="82"/>
      <c r="M226" s="82"/>
      <c r="N226" s="86"/>
    </row>
    <row r="227" spans="2:14" s="167" customFormat="1" x14ac:dyDescent="0.25">
      <c r="B227" s="49"/>
      <c r="C227" s="57"/>
      <c r="D227" s="144" t="s">
        <v>633</v>
      </c>
      <c r="E227" s="64"/>
      <c r="F227" s="94">
        <v>1</v>
      </c>
      <c r="G227" s="506" t="s">
        <v>681</v>
      </c>
      <c r="H227" s="511"/>
      <c r="I227" s="105">
        <v>1.87</v>
      </c>
      <c r="J227" s="82"/>
      <c r="K227" s="82">
        <v>0.17765000000000003</v>
      </c>
      <c r="L227" s="82"/>
      <c r="M227" s="82"/>
      <c r="N227" s="86"/>
    </row>
    <row r="228" spans="2:14" s="167" customFormat="1" ht="22.5" x14ac:dyDescent="0.25">
      <c r="B228" s="49"/>
      <c r="C228" s="57"/>
      <c r="D228" s="144" t="s">
        <v>629</v>
      </c>
      <c r="E228" s="64"/>
      <c r="F228" s="94">
        <v>1</v>
      </c>
      <c r="G228" s="506" t="s">
        <v>682</v>
      </c>
      <c r="H228" s="511"/>
      <c r="I228" s="105">
        <v>1.9</v>
      </c>
      <c r="J228" s="82"/>
      <c r="K228" s="82">
        <v>0.41800000000000004</v>
      </c>
      <c r="L228" s="82"/>
      <c r="M228" s="82"/>
      <c r="N228" s="86"/>
    </row>
    <row r="229" spans="2:14" s="167" customFormat="1" x14ac:dyDescent="0.25">
      <c r="B229" s="49"/>
      <c r="C229" s="57"/>
      <c r="D229" s="144" t="s">
        <v>630</v>
      </c>
      <c r="E229" s="64"/>
      <c r="F229" s="94">
        <v>1</v>
      </c>
      <c r="G229" s="506" t="s">
        <v>684</v>
      </c>
      <c r="H229" s="511"/>
      <c r="I229" s="105">
        <v>1.92</v>
      </c>
      <c r="J229" s="82"/>
      <c r="K229" s="82">
        <v>0.24</v>
      </c>
      <c r="L229" s="82"/>
      <c r="M229" s="82"/>
      <c r="N229" s="86"/>
    </row>
    <row r="230" spans="2:14" s="167" customFormat="1" x14ac:dyDescent="0.25">
      <c r="B230" s="49"/>
      <c r="C230" s="57"/>
      <c r="D230" s="144" t="s">
        <v>615</v>
      </c>
      <c r="E230" s="64"/>
      <c r="F230" s="94">
        <v>1</v>
      </c>
      <c r="G230" s="506" t="s">
        <v>683</v>
      </c>
      <c r="H230" s="511"/>
      <c r="I230" s="86">
        <v>1.94</v>
      </c>
      <c r="J230" s="82"/>
      <c r="K230" s="82">
        <v>0.26189999999999997</v>
      </c>
      <c r="L230" s="82"/>
      <c r="M230" s="82"/>
      <c r="N230" s="86"/>
    </row>
    <row r="231" spans="2:14" s="167" customFormat="1" ht="22.5" x14ac:dyDescent="0.25">
      <c r="B231" s="49"/>
      <c r="C231" s="57"/>
      <c r="D231" s="144" t="s">
        <v>616</v>
      </c>
      <c r="E231" s="64"/>
      <c r="F231" s="94">
        <v>1</v>
      </c>
      <c r="G231" s="506" t="s">
        <v>685</v>
      </c>
      <c r="H231" s="511"/>
      <c r="I231" s="86">
        <v>1.96</v>
      </c>
      <c r="J231" s="82"/>
      <c r="K231" s="82">
        <v>0.44100000000000006</v>
      </c>
      <c r="L231" s="82"/>
      <c r="M231" s="82"/>
      <c r="N231" s="86"/>
    </row>
    <row r="232" spans="2:14" s="167" customFormat="1" ht="22.9" customHeight="1" x14ac:dyDescent="0.25">
      <c r="B232" s="49"/>
      <c r="C232" s="57"/>
      <c r="D232" s="144" t="s">
        <v>617</v>
      </c>
      <c r="E232" s="64"/>
      <c r="F232" s="94">
        <v>1</v>
      </c>
      <c r="G232" s="509" t="s">
        <v>686</v>
      </c>
      <c r="H232" s="510"/>
      <c r="I232" s="86">
        <v>1.95</v>
      </c>
      <c r="J232" s="82"/>
      <c r="K232" s="82">
        <v>0.55574999999999997</v>
      </c>
      <c r="L232" s="82"/>
      <c r="M232" s="82"/>
      <c r="N232" s="86"/>
    </row>
    <row r="233" spans="2:14" s="167" customFormat="1" x14ac:dyDescent="0.25">
      <c r="B233" s="49"/>
      <c r="C233" s="57"/>
      <c r="D233" s="144" t="s">
        <v>618</v>
      </c>
      <c r="E233" s="64"/>
      <c r="F233" s="94">
        <v>1</v>
      </c>
      <c r="G233" s="506" t="s">
        <v>687</v>
      </c>
      <c r="H233" s="511"/>
      <c r="I233" s="86">
        <v>1.97</v>
      </c>
      <c r="J233" s="82"/>
      <c r="K233" s="82">
        <v>0.27087499999999998</v>
      </c>
      <c r="L233" s="82"/>
      <c r="M233" s="82"/>
      <c r="N233" s="86"/>
    </row>
    <row r="234" spans="2:14" s="167" customFormat="1" x14ac:dyDescent="0.25">
      <c r="B234" s="49"/>
      <c r="C234" s="57"/>
      <c r="D234" s="144" t="s">
        <v>631</v>
      </c>
      <c r="E234" s="64"/>
      <c r="F234" s="94">
        <v>1</v>
      </c>
      <c r="G234" s="506" t="s">
        <v>688</v>
      </c>
      <c r="H234" s="511"/>
      <c r="I234" s="86">
        <v>1.9</v>
      </c>
      <c r="J234" s="82"/>
      <c r="K234" s="82">
        <v>0.21375</v>
      </c>
      <c r="L234" s="82"/>
      <c r="M234" s="82"/>
      <c r="N234" s="86"/>
    </row>
    <row r="235" spans="2:14" s="167" customFormat="1" ht="21" customHeight="1" x14ac:dyDescent="0.25">
      <c r="B235" s="49"/>
      <c r="C235" s="57"/>
      <c r="D235" s="144" t="s">
        <v>632</v>
      </c>
      <c r="E235" s="64"/>
      <c r="F235" s="94">
        <v>1</v>
      </c>
      <c r="G235" s="509" t="s">
        <v>689</v>
      </c>
      <c r="H235" s="510"/>
      <c r="I235" s="86">
        <v>1.86</v>
      </c>
      <c r="J235" s="82"/>
      <c r="K235" s="82">
        <v>0.29294999999999999</v>
      </c>
      <c r="L235" s="82"/>
      <c r="M235" s="82"/>
      <c r="N235" s="86"/>
    </row>
    <row r="236" spans="2:14" s="167" customFormat="1" x14ac:dyDescent="0.25">
      <c r="B236" s="49"/>
      <c r="C236" s="57"/>
      <c r="D236" s="144" t="s">
        <v>634</v>
      </c>
      <c r="E236" s="64"/>
      <c r="F236" s="94">
        <v>1</v>
      </c>
      <c r="G236" s="506" t="s">
        <v>690</v>
      </c>
      <c r="H236" s="511"/>
      <c r="I236" s="86">
        <v>1.87</v>
      </c>
      <c r="J236" s="82"/>
      <c r="K236" s="82">
        <v>0.26180000000000003</v>
      </c>
      <c r="L236" s="82"/>
      <c r="M236" s="82"/>
      <c r="N236" s="86"/>
    </row>
    <row r="237" spans="2:14" s="167" customFormat="1" ht="14.45" customHeight="1" x14ac:dyDescent="0.25">
      <c r="B237" s="49"/>
      <c r="C237" s="57"/>
      <c r="D237" s="144" t="s">
        <v>619</v>
      </c>
      <c r="E237" s="64"/>
      <c r="F237" s="94">
        <v>1</v>
      </c>
      <c r="G237" s="509" t="s">
        <v>691</v>
      </c>
      <c r="H237" s="510"/>
      <c r="I237" s="86">
        <v>1.9</v>
      </c>
      <c r="J237" s="82"/>
      <c r="K237" s="82">
        <v>0.3705</v>
      </c>
      <c r="L237" s="82"/>
      <c r="M237" s="82"/>
      <c r="N237" s="86"/>
    </row>
    <row r="238" spans="2:14" s="167" customFormat="1" x14ac:dyDescent="0.25">
      <c r="B238" s="49"/>
      <c r="C238" s="57"/>
      <c r="D238" s="144" t="s">
        <v>620</v>
      </c>
      <c r="E238" s="64"/>
      <c r="F238" s="94">
        <v>1</v>
      </c>
      <c r="G238" s="506" t="s">
        <v>692</v>
      </c>
      <c r="H238" s="511"/>
      <c r="I238" s="86">
        <v>1.91</v>
      </c>
      <c r="J238" s="82"/>
      <c r="K238" s="82">
        <v>0.18622499999999997</v>
      </c>
      <c r="L238" s="82"/>
      <c r="M238" s="82"/>
      <c r="N238" s="86"/>
    </row>
    <row r="239" spans="2:14" s="167" customFormat="1" ht="20.45" customHeight="1" x14ac:dyDescent="0.25">
      <c r="B239" s="49"/>
      <c r="C239" s="57"/>
      <c r="D239" s="144" t="s">
        <v>621</v>
      </c>
      <c r="E239" s="64"/>
      <c r="F239" s="94">
        <v>1</v>
      </c>
      <c r="G239" s="506" t="s">
        <v>693</v>
      </c>
      <c r="H239" s="511"/>
      <c r="I239" s="86">
        <v>1.94</v>
      </c>
      <c r="J239" s="82"/>
      <c r="K239" s="82">
        <v>0.48499999999999999</v>
      </c>
      <c r="L239" s="82"/>
      <c r="M239" s="82"/>
      <c r="N239" s="86"/>
    </row>
    <row r="240" spans="2:14" s="167" customFormat="1" ht="14.45" customHeight="1" x14ac:dyDescent="0.25">
      <c r="B240" s="49"/>
      <c r="C240" s="57"/>
      <c r="D240" s="144" t="s">
        <v>622</v>
      </c>
      <c r="E240" s="64"/>
      <c r="F240" s="94">
        <v>1</v>
      </c>
      <c r="G240" s="509" t="s">
        <v>694</v>
      </c>
      <c r="H240" s="510"/>
      <c r="I240" s="86">
        <v>1.93</v>
      </c>
      <c r="J240" s="82"/>
      <c r="K240" s="82">
        <v>0.28949999999999998</v>
      </c>
      <c r="L240" s="82"/>
      <c r="M240" s="82"/>
      <c r="N240" s="86"/>
    </row>
    <row r="241" spans="2:14" s="167" customFormat="1" x14ac:dyDescent="0.25">
      <c r="B241" s="49"/>
      <c r="C241" s="57"/>
      <c r="D241" s="144" t="s">
        <v>635</v>
      </c>
      <c r="E241" s="64"/>
      <c r="F241" s="94">
        <v>1</v>
      </c>
      <c r="G241" s="506" t="s">
        <v>695</v>
      </c>
      <c r="H241" s="511"/>
      <c r="I241" s="86">
        <v>1.92</v>
      </c>
      <c r="J241" s="82"/>
      <c r="K241" s="82">
        <v>0.26400000000000001</v>
      </c>
      <c r="L241" s="82"/>
      <c r="M241" s="82"/>
      <c r="N241" s="86"/>
    </row>
    <row r="242" spans="2:14" s="167" customFormat="1" ht="22.15" customHeight="1" x14ac:dyDescent="0.25">
      <c r="B242" s="49"/>
      <c r="C242" s="57"/>
      <c r="D242" s="144" t="s">
        <v>623</v>
      </c>
      <c r="E242" s="64"/>
      <c r="F242" s="94">
        <v>1</v>
      </c>
      <c r="G242" s="506" t="s">
        <v>696</v>
      </c>
      <c r="H242" s="511"/>
      <c r="I242" s="86">
        <v>1.87</v>
      </c>
      <c r="J242" s="82"/>
      <c r="K242" s="82">
        <v>0.32725000000000004</v>
      </c>
      <c r="L242" s="82"/>
      <c r="M242" s="82"/>
      <c r="N242" s="86"/>
    </row>
    <row r="243" spans="2:14" s="167" customFormat="1" x14ac:dyDescent="0.25">
      <c r="B243" s="49"/>
      <c r="C243" s="57"/>
      <c r="D243" s="144" t="s">
        <v>624</v>
      </c>
      <c r="E243" s="64"/>
      <c r="F243" s="94">
        <v>1</v>
      </c>
      <c r="G243" s="506" t="s">
        <v>697</v>
      </c>
      <c r="H243" s="511"/>
      <c r="I243" s="86">
        <v>1.88</v>
      </c>
      <c r="J243" s="82"/>
      <c r="K243" s="82">
        <v>0.30549999999999999</v>
      </c>
      <c r="L243" s="82"/>
      <c r="M243" s="82"/>
      <c r="N243" s="86"/>
    </row>
    <row r="244" spans="2:14" s="167" customFormat="1" ht="27" customHeight="1" x14ac:dyDescent="0.25">
      <c r="B244" s="49"/>
      <c r="C244" s="57"/>
      <c r="D244" s="144" t="s">
        <v>625</v>
      </c>
      <c r="E244" s="64"/>
      <c r="F244" s="94">
        <v>1</v>
      </c>
      <c r="G244" s="506" t="s">
        <v>698</v>
      </c>
      <c r="H244" s="511"/>
      <c r="I244" s="86">
        <v>1.9</v>
      </c>
      <c r="J244" s="82"/>
      <c r="K244" s="82">
        <v>0.40375000000000005</v>
      </c>
      <c r="L244" s="82"/>
      <c r="M244" s="82"/>
      <c r="N244" s="86"/>
    </row>
    <row r="245" spans="2:14" s="167" customFormat="1" x14ac:dyDescent="0.25">
      <c r="B245" s="49"/>
      <c r="C245" s="57"/>
      <c r="D245" s="144" t="s">
        <v>637</v>
      </c>
      <c r="E245" s="64"/>
      <c r="F245" s="94">
        <v>1</v>
      </c>
      <c r="G245" s="506" t="s">
        <v>699</v>
      </c>
      <c r="H245" s="511"/>
      <c r="I245" s="86">
        <v>1.9</v>
      </c>
      <c r="J245" s="82"/>
      <c r="K245" s="82">
        <v>7.6000000000000012E-2</v>
      </c>
      <c r="L245" s="82"/>
      <c r="M245" s="82"/>
      <c r="N245" s="86"/>
    </row>
    <row r="246" spans="2:14" s="167" customFormat="1" x14ac:dyDescent="0.25">
      <c r="B246" s="49"/>
      <c r="C246" s="57"/>
      <c r="D246" s="144" t="s">
        <v>636</v>
      </c>
      <c r="E246" s="64"/>
      <c r="F246" s="94">
        <v>1</v>
      </c>
      <c r="G246" s="506" t="s">
        <v>700</v>
      </c>
      <c r="H246" s="511"/>
      <c r="I246" s="86">
        <v>1.97</v>
      </c>
      <c r="J246" s="82"/>
      <c r="K246" s="82">
        <v>0.172375</v>
      </c>
      <c r="L246" s="82"/>
      <c r="M246" s="82"/>
      <c r="N246" s="86"/>
    </row>
    <row r="247" spans="2:14" s="167" customFormat="1" ht="25.15" customHeight="1" x14ac:dyDescent="0.25">
      <c r="B247" s="49"/>
      <c r="C247" s="57"/>
      <c r="D247" s="144" t="s">
        <v>638</v>
      </c>
      <c r="E247" s="64"/>
      <c r="F247" s="94">
        <v>1</v>
      </c>
      <c r="G247" s="506" t="s">
        <v>701</v>
      </c>
      <c r="H247" s="511"/>
      <c r="I247" s="86">
        <v>2</v>
      </c>
      <c r="J247" s="82"/>
      <c r="K247" s="82">
        <v>0.25</v>
      </c>
      <c r="L247" s="82"/>
      <c r="M247" s="82"/>
      <c r="N247" s="86"/>
    </row>
    <row r="248" spans="2:14" s="167" customFormat="1" ht="20.45" customHeight="1" x14ac:dyDescent="0.25">
      <c r="B248" s="49"/>
      <c r="C248" s="57"/>
      <c r="D248" s="144" t="s">
        <v>626</v>
      </c>
      <c r="E248" s="64"/>
      <c r="F248" s="94">
        <v>1</v>
      </c>
      <c r="G248" s="509" t="s">
        <v>702</v>
      </c>
      <c r="H248" s="510"/>
      <c r="I248" s="86">
        <v>2.0099999999999998</v>
      </c>
      <c r="J248" s="82"/>
      <c r="K248" s="82">
        <v>0.62309999999999999</v>
      </c>
      <c r="L248" s="82"/>
      <c r="M248" s="82"/>
      <c r="N248" s="86"/>
    </row>
    <row r="249" spans="2:14" s="167" customFormat="1" x14ac:dyDescent="0.25">
      <c r="B249" s="49"/>
      <c r="C249" s="57"/>
      <c r="D249" s="144" t="s">
        <v>639</v>
      </c>
      <c r="E249" s="64"/>
      <c r="F249" s="94">
        <v>1</v>
      </c>
      <c r="G249" s="506" t="s">
        <v>704</v>
      </c>
      <c r="H249" s="511"/>
      <c r="I249" s="86">
        <v>1.86</v>
      </c>
      <c r="J249" s="82"/>
      <c r="K249" s="82">
        <v>8.3699999999999997E-2</v>
      </c>
      <c r="L249" s="82"/>
      <c r="M249" s="82"/>
      <c r="N249" s="86"/>
    </row>
    <row r="250" spans="2:14" s="167" customFormat="1" x14ac:dyDescent="0.25">
      <c r="B250" s="49"/>
      <c r="C250" s="57"/>
      <c r="D250" s="144" t="s">
        <v>640</v>
      </c>
      <c r="E250" s="64"/>
      <c r="F250" s="94">
        <v>1</v>
      </c>
      <c r="G250" s="506" t="s">
        <v>703</v>
      </c>
      <c r="H250" s="511"/>
      <c r="I250" s="86">
        <v>1.87</v>
      </c>
      <c r="J250" s="82"/>
      <c r="K250" s="82">
        <v>8.4150000000000003E-2</v>
      </c>
      <c r="L250" s="82"/>
      <c r="M250" s="82"/>
      <c r="N250" s="86"/>
    </row>
    <row r="251" spans="2:14" s="167" customFormat="1" x14ac:dyDescent="0.25">
      <c r="B251" s="49"/>
      <c r="C251" s="57"/>
      <c r="D251" s="144" t="s">
        <v>641</v>
      </c>
      <c r="E251" s="64"/>
      <c r="F251" s="94">
        <v>1</v>
      </c>
      <c r="G251" s="506" t="s">
        <v>703</v>
      </c>
      <c r="H251" s="511"/>
      <c r="I251" s="86">
        <v>1.89</v>
      </c>
      <c r="J251" s="82"/>
      <c r="K251" s="82">
        <v>0.14174999999999999</v>
      </c>
      <c r="L251" s="82"/>
      <c r="M251" s="82"/>
      <c r="N251" s="86"/>
    </row>
    <row r="252" spans="2:14" s="167" customFormat="1" x14ac:dyDescent="0.25">
      <c r="B252" s="49"/>
      <c r="C252" s="57"/>
      <c r="D252" s="144" t="s">
        <v>642</v>
      </c>
      <c r="E252" s="64"/>
      <c r="F252" s="94">
        <v>1</v>
      </c>
      <c r="G252" s="506" t="s">
        <v>705</v>
      </c>
      <c r="H252" s="511"/>
      <c r="I252" s="86">
        <v>1.9</v>
      </c>
      <c r="J252" s="82"/>
      <c r="K252" s="82">
        <v>7.1249999999999994E-2</v>
      </c>
      <c r="L252" s="82"/>
      <c r="M252" s="82"/>
      <c r="N252" s="86"/>
    </row>
    <row r="253" spans="2:14" s="167" customFormat="1" x14ac:dyDescent="0.25">
      <c r="B253" s="49"/>
      <c r="C253" s="57"/>
      <c r="D253" s="144" t="s">
        <v>643</v>
      </c>
      <c r="E253" s="64"/>
      <c r="F253" s="94">
        <v>1</v>
      </c>
      <c r="G253" s="506" t="s">
        <v>704</v>
      </c>
      <c r="H253" s="511"/>
      <c r="I253" s="86">
        <v>1.92</v>
      </c>
      <c r="J253" s="82"/>
      <c r="K253" s="82">
        <v>8.6399999999999991E-2</v>
      </c>
      <c r="L253" s="82"/>
      <c r="M253" s="82"/>
      <c r="N253" s="86"/>
    </row>
    <row r="254" spans="2:14" s="167" customFormat="1" x14ac:dyDescent="0.25">
      <c r="B254" s="49"/>
      <c r="C254" s="57"/>
      <c r="D254" s="144" t="s">
        <v>644</v>
      </c>
      <c r="E254" s="64"/>
      <c r="F254" s="94">
        <v>1</v>
      </c>
      <c r="G254" s="506" t="s">
        <v>705</v>
      </c>
      <c r="H254" s="511"/>
      <c r="I254" s="86">
        <v>1.9</v>
      </c>
      <c r="J254" s="82"/>
      <c r="K254" s="82">
        <v>7.1249999999999994E-2</v>
      </c>
      <c r="L254" s="82"/>
      <c r="M254" s="82"/>
      <c r="N254" s="86"/>
    </row>
    <row r="255" spans="2:14" s="167" customFormat="1" ht="20.45" customHeight="1" x14ac:dyDescent="0.25">
      <c r="B255" s="49"/>
      <c r="C255" s="57"/>
      <c r="D255" s="144" t="s">
        <v>645</v>
      </c>
      <c r="E255" s="64"/>
      <c r="F255" s="94">
        <v>1</v>
      </c>
      <c r="G255" s="506" t="s">
        <v>704</v>
      </c>
      <c r="H255" s="511"/>
      <c r="I255" s="86">
        <v>1.98</v>
      </c>
      <c r="J255" s="82"/>
      <c r="K255" s="82">
        <v>8.9099999999999999E-2</v>
      </c>
      <c r="L255" s="82"/>
      <c r="M255" s="82"/>
      <c r="N255" s="86"/>
    </row>
    <row r="256" spans="2:14" s="167" customFormat="1" x14ac:dyDescent="0.25">
      <c r="B256" s="49"/>
      <c r="C256" s="57"/>
      <c r="D256" s="144" t="s">
        <v>707</v>
      </c>
      <c r="E256" s="64"/>
      <c r="F256" s="94">
        <v>1</v>
      </c>
      <c r="G256" s="506">
        <v>9.6</v>
      </c>
      <c r="H256" s="507"/>
      <c r="I256" s="508"/>
      <c r="J256" s="82"/>
      <c r="K256" s="82">
        <v>-9.6</v>
      </c>
      <c r="L256" s="82"/>
      <c r="M256" s="82"/>
      <c r="N256" s="86"/>
    </row>
    <row r="257" spans="2:21" s="167" customFormat="1" x14ac:dyDescent="0.25">
      <c r="B257" s="49"/>
      <c r="C257" s="57"/>
      <c r="D257" s="152" t="s">
        <v>1067</v>
      </c>
      <c r="E257" s="64"/>
      <c r="F257" s="94">
        <v>1</v>
      </c>
      <c r="G257" s="506">
        <v>14.85</v>
      </c>
      <c r="H257" s="507"/>
      <c r="I257" s="508"/>
      <c r="J257" s="82"/>
      <c r="K257" s="82">
        <v>14.85</v>
      </c>
      <c r="L257" s="82"/>
      <c r="M257" s="82"/>
      <c r="N257" s="86"/>
    </row>
    <row r="258" spans="2:21" s="167" customFormat="1" ht="22.5" x14ac:dyDescent="0.25">
      <c r="B258" s="49"/>
      <c r="C258" s="57"/>
      <c r="D258" s="428" t="s">
        <v>1072</v>
      </c>
      <c r="E258" s="64"/>
      <c r="F258" s="94">
        <v>1</v>
      </c>
      <c r="G258" s="104" t="s">
        <v>1073</v>
      </c>
      <c r="H258" s="92" t="s">
        <v>649</v>
      </c>
      <c r="I258" s="105" t="s">
        <v>651</v>
      </c>
      <c r="J258" s="82"/>
      <c r="K258" s="82"/>
      <c r="L258" s="82"/>
      <c r="M258" s="82"/>
      <c r="N258" s="86"/>
    </row>
    <row r="259" spans="2:21" s="167" customFormat="1" ht="33.75" x14ac:dyDescent="0.25">
      <c r="B259" s="49"/>
      <c r="C259" s="57"/>
      <c r="D259" s="144" t="s">
        <v>1050</v>
      </c>
      <c r="E259" s="64"/>
      <c r="F259" s="105">
        <v>1</v>
      </c>
      <c r="G259" s="99">
        <v>0.92700000000000005</v>
      </c>
      <c r="H259" s="92">
        <v>0.15</v>
      </c>
      <c r="I259" s="105">
        <v>0.2</v>
      </c>
      <c r="J259" s="82"/>
      <c r="K259" s="82">
        <v>2.7810000000000001E-2</v>
      </c>
      <c r="L259" s="82"/>
      <c r="M259" s="82"/>
      <c r="N259" s="86"/>
    </row>
    <row r="260" spans="2:21" s="167" customFormat="1" ht="33.75" x14ac:dyDescent="0.25">
      <c r="B260" s="49"/>
      <c r="C260" s="57"/>
      <c r="D260" s="144" t="s">
        <v>1051</v>
      </c>
      <c r="E260" s="64"/>
      <c r="F260" s="105">
        <v>1</v>
      </c>
      <c r="G260" s="99">
        <v>0.8</v>
      </c>
      <c r="H260" s="92">
        <v>0.15</v>
      </c>
      <c r="I260" s="105">
        <v>0.2</v>
      </c>
      <c r="J260" s="82"/>
      <c r="K260" s="82">
        <v>2.4E-2</v>
      </c>
      <c r="L260" s="82"/>
      <c r="M260" s="82"/>
      <c r="N260" s="86"/>
    </row>
    <row r="261" spans="2:21" s="167" customFormat="1" x14ac:dyDescent="0.25">
      <c r="B261" s="49"/>
      <c r="C261" s="57"/>
      <c r="D261" s="144" t="s">
        <v>1052</v>
      </c>
      <c r="E261" s="64"/>
      <c r="F261" s="105">
        <v>1</v>
      </c>
      <c r="G261" s="99">
        <f>(1.7+0.15+1.855)</f>
        <v>3.7050000000000001</v>
      </c>
      <c r="H261" s="92">
        <v>0.15</v>
      </c>
      <c r="I261" s="105">
        <v>0.2</v>
      </c>
      <c r="J261" s="82"/>
      <c r="K261" s="82">
        <v>0.11115</v>
      </c>
      <c r="L261" s="82"/>
      <c r="M261" s="82"/>
      <c r="N261" s="86"/>
    </row>
    <row r="262" spans="2:21" s="167" customFormat="1" x14ac:dyDescent="0.25">
      <c r="B262" s="49"/>
      <c r="C262" s="57"/>
      <c r="D262" s="144" t="s">
        <v>1053</v>
      </c>
      <c r="E262" s="64"/>
      <c r="F262" s="105">
        <v>1</v>
      </c>
      <c r="G262" s="99">
        <v>2.7</v>
      </c>
      <c r="H262" s="92">
        <v>0.15</v>
      </c>
      <c r="I262" s="105">
        <v>0.2</v>
      </c>
      <c r="J262" s="82"/>
      <c r="K262" s="82">
        <v>8.1000000000000016E-2</v>
      </c>
      <c r="L262" s="82"/>
      <c r="M262" s="82"/>
      <c r="N262" s="86"/>
    </row>
    <row r="263" spans="2:21" s="167" customFormat="1" ht="22.5" x14ac:dyDescent="0.25">
      <c r="B263" s="49"/>
      <c r="C263" s="57"/>
      <c r="D263" s="144" t="s">
        <v>1071</v>
      </c>
      <c r="E263" s="64"/>
      <c r="F263" s="105">
        <v>2</v>
      </c>
      <c r="G263" s="99">
        <v>3.1</v>
      </c>
      <c r="H263" s="92">
        <v>0.15</v>
      </c>
      <c r="I263" s="105">
        <v>0.2</v>
      </c>
      <c r="J263" s="82"/>
      <c r="K263" s="82">
        <v>0.186</v>
      </c>
      <c r="L263" s="82"/>
      <c r="M263" s="82"/>
      <c r="N263" s="86"/>
    </row>
    <row r="264" spans="2:21" ht="30.6" hidden="1" customHeight="1" x14ac:dyDescent="0.25">
      <c r="B264" s="49" t="s">
        <v>66</v>
      </c>
      <c r="C264" s="57">
        <v>94964</v>
      </c>
      <c r="D264" s="52" t="s">
        <v>68</v>
      </c>
      <c r="E264" s="64" t="s">
        <v>41</v>
      </c>
      <c r="F264" s="94"/>
      <c r="G264" s="581" t="s">
        <v>1077</v>
      </c>
      <c r="H264" s="582"/>
      <c r="I264" s="583"/>
      <c r="J264" s="99">
        <f>'BOLETIM DE MEDIÇÃO 05'!O31-'MEMORIAL DE CALCULO 10'!K264</f>
        <v>9.6</v>
      </c>
      <c r="K264" s="81">
        <f>G269</f>
        <v>0</v>
      </c>
      <c r="L264" s="82">
        <f t="shared" si="0"/>
        <v>9.6</v>
      </c>
      <c r="M264" s="82">
        <f>'BOLETIM DE MEDIÇÃO 05'!G31</f>
        <v>9.6</v>
      </c>
      <c r="N264" s="86">
        <f t="shared" si="1"/>
        <v>0</v>
      </c>
    </row>
    <row r="265" spans="2:21" hidden="1" x14ac:dyDescent="0.25">
      <c r="B265" s="49"/>
      <c r="C265" s="57"/>
      <c r="D265" s="160" t="s">
        <v>588</v>
      </c>
      <c r="E265" s="64"/>
      <c r="F265" s="94"/>
      <c r="G265" s="506"/>
      <c r="H265" s="507"/>
      <c r="I265" s="508"/>
      <c r="J265" s="99"/>
      <c r="K265" s="82"/>
      <c r="L265" s="82"/>
      <c r="M265" s="82"/>
      <c r="N265" s="86"/>
    </row>
    <row r="266" spans="2:21" hidden="1" x14ac:dyDescent="0.25">
      <c r="B266" s="49"/>
      <c r="C266" s="57"/>
      <c r="D266" s="160"/>
      <c r="E266" s="64"/>
      <c r="F266" s="94"/>
      <c r="G266" s="373"/>
      <c r="H266" s="374"/>
      <c r="I266" s="318"/>
      <c r="J266" s="99"/>
      <c r="K266" s="82"/>
      <c r="L266" s="82"/>
      <c r="M266" s="82"/>
      <c r="N266" s="86"/>
    </row>
    <row r="267" spans="2:21" hidden="1" x14ac:dyDescent="0.25">
      <c r="B267" s="49"/>
      <c r="C267" s="57"/>
      <c r="D267" s="160"/>
      <c r="E267" s="64"/>
      <c r="F267" s="94"/>
      <c r="G267" s="373"/>
      <c r="H267" s="374"/>
      <c r="I267" s="318"/>
      <c r="J267" s="99"/>
      <c r="K267" s="82"/>
      <c r="L267" s="82"/>
      <c r="M267" s="82"/>
      <c r="N267" s="86"/>
    </row>
    <row r="268" spans="2:21" hidden="1" x14ac:dyDescent="0.25">
      <c r="B268" s="49"/>
      <c r="C268" s="57"/>
      <c r="D268" s="160"/>
      <c r="E268" s="64"/>
      <c r="F268" s="94"/>
      <c r="G268" s="373"/>
      <c r="H268" s="374"/>
      <c r="I268" s="318"/>
      <c r="J268" s="99"/>
      <c r="K268" s="82"/>
      <c r="L268" s="82"/>
      <c r="M268" s="82"/>
      <c r="N268" s="86"/>
    </row>
    <row r="269" spans="2:21" x14ac:dyDescent="0.25">
      <c r="B269" s="49"/>
      <c r="C269" s="57"/>
      <c r="D269" s="144"/>
      <c r="E269" s="64"/>
      <c r="F269" s="94"/>
      <c r="G269" s="506"/>
      <c r="H269" s="507"/>
      <c r="I269" s="508"/>
      <c r="J269" s="99"/>
      <c r="K269" s="82"/>
      <c r="L269" s="82"/>
      <c r="M269" s="82"/>
      <c r="N269" s="86"/>
      <c r="S269" s="161"/>
      <c r="T269" s="161"/>
      <c r="U269" s="162"/>
    </row>
    <row r="270" spans="2:21" ht="33.75" x14ac:dyDescent="0.25">
      <c r="B270" s="49" t="s">
        <v>69</v>
      </c>
      <c r="C270" s="57">
        <v>103670</v>
      </c>
      <c r="D270" s="52" t="s">
        <v>71</v>
      </c>
      <c r="E270" s="64" t="s">
        <v>41</v>
      </c>
      <c r="F270" s="94"/>
      <c r="G270" s="581" t="s">
        <v>1077</v>
      </c>
      <c r="H270" s="582"/>
      <c r="I270" s="583"/>
      <c r="J270" s="99">
        <v>30.76</v>
      </c>
      <c r="K270" s="81">
        <v>1.73</v>
      </c>
      <c r="L270" s="82">
        <f t="shared" si="0"/>
        <v>32.49</v>
      </c>
      <c r="M270" s="82">
        <f>'BOLETIM DE MEDIÇÃO 12'!G32</f>
        <v>32.49</v>
      </c>
      <c r="N270" s="86">
        <f t="shared" si="1"/>
        <v>0</v>
      </c>
    </row>
    <row r="271" spans="2:21" x14ac:dyDescent="0.25">
      <c r="B271" s="49"/>
      <c r="C271" s="57"/>
      <c r="D271" s="143" t="s">
        <v>1078</v>
      </c>
      <c r="E271" s="64"/>
      <c r="F271" s="94">
        <v>1</v>
      </c>
      <c r="G271" s="506">
        <v>30.76</v>
      </c>
      <c r="H271" s="507"/>
      <c r="I271" s="508"/>
      <c r="J271" s="82"/>
      <c r="K271" s="82">
        <f>G271</f>
        <v>30.76</v>
      </c>
      <c r="L271" s="82"/>
      <c r="M271" s="82"/>
      <c r="N271" s="86"/>
    </row>
    <row r="272" spans="2:21" x14ac:dyDescent="0.25">
      <c r="B272" s="49"/>
      <c r="C272" s="57"/>
      <c r="D272" s="143" t="s">
        <v>1079</v>
      </c>
      <c r="E272" s="64"/>
      <c r="F272" s="94">
        <v>1</v>
      </c>
      <c r="G272" s="506">
        <f>J218+9.6</f>
        <v>9.6</v>
      </c>
      <c r="H272" s="507"/>
      <c r="I272" s="508"/>
      <c r="J272" s="82"/>
      <c r="K272" s="82">
        <f>G272</f>
        <v>9.6</v>
      </c>
      <c r="L272" s="82"/>
      <c r="M272" s="82"/>
      <c r="N272" s="86"/>
    </row>
    <row r="273" spans="2:14" x14ac:dyDescent="0.25">
      <c r="B273" s="49"/>
      <c r="C273" s="57"/>
      <c r="D273" s="143"/>
      <c r="E273" s="64"/>
      <c r="F273" s="94"/>
      <c r="G273" s="506"/>
      <c r="H273" s="507"/>
      <c r="I273" s="508"/>
      <c r="J273" s="99"/>
      <c r="K273" s="82">
        <f>F273*G273</f>
        <v>0</v>
      </c>
      <c r="L273" s="82"/>
      <c r="M273" s="82"/>
      <c r="N273" s="86"/>
    </row>
    <row r="274" spans="2:14" ht="23.45" customHeight="1" x14ac:dyDescent="0.25">
      <c r="B274" s="49" t="s">
        <v>72</v>
      </c>
      <c r="C274" s="57">
        <v>96543</v>
      </c>
      <c r="D274" s="52" t="s">
        <v>74</v>
      </c>
      <c r="E274" s="64" t="s">
        <v>62</v>
      </c>
      <c r="F274" s="94"/>
      <c r="G274" s="581" t="s">
        <v>831</v>
      </c>
      <c r="H274" s="582"/>
      <c r="I274" s="583"/>
      <c r="J274" s="99">
        <f>'BOLETIM DE MEDIÇÃO 12'!T33-'MEMORIAL DE CALCULO 10'!K274</f>
        <v>404.40186566666659</v>
      </c>
      <c r="K274" s="81">
        <f>SUM(K276:K312)-404.4</f>
        <v>47.486177533333375</v>
      </c>
      <c r="L274" s="82">
        <f t="shared" si="0"/>
        <v>451.88804319999997</v>
      </c>
      <c r="M274" s="82">
        <v>451.89</v>
      </c>
      <c r="N274" s="86">
        <f>M274-L274</f>
        <v>1.9568000000163011E-3</v>
      </c>
    </row>
    <row r="275" spans="2:14" ht="19.149999999999999" customHeight="1" x14ac:dyDescent="0.25">
      <c r="B275" s="49"/>
      <c r="C275" s="57"/>
      <c r="D275" s="152" t="s">
        <v>646</v>
      </c>
      <c r="E275" s="64"/>
      <c r="F275" s="94"/>
      <c r="G275" s="509" t="s">
        <v>647</v>
      </c>
      <c r="H275" s="510"/>
      <c r="I275" s="122" t="s">
        <v>611</v>
      </c>
      <c r="J275" s="99"/>
      <c r="K275" s="82"/>
      <c r="L275" s="82"/>
      <c r="M275" s="82"/>
      <c r="N275" s="86"/>
    </row>
    <row r="276" spans="2:14" x14ac:dyDescent="0.25">
      <c r="B276" s="49"/>
      <c r="C276" s="57"/>
      <c r="D276" s="144" t="s">
        <v>614</v>
      </c>
      <c r="E276" s="64"/>
      <c r="F276" s="105">
        <v>1</v>
      </c>
      <c r="G276" s="506">
        <f xml:space="preserve"> ((0.59*(1.85/0.1)) * 2)</f>
        <v>21.83</v>
      </c>
      <c r="H276" s="511"/>
      <c r="I276" s="155">
        <v>0.154</v>
      </c>
      <c r="J276" s="99"/>
      <c r="K276" s="82">
        <f>F276*G276*I276</f>
        <v>3.3618199999999998</v>
      </c>
      <c r="L276" s="82"/>
      <c r="M276" s="82"/>
      <c r="N276" s="86"/>
    </row>
    <row r="277" spans="2:14" x14ac:dyDescent="0.25">
      <c r="B277" s="49"/>
      <c r="C277" s="57"/>
      <c r="D277" s="144" t="s">
        <v>633</v>
      </c>
      <c r="E277" s="64"/>
      <c r="F277" s="105">
        <v>1</v>
      </c>
      <c r="G277" s="506">
        <f>(0.69*(1.87/0.1)) + (0.79*(1.87/0.1))</f>
        <v>27.675999999999998</v>
      </c>
      <c r="H277" s="511"/>
      <c r="I277" s="155">
        <v>0.154</v>
      </c>
      <c r="J277" s="99"/>
      <c r="K277" s="82">
        <f t="shared" ref="K277:K305" si="8">F277*G277*I277</f>
        <v>4.2621039999999999</v>
      </c>
      <c r="L277" s="82"/>
      <c r="M277" s="82"/>
      <c r="N277" s="86"/>
    </row>
    <row r="278" spans="2:14" ht="18" customHeight="1" x14ac:dyDescent="0.25">
      <c r="B278" s="49"/>
      <c r="C278" s="57"/>
      <c r="D278" s="144" t="s">
        <v>629</v>
      </c>
      <c r="E278" s="64"/>
      <c r="F278" s="105">
        <v>1</v>
      </c>
      <c r="G278" s="506">
        <f>((0.69*(1.9/0.1))*3) + ((0.59*(1.87/0.1))*2)</f>
        <v>61.395999999999987</v>
      </c>
      <c r="H278" s="511"/>
      <c r="I278" s="155">
        <v>0.154</v>
      </c>
      <c r="J278" s="99"/>
      <c r="K278" s="82">
        <f t="shared" si="8"/>
        <v>9.4549839999999978</v>
      </c>
      <c r="L278" s="82"/>
      <c r="M278" s="82"/>
      <c r="N278" s="86"/>
    </row>
    <row r="279" spans="2:14" x14ac:dyDescent="0.25">
      <c r="B279" s="49"/>
      <c r="C279" s="57"/>
      <c r="D279" s="144" t="s">
        <v>630</v>
      </c>
      <c r="E279" s="64"/>
      <c r="F279" s="105">
        <v>1</v>
      </c>
      <c r="G279" s="506">
        <f>((0.69*(1.92/0.1))*1) + ((0.59*(1.92/0.1))*2)</f>
        <v>35.903999999999996</v>
      </c>
      <c r="H279" s="511"/>
      <c r="I279" s="155">
        <v>0.154</v>
      </c>
      <c r="J279" s="99"/>
      <c r="K279" s="82">
        <f t="shared" si="8"/>
        <v>5.529215999999999</v>
      </c>
      <c r="L279" s="82"/>
      <c r="M279" s="82"/>
      <c r="N279" s="86"/>
    </row>
    <row r="280" spans="2:14" x14ac:dyDescent="0.25">
      <c r="B280" s="49"/>
      <c r="C280" s="57"/>
      <c r="D280" s="144" t="s">
        <v>615</v>
      </c>
      <c r="E280" s="64"/>
      <c r="F280" s="105">
        <v>1</v>
      </c>
      <c r="G280" s="506">
        <f>((0.79*(1.94/0.1))*3)</f>
        <v>45.977999999999994</v>
      </c>
      <c r="H280" s="511"/>
      <c r="I280" s="155">
        <v>0.154</v>
      </c>
      <c r="J280" s="99"/>
      <c r="K280" s="82">
        <f t="shared" si="8"/>
        <v>7.0806119999999995</v>
      </c>
      <c r="L280" s="82"/>
      <c r="M280" s="82"/>
      <c r="N280" s="86"/>
    </row>
    <row r="281" spans="2:14" ht="17.45" customHeight="1" x14ac:dyDescent="0.25">
      <c r="B281" s="49"/>
      <c r="C281" s="57"/>
      <c r="D281" s="144" t="s">
        <v>616</v>
      </c>
      <c r="E281" s="64"/>
      <c r="F281" s="105">
        <v>1</v>
      </c>
      <c r="G281" s="506">
        <f>((0.69*(1.96/0.1))*3) + ((0.59*(1.96/0.1))*2)</f>
        <v>63.699999999999989</v>
      </c>
      <c r="H281" s="511"/>
      <c r="I281" s="155">
        <v>0.154</v>
      </c>
      <c r="J281" s="99"/>
      <c r="K281" s="82">
        <f t="shared" si="8"/>
        <v>9.8097999999999974</v>
      </c>
      <c r="L281" s="82"/>
      <c r="M281" s="82"/>
      <c r="N281" s="86"/>
    </row>
    <row r="282" spans="2:14" ht="22.5" x14ac:dyDescent="0.25">
      <c r="B282" s="49"/>
      <c r="C282" s="57"/>
      <c r="D282" s="144" t="s">
        <v>617</v>
      </c>
      <c r="E282" s="64"/>
      <c r="F282" s="105">
        <v>1</v>
      </c>
      <c r="G282" s="506">
        <f>((0.59*(1.95/0.1))*2) + ((0.69*(1.95/0.1))*3) +((0.79*(1.95/0.1))*1)</f>
        <v>78.78</v>
      </c>
      <c r="H282" s="511"/>
      <c r="I282" s="155">
        <v>0.154</v>
      </c>
      <c r="J282" s="99"/>
      <c r="K282" s="82">
        <f t="shared" si="8"/>
        <v>12.13212</v>
      </c>
      <c r="L282" s="82"/>
      <c r="M282" s="82"/>
      <c r="N282" s="86"/>
    </row>
    <row r="283" spans="2:14" x14ac:dyDescent="0.25">
      <c r="B283" s="49"/>
      <c r="C283" s="57"/>
      <c r="D283" s="144" t="s">
        <v>618</v>
      </c>
      <c r="E283" s="64"/>
      <c r="F283" s="105">
        <v>1</v>
      </c>
      <c r="G283" s="506">
        <f>((0.59*(1.97/0.1))*1)  +((0.79*(1.97/0.1))*2)</f>
        <v>42.749000000000002</v>
      </c>
      <c r="H283" s="511"/>
      <c r="I283" s="155">
        <v>0.154</v>
      </c>
      <c r="J283" s="99"/>
      <c r="K283" s="82">
        <f t="shared" si="8"/>
        <v>6.5833460000000006</v>
      </c>
      <c r="L283" s="82"/>
      <c r="M283" s="82"/>
      <c r="N283" s="86"/>
    </row>
    <row r="284" spans="2:14" x14ac:dyDescent="0.25">
      <c r="B284" s="49"/>
      <c r="C284" s="57"/>
      <c r="D284" s="144" t="s">
        <v>631</v>
      </c>
      <c r="E284" s="64"/>
      <c r="F284" s="105">
        <v>1</v>
      </c>
      <c r="G284" s="506">
        <f>((0.59*(1.9/0.1))*3)</f>
        <v>33.629999999999995</v>
      </c>
      <c r="H284" s="511"/>
      <c r="I284" s="155">
        <v>0.154</v>
      </c>
      <c r="J284" s="99"/>
      <c r="K284" s="82">
        <f t="shared" si="8"/>
        <v>5.1790199999999995</v>
      </c>
      <c r="L284" s="82"/>
      <c r="M284" s="82"/>
      <c r="N284" s="86"/>
    </row>
    <row r="285" spans="2:14" x14ac:dyDescent="0.25">
      <c r="B285" s="49"/>
      <c r="C285" s="57"/>
      <c r="D285" s="144" t="s">
        <v>632</v>
      </c>
      <c r="E285" s="64"/>
      <c r="F285" s="105">
        <v>1</v>
      </c>
      <c r="G285" s="506">
        <f>((0.69*(1.86/0.1))*1) + ((0.69*(1.86/0.1))*1) + ((0.89*(1.86/0.1))*1)</f>
        <v>42.222000000000001</v>
      </c>
      <c r="H285" s="511"/>
      <c r="I285" s="155">
        <v>0.154</v>
      </c>
      <c r="J285" s="99"/>
      <c r="K285" s="82">
        <f t="shared" si="8"/>
        <v>6.5021880000000003</v>
      </c>
      <c r="L285" s="82"/>
      <c r="M285" s="82"/>
      <c r="N285" s="86"/>
    </row>
    <row r="286" spans="2:14" x14ac:dyDescent="0.25">
      <c r="B286" s="49"/>
      <c r="C286" s="57"/>
      <c r="D286" s="144" t="s">
        <v>634</v>
      </c>
      <c r="E286" s="64"/>
      <c r="F286" s="105">
        <v>1</v>
      </c>
      <c r="G286" s="506">
        <f>((0.69*(1.87/0.1))*3)</f>
        <v>38.708999999999996</v>
      </c>
      <c r="H286" s="511"/>
      <c r="I286" s="155">
        <v>0.154</v>
      </c>
      <c r="J286" s="99"/>
      <c r="K286" s="82">
        <f t="shared" si="8"/>
        <v>5.9611859999999997</v>
      </c>
      <c r="L286" s="82"/>
      <c r="M286" s="82"/>
      <c r="N286" s="86"/>
    </row>
    <row r="287" spans="2:14" x14ac:dyDescent="0.25">
      <c r="B287" s="49"/>
      <c r="C287" s="57"/>
      <c r="D287" s="144" t="s">
        <v>619</v>
      </c>
      <c r="E287" s="64"/>
      <c r="F287" s="105">
        <v>1</v>
      </c>
      <c r="G287" s="506">
        <f>((0.69*(1.9/0.1))*1) + ((0.79*(1.9/0.1))*2) + ((0.59*(1.9/0.1))*1)</f>
        <v>54.339999999999989</v>
      </c>
      <c r="H287" s="511"/>
      <c r="I287" s="155">
        <v>0.154</v>
      </c>
      <c r="J287" s="99"/>
      <c r="K287" s="82">
        <f t="shared" si="8"/>
        <v>8.3683599999999974</v>
      </c>
      <c r="L287" s="82"/>
      <c r="M287" s="82"/>
      <c r="N287" s="86"/>
    </row>
    <row r="288" spans="2:14" x14ac:dyDescent="0.25">
      <c r="B288" s="49"/>
      <c r="C288" s="57"/>
      <c r="D288" s="144" t="s">
        <v>620</v>
      </c>
      <c r="E288" s="64"/>
      <c r="F288" s="105">
        <v>1</v>
      </c>
      <c r="G288" s="506">
        <f>((0.79*(1.91/0.1))*1) +((0.59*(1.91/0.1))*1)</f>
        <v>26.357999999999997</v>
      </c>
      <c r="H288" s="511"/>
      <c r="I288" s="155">
        <v>0.154</v>
      </c>
      <c r="J288" s="99"/>
      <c r="K288" s="82">
        <f t="shared" si="8"/>
        <v>4.0591319999999991</v>
      </c>
      <c r="L288" s="82"/>
      <c r="M288" s="82"/>
      <c r="N288" s="86"/>
    </row>
    <row r="289" spans="2:14" ht="22.5" x14ac:dyDescent="0.25">
      <c r="B289" s="49"/>
      <c r="C289" s="57"/>
      <c r="D289" s="144" t="s">
        <v>621</v>
      </c>
      <c r="E289" s="64"/>
      <c r="F289" s="105">
        <v>1</v>
      </c>
      <c r="G289" s="506">
        <f>((0.79*(1.94/0.1))*1) +((0.59*(1.94/0.1))*5)</f>
        <v>72.555999999999983</v>
      </c>
      <c r="H289" s="511"/>
      <c r="I289" s="155">
        <v>0.154</v>
      </c>
      <c r="J289" s="99"/>
      <c r="K289" s="82">
        <f t="shared" si="8"/>
        <v>11.173623999999997</v>
      </c>
      <c r="L289" s="82"/>
      <c r="M289" s="82"/>
      <c r="N289" s="86"/>
    </row>
    <row r="290" spans="2:14" x14ac:dyDescent="0.25">
      <c r="B290" s="49"/>
      <c r="C290" s="57"/>
      <c r="D290" s="144" t="s">
        <v>622</v>
      </c>
      <c r="E290" s="64"/>
      <c r="F290" s="105">
        <v>1</v>
      </c>
      <c r="G290" s="506">
        <f>((0.69*(1.92/0.1))*2) + ((0.69*(1.92/0.1))*1)</f>
        <v>39.744</v>
      </c>
      <c r="H290" s="511"/>
      <c r="I290" s="155">
        <v>0.154</v>
      </c>
      <c r="J290" s="99"/>
      <c r="K290" s="82">
        <f t="shared" si="8"/>
        <v>6.1205759999999998</v>
      </c>
      <c r="L290" s="82"/>
      <c r="M290" s="82"/>
      <c r="N290" s="86"/>
    </row>
    <row r="291" spans="2:14" x14ac:dyDescent="0.25">
      <c r="B291" s="49"/>
      <c r="C291" s="57"/>
      <c r="D291" s="144" t="s">
        <v>635</v>
      </c>
      <c r="E291" s="64"/>
      <c r="F291" s="105">
        <v>1</v>
      </c>
      <c r="G291" s="506">
        <f>((0.59*(1.93/0.1))*2) + ((0.79*(1.93/0.1))*1)</f>
        <v>38.020999999999994</v>
      </c>
      <c r="H291" s="511"/>
      <c r="I291" s="155">
        <v>0.154</v>
      </c>
      <c r="J291" s="99"/>
      <c r="K291" s="82">
        <f t="shared" si="8"/>
        <v>5.8552339999999994</v>
      </c>
      <c r="L291" s="82"/>
      <c r="M291" s="82"/>
      <c r="N291" s="86"/>
    </row>
    <row r="292" spans="2:14" x14ac:dyDescent="0.25">
      <c r="B292" s="49"/>
      <c r="C292" s="57"/>
      <c r="D292" s="144" t="s">
        <v>623</v>
      </c>
      <c r="E292" s="64"/>
      <c r="F292" s="105">
        <v>1</v>
      </c>
      <c r="G292" s="506">
        <f>((0.59*(1.87/0.1))*2) + ((0.69*(1.87/0.1))*2)</f>
        <v>47.872</v>
      </c>
      <c r="H292" s="511"/>
      <c r="I292" s="155">
        <v>0.154</v>
      </c>
      <c r="J292" s="99"/>
      <c r="K292" s="82">
        <f t="shared" si="8"/>
        <v>7.3722880000000002</v>
      </c>
      <c r="L292" s="82"/>
      <c r="M292" s="82"/>
      <c r="N292" s="86"/>
    </row>
    <row r="293" spans="2:14" x14ac:dyDescent="0.25">
      <c r="B293" s="49"/>
      <c r="C293" s="57"/>
      <c r="D293" s="144" t="s">
        <v>624</v>
      </c>
      <c r="E293" s="64"/>
      <c r="F293" s="105">
        <v>1</v>
      </c>
      <c r="G293" s="506">
        <f>((0.59*(1.88/0.1))*3) + ((0.69*(1.88/0.1))*1)</f>
        <v>46.24799999999999</v>
      </c>
      <c r="H293" s="511"/>
      <c r="I293" s="155">
        <v>0.154</v>
      </c>
      <c r="J293" s="99"/>
      <c r="K293" s="82">
        <f t="shared" si="8"/>
        <v>7.1221919999999983</v>
      </c>
      <c r="L293" s="82"/>
      <c r="M293" s="82"/>
      <c r="N293" s="86"/>
    </row>
    <row r="294" spans="2:14" x14ac:dyDescent="0.25">
      <c r="B294" s="49"/>
      <c r="C294" s="57"/>
      <c r="D294" s="144" t="s">
        <v>625</v>
      </c>
      <c r="E294" s="64"/>
      <c r="F294" s="105">
        <v>1</v>
      </c>
      <c r="G294" s="506">
        <f>((0.79*(1.9/0.1))*1) + ((0.69*(1.9/0.1))*3)</f>
        <v>54.339999999999982</v>
      </c>
      <c r="H294" s="511"/>
      <c r="I294" s="155">
        <v>0.154</v>
      </c>
      <c r="J294" s="99"/>
      <c r="K294" s="82">
        <f t="shared" si="8"/>
        <v>8.3683599999999974</v>
      </c>
      <c r="L294" s="82"/>
      <c r="M294" s="82"/>
      <c r="N294" s="86"/>
    </row>
    <row r="295" spans="2:14" x14ac:dyDescent="0.25">
      <c r="B295" s="49"/>
      <c r="C295" s="57"/>
      <c r="D295" s="144" t="s">
        <v>637</v>
      </c>
      <c r="E295" s="64"/>
      <c r="F295" s="105">
        <v>1</v>
      </c>
      <c r="G295" s="506">
        <f>((0.59*(1.9/0.1))*1)</f>
        <v>11.209999999999997</v>
      </c>
      <c r="H295" s="511"/>
      <c r="I295" s="155">
        <v>0.154</v>
      </c>
      <c r="J295" s="99"/>
      <c r="K295" s="82">
        <f t="shared" si="8"/>
        <v>1.7263399999999995</v>
      </c>
      <c r="L295" s="82"/>
      <c r="M295" s="82"/>
      <c r="N295" s="86"/>
    </row>
    <row r="296" spans="2:14" x14ac:dyDescent="0.25">
      <c r="B296" s="49"/>
      <c r="C296" s="57"/>
      <c r="D296" s="144" t="s">
        <v>636</v>
      </c>
      <c r="E296" s="64"/>
      <c r="F296" s="105">
        <v>1</v>
      </c>
      <c r="G296" s="506">
        <f>((0.69*(1.87/0.1))*1) + ((0.59*(1.87/0.1))*1)</f>
        <v>23.936</v>
      </c>
      <c r="H296" s="511"/>
      <c r="I296" s="155">
        <v>0.154</v>
      </c>
      <c r="J296" s="99"/>
      <c r="K296" s="82">
        <f t="shared" si="8"/>
        <v>3.6861440000000001</v>
      </c>
      <c r="L296" s="82"/>
      <c r="M296" s="82"/>
      <c r="N296" s="86"/>
    </row>
    <row r="297" spans="2:14" x14ac:dyDescent="0.25">
      <c r="B297" s="49"/>
      <c r="C297" s="57"/>
      <c r="D297" s="144" t="s">
        <v>638</v>
      </c>
      <c r="E297" s="64"/>
      <c r="F297" s="105">
        <v>1</v>
      </c>
      <c r="G297" s="506">
        <f>((0.69*(2/0.1))*1) + ((0.59*(2/0.1))*2)</f>
        <v>37.4</v>
      </c>
      <c r="H297" s="511"/>
      <c r="I297" s="155">
        <v>0.154</v>
      </c>
      <c r="J297" s="99"/>
      <c r="K297" s="82">
        <f t="shared" si="8"/>
        <v>5.7595999999999998</v>
      </c>
      <c r="L297" s="82"/>
      <c r="M297" s="82"/>
      <c r="N297" s="86"/>
    </row>
    <row r="298" spans="2:14" ht="22.5" x14ac:dyDescent="0.25">
      <c r="B298" s="49"/>
      <c r="C298" s="57"/>
      <c r="D298" s="144" t="s">
        <v>626</v>
      </c>
      <c r="E298" s="64"/>
      <c r="F298" s="105">
        <v>1</v>
      </c>
      <c r="G298" s="506">
        <f>((0.69*(2.01/0.1))*1) + ((0.59*(2.01/0.1))*5) + ((0.79*(2.01/0.1))*1)</f>
        <v>89.042999999999992</v>
      </c>
      <c r="H298" s="511"/>
      <c r="I298" s="155">
        <v>0.154</v>
      </c>
      <c r="J298" s="99"/>
      <c r="K298" s="82">
        <f t="shared" si="8"/>
        <v>13.712621999999998</v>
      </c>
      <c r="L298" s="82"/>
      <c r="M298" s="82"/>
      <c r="N298" s="86"/>
    </row>
    <row r="299" spans="2:14" x14ac:dyDescent="0.25">
      <c r="B299" s="49"/>
      <c r="C299" s="57"/>
      <c r="D299" s="144" t="s">
        <v>639</v>
      </c>
      <c r="E299" s="64"/>
      <c r="F299" s="105">
        <v>1</v>
      </c>
      <c r="G299" s="506">
        <f>(((1.39+0.47+0.47))*(1.86/0.15))</f>
        <v>28.892000000000003</v>
      </c>
      <c r="H299" s="511"/>
      <c r="I299" s="155">
        <v>0.154</v>
      </c>
      <c r="J299" s="99"/>
      <c r="K299" s="82">
        <f>F299*G299*I299</f>
        <v>4.4493680000000007</v>
      </c>
      <c r="L299" s="82"/>
      <c r="M299" s="82"/>
      <c r="N299" s="86"/>
    </row>
    <row r="300" spans="2:14" x14ac:dyDescent="0.25">
      <c r="B300" s="49"/>
      <c r="C300" s="57"/>
      <c r="D300" s="144" t="s">
        <v>640</v>
      </c>
      <c r="E300" s="64"/>
      <c r="F300" s="105">
        <v>1</v>
      </c>
      <c r="G300" s="506">
        <f>(((1.09+0.022))*(1.87/0.15))</f>
        <v>13.862933333333336</v>
      </c>
      <c r="H300" s="511"/>
      <c r="I300" s="155">
        <v>0.154</v>
      </c>
      <c r="J300" s="99"/>
      <c r="K300" s="82">
        <f>F300*G300*I300</f>
        <v>2.1348917333333337</v>
      </c>
      <c r="L300" s="82"/>
      <c r="M300" s="82"/>
      <c r="N300" s="86"/>
    </row>
    <row r="301" spans="2:14" x14ac:dyDescent="0.25">
      <c r="B301" s="49"/>
      <c r="C301" s="57"/>
      <c r="D301" s="144" t="s">
        <v>641</v>
      </c>
      <c r="E301" s="64"/>
      <c r="F301" s="105">
        <v>1</v>
      </c>
      <c r="G301" s="506">
        <f>(((1.09+0.022))*(1.89/0.15))</f>
        <v>14.011200000000001</v>
      </c>
      <c r="H301" s="511"/>
      <c r="I301" s="155">
        <v>0.154</v>
      </c>
      <c r="J301" s="99"/>
      <c r="K301" s="82">
        <f t="shared" si="8"/>
        <v>2.1577248</v>
      </c>
      <c r="L301" s="82"/>
      <c r="M301" s="82"/>
      <c r="N301" s="86"/>
    </row>
    <row r="302" spans="2:14" x14ac:dyDescent="0.25">
      <c r="B302" s="49"/>
      <c r="C302" s="57"/>
      <c r="D302" s="144" t="s">
        <v>642</v>
      </c>
      <c r="E302" s="64"/>
      <c r="F302" s="105">
        <v>1</v>
      </c>
      <c r="G302" s="506">
        <f>(((0.59))*(1.9/0.15))</f>
        <v>7.4733333333333327</v>
      </c>
      <c r="H302" s="511"/>
      <c r="I302" s="155">
        <v>0.154</v>
      </c>
      <c r="J302" s="99"/>
      <c r="K302" s="82">
        <f t="shared" si="8"/>
        <v>1.1508933333333333</v>
      </c>
      <c r="L302" s="82"/>
      <c r="M302" s="82"/>
      <c r="N302" s="86"/>
    </row>
    <row r="303" spans="2:14" x14ac:dyDescent="0.25">
      <c r="B303" s="49"/>
      <c r="C303" s="57"/>
      <c r="D303" s="144" t="s">
        <v>643</v>
      </c>
      <c r="E303" s="64"/>
      <c r="F303" s="105">
        <v>1</v>
      </c>
      <c r="G303" s="506">
        <f>(((0.59))*(1.92/0.15))</f>
        <v>7.5519999999999996</v>
      </c>
      <c r="H303" s="511"/>
      <c r="I303" s="155">
        <v>0.154</v>
      </c>
      <c r="J303" s="99"/>
      <c r="K303" s="82">
        <f t="shared" si="8"/>
        <v>1.1630079999999998</v>
      </c>
      <c r="L303" s="82"/>
      <c r="M303" s="82"/>
      <c r="N303" s="86"/>
    </row>
    <row r="304" spans="2:14" x14ac:dyDescent="0.25">
      <c r="B304" s="49"/>
      <c r="C304" s="57"/>
      <c r="D304" s="144" t="s">
        <v>644</v>
      </c>
      <c r="E304" s="64"/>
      <c r="F304" s="105">
        <v>1</v>
      </c>
      <c r="G304" s="506">
        <f>(((0.59))*(1.9/0.15))</f>
        <v>7.4733333333333327</v>
      </c>
      <c r="H304" s="511"/>
      <c r="I304" s="155">
        <v>0.154</v>
      </c>
      <c r="J304" s="99"/>
      <c r="K304" s="82">
        <f t="shared" si="8"/>
        <v>1.1508933333333333</v>
      </c>
      <c r="L304" s="82"/>
      <c r="M304" s="82"/>
      <c r="N304" s="86"/>
    </row>
    <row r="305" spans="2:14" x14ac:dyDescent="0.25">
      <c r="B305" s="49"/>
      <c r="C305" s="57"/>
      <c r="D305" s="144" t="s">
        <v>645</v>
      </c>
      <c r="E305" s="64"/>
      <c r="F305" s="105">
        <v>1</v>
      </c>
      <c r="G305" s="506">
        <f>(((0.69))*(1.98/0.15))</f>
        <v>9.1080000000000005</v>
      </c>
      <c r="H305" s="511"/>
      <c r="I305" s="155">
        <v>0.154</v>
      </c>
      <c r="J305" s="99"/>
      <c r="K305" s="82">
        <f t="shared" si="8"/>
        <v>1.4026320000000001</v>
      </c>
      <c r="L305" s="82"/>
      <c r="M305" s="82"/>
      <c r="N305" s="86"/>
    </row>
    <row r="306" spans="2:14" x14ac:dyDescent="0.25">
      <c r="B306" s="49"/>
      <c r="C306" s="57"/>
      <c r="D306" s="152" t="s">
        <v>1067</v>
      </c>
      <c r="E306" s="64"/>
      <c r="F306" s="94">
        <v>1</v>
      </c>
      <c r="G306" s="509">
        <v>268.7</v>
      </c>
      <c r="H306" s="512"/>
      <c r="I306" s="513"/>
      <c r="J306" s="157"/>
      <c r="K306" s="82">
        <f>F306*G306</f>
        <v>268.7</v>
      </c>
      <c r="L306" s="82"/>
      <c r="M306" s="82"/>
      <c r="N306" s="86"/>
    </row>
    <row r="307" spans="2:14" ht="22.5" x14ac:dyDescent="0.25">
      <c r="B307" s="49"/>
      <c r="C307" s="57"/>
      <c r="D307" s="428" t="s">
        <v>1080</v>
      </c>
      <c r="E307" s="64"/>
      <c r="F307" s="94">
        <v>1</v>
      </c>
      <c r="G307" s="509" t="s">
        <v>647</v>
      </c>
      <c r="H307" s="510"/>
      <c r="I307" s="122" t="s">
        <v>611</v>
      </c>
      <c r="J307" s="99"/>
      <c r="K307" s="82"/>
      <c r="L307" s="82"/>
      <c r="M307" s="82"/>
      <c r="N307" s="86"/>
    </row>
    <row r="308" spans="2:14" ht="33.75" x14ac:dyDescent="0.25">
      <c r="B308" s="49"/>
      <c r="C308" s="57"/>
      <c r="D308" s="144" t="s">
        <v>1050</v>
      </c>
      <c r="E308" s="64"/>
      <c r="F308" s="94">
        <v>1</v>
      </c>
      <c r="G308" s="506">
        <f>(((0.59))*(0.93/0.12))</f>
        <v>4.5725000000000007</v>
      </c>
      <c r="H308" s="511"/>
      <c r="I308" s="155">
        <v>0.154</v>
      </c>
      <c r="J308" s="99"/>
      <c r="K308" s="82">
        <f t="shared" ref="K308:K313" si="9">F308*G308*I308</f>
        <v>0.70416500000000004</v>
      </c>
      <c r="L308" s="82"/>
      <c r="M308" s="82"/>
      <c r="N308" s="86"/>
    </row>
    <row r="309" spans="2:14" ht="33.75" x14ac:dyDescent="0.25">
      <c r="B309" s="49"/>
      <c r="C309" s="57"/>
      <c r="D309" s="144" t="s">
        <v>1051</v>
      </c>
      <c r="E309" s="64"/>
      <c r="F309" s="94">
        <v>1</v>
      </c>
      <c r="G309" s="506">
        <f>(((0.59))*(0.8/0.12))</f>
        <v>3.9333333333333331</v>
      </c>
      <c r="H309" s="511"/>
      <c r="I309" s="155">
        <v>0.154</v>
      </c>
      <c r="J309" s="99"/>
      <c r="K309" s="82">
        <f t="shared" si="9"/>
        <v>0.60573333333333335</v>
      </c>
      <c r="L309" s="82"/>
      <c r="M309" s="82"/>
      <c r="N309" s="86"/>
    </row>
    <row r="310" spans="2:14" x14ac:dyDescent="0.25">
      <c r="B310" s="49"/>
      <c r="C310" s="57"/>
      <c r="D310" s="144" t="s">
        <v>1052</v>
      </c>
      <c r="E310" s="64"/>
      <c r="F310" s="94">
        <v>1</v>
      </c>
      <c r="G310" s="506">
        <f t="shared" ref="G310" si="10">(((0.59))*(3.1/0.12))</f>
        <v>15.241666666666667</v>
      </c>
      <c r="H310" s="511"/>
      <c r="I310" s="155">
        <v>0.154</v>
      </c>
      <c r="J310" s="99"/>
      <c r="K310" s="82">
        <f t="shared" si="9"/>
        <v>2.3472166666666667</v>
      </c>
      <c r="L310" s="82"/>
      <c r="M310" s="82"/>
      <c r="N310" s="86"/>
    </row>
    <row r="311" spans="2:14" x14ac:dyDescent="0.25">
      <c r="B311" s="49"/>
      <c r="C311" s="57"/>
      <c r="D311" s="144" t="s">
        <v>1053</v>
      </c>
      <c r="E311" s="64"/>
      <c r="F311" s="94">
        <v>1</v>
      </c>
      <c r="G311" s="506">
        <f>(((0.59))*(2.7/0.12))</f>
        <v>13.275000000000002</v>
      </c>
      <c r="H311" s="511"/>
      <c r="I311" s="155">
        <v>0.154</v>
      </c>
      <c r="J311" s="99"/>
      <c r="K311" s="82">
        <f t="shared" si="9"/>
        <v>2.0443500000000001</v>
      </c>
      <c r="L311" s="82"/>
      <c r="M311" s="82"/>
      <c r="N311" s="86"/>
    </row>
    <row r="312" spans="2:14" ht="22.5" x14ac:dyDescent="0.25">
      <c r="B312" s="49"/>
      <c r="C312" s="57"/>
      <c r="D312" s="144" t="s">
        <v>1071</v>
      </c>
      <c r="E312" s="64"/>
      <c r="F312" s="105">
        <v>2</v>
      </c>
      <c r="G312" s="506">
        <f>(((0.59))*(3.1/0.12))</f>
        <v>15.241666666666667</v>
      </c>
      <c r="H312" s="511"/>
      <c r="I312" s="155">
        <v>0.154</v>
      </c>
      <c r="J312" s="99"/>
      <c r="K312" s="82">
        <f t="shared" si="9"/>
        <v>4.6944333333333335</v>
      </c>
      <c r="L312" s="82"/>
      <c r="M312" s="82"/>
      <c r="N312" s="86"/>
    </row>
    <row r="313" spans="2:14" x14ac:dyDescent="0.25">
      <c r="B313" s="49"/>
      <c r="C313" s="57"/>
      <c r="D313" s="144" t="s">
        <v>607</v>
      </c>
      <c r="E313" s="64"/>
      <c r="F313" s="94">
        <v>1</v>
      </c>
      <c r="G313" s="506">
        <f xml:space="preserve"> (59*0.59)</f>
        <v>34.809999999999995</v>
      </c>
      <c r="H313" s="511"/>
      <c r="I313" s="155">
        <v>0.154</v>
      </c>
      <c r="J313" s="99"/>
      <c r="K313" s="82">
        <f t="shared" si="9"/>
        <v>5.360739999999999</v>
      </c>
      <c r="L313" s="82"/>
      <c r="M313" s="82"/>
      <c r="N313" s="86"/>
    </row>
    <row r="314" spans="2:14" ht="33.75" x14ac:dyDescent="0.25">
      <c r="B314" s="49" t="s">
        <v>75</v>
      </c>
      <c r="C314" s="57">
        <v>96544</v>
      </c>
      <c r="D314" s="52" t="s">
        <v>77</v>
      </c>
      <c r="E314" s="64" t="s">
        <v>62</v>
      </c>
      <c r="F314" s="94"/>
      <c r="G314" s="104"/>
      <c r="H314" s="92"/>
      <c r="I314" s="105"/>
      <c r="J314" s="99">
        <f>'BOLETIM DE MEDIÇÃO 05'!O34-'MEMORIAL DE CALCULO 10'!K314</f>
        <v>0</v>
      </c>
      <c r="K314" s="81">
        <f>SUM(K315)</f>
        <v>295</v>
      </c>
      <c r="L314" s="82">
        <f t="shared" si="0"/>
        <v>295</v>
      </c>
      <c r="M314" s="82">
        <f>'BOLETIM DE MEDIÇÃO 05'!G34</f>
        <v>295</v>
      </c>
      <c r="N314" s="86">
        <f t="shared" si="1"/>
        <v>0</v>
      </c>
    </row>
    <row r="315" spans="2:14" x14ac:dyDescent="0.25">
      <c r="B315" s="49"/>
      <c r="C315" s="57"/>
      <c r="D315" s="143" t="s">
        <v>588</v>
      </c>
      <c r="E315" s="64"/>
      <c r="F315" s="94">
        <v>1</v>
      </c>
      <c r="G315" s="506">
        <v>295</v>
      </c>
      <c r="H315" s="507"/>
      <c r="I315" s="508"/>
      <c r="J315" s="99"/>
      <c r="K315" s="82">
        <f>F315*G315</f>
        <v>295</v>
      </c>
      <c r="L315" s="82"/>
      <c r="M315" s="82"/>
      <c r="N315" s="86"/>
    </row>
    <row r="316" spans="2:14" ht="33.75" x14ac:dyDescent="0.25">
      <c r="B316" s="49" t="s">
        <v>78</v>
      </c>
      <c r="C316" s="57">
        <v>96546</v>
      </c>
      <c r="D316" s="52" t="s">
        <v>80</v>
      </c>
      <c r="E316" s="64" t="s">
        <v>62</v>
      </c>
      <c r="F316" s="94"/>
      <c r="G316" s="578" t="s">
        <v>1085</v>
      </c>
      <c r="H316" s="579"/>
      <c r="I316" s="580"/>
      <c r="J316" s="99">
        <f>'BOLETIM DE MEDIÇÃO 12'!T35-'MEMORIAL DE CALCULO 10'!K316</f>
        <v>534.1</v>
      </c>
      <c r="K316" s="81">
        <v>151.88999999999999</v>
      </c>
      <c r="L316" s="82">
        <f t="shared" si="0"/>
        <v>685.99</v>
      </c>
      <c r="M316" s="82">
        <v>685.99</v>
      </c>
      <c r="N316" s="86">
        <f t="shared" si="1"/>
        <v>0</v>
      </c>
    </row>
    <row r="317" spans="2:14" ht="39" customHeight="1" x14ac:dyDescent="0.25">
      <c r="B317" s="49"/>
      <c r="C317" s="57"/>
      <c r="D317" s="152" t="s">
        <v>627</v>
      </c>
      <c r="E317" s="64"/>
      <c r="F317" s="94"/>
      <c r="G317" s="509" t="s">
        <v>628</v>
      </c>
      <c r="H317" s="510"/>
      <c r="I317" s="122" t="s">
        <v>611</v>
      </c>
      <c r="J317" s="81"/>
      <c r="K317" s="81"/>
      <c r="L317" s="82"/>
      <c r="M317" s="82"/>
      <c r="N317" s="86"/>
    </row>
    <row r="318" spans="2:14" x14ac:dyDescent="0.25">
      <c r="B318" s="49"/>
      <c r="C318" s="57"/>
      <c r="D318" s="144" t="s">
        <v>614</v>
      </c>
      <c r="E318" s="64"/>
      <c r="F318" s="94">
        <v>1</v>
      </c>
      <c r="G318" s="506">
        <f xml:space="preserve"> (4*(0.2+0.25+1.85+0.33)) * 2</f>
        <v>21.040000000000003</v>
      </c>
      <c r="H318" s="511"/>
      <c r="I318" s="155">
        <v>0.61699999999999999</v>
      </c>
      <c r="J318" s="82"/>
      <c r="K318" s="82">
        <f t="shared" ref="K318:K340" si="11">F318*G318*I318</f>
        <v>12.981680000000001</v>
      </c>
      <c r="L318" s="82"/>
      <c r="M318" s="82"/>
      <c r="N318" s="86"/>
    </row>
    <row r="319" spans="2:14" x14ac:dyDescent="0.25">
      <c r="B319" s="49"/>
      <c r="C319" s="57"/>
      <c r="D319" s="144" t="s">
        <v>633</v>
      </c>
      <c r="E319" s="64"/>
      <c r="F319" s="94">
        <v>1</v>
      </c>
      <c r="G319" s="506">
        <f xml:space="preserve"> ((4*(0.2+0.25+1.87+0.33)) * 2)</f>
        <v>21.200000000000003</v>
      </c>
      <c r="H319" s="511"/>
      <c r="I319" s="155">
        <v>0.61699999999999999</v>
      </c>
      <c r="J319" s="82"/>
      <c r="K319" s="82">
        <f t="shared" si="11"/>
        <v>13.080400000000001</v>
      </c>
      <c r="L319" s="82"/>
      <c r="M319" s="82"/>
      <c r="N319" s="86"/>
    </row>
    <row r="320" spans="2:14" ht="22.5" x14ac:dyDescent="0.25">
      <c r="B320" s="49"/>
      <c r="C320" s="57"/>
      <c r="D320" s="144" t="s">
        <v>629</v>
      </c>
      <c r="E320" s="64"/>
      <c r="F320" s="94">
        <v>1</v>
      </c>
      <c r="G320" s="506">
        <f xml:space="preserve"> (4*(0.2+0.25+1.9+0.33)) * 5</f>
        <v>53.6</v>
      </c>
      <c r="H320" s="511"/>
      <c r="I320" s="155">
        <v>0.61699999999999999</v>
      </c>
      <c r="J320" s="82"/>
      <c r="K320" s="82">
        <f t="shared" si="11"/>
        <v>33.071199999999997</v>
      </c>
      <c r="L320" s="82"/>
      <c r="M320" s="82"/>
      <c r="N320" s="86"/>
    </row>
    <row r="321" spans="2:14" x14ac:dyDescent="0.25">
      <c r="B321" s="49"/>
      <c r="C321" s="57"/>
      <c r="D321" s="144" t="s">
        <v>630</v>
      </c>
      <c r="E321" s="64"/>
      <c r="F321" s="94">
        <v>1</v>
      </c>
      <c r="G321" s="506">
        <f xml:space="preserve"> (4*(0.2+0.25+1.92+0.33)) *3</f>
        <v>32.400000000000006</v>
      </c>
      <c r="H321" s="511"/>
      <c r="I321" s="155">
        <v>0.61699999999999999</v>
      </c>
      <c r="J321" s="82"/>
      <c r="K321" s="82">
        <f t="shared" si="11"/>
        <v>19.990800000000004</v>
      </c>
      <c r="L321" s="82"/>
      <c r="M321" s="82"/>
      <c r="N321" s="86"/>
    </row>
    <row r="322" spans="2:14" x14ac:dyDescent="0.25">
      <c r="B322" s="49"/>
      <c r="C322" s="57"/>
      <c r="D322" s="144" t="s">
        <v>615</v>
      </c>
      <c r="E322" s="64"/>
      <c r="F322" s="94">
        <v>1</v>
      </c>
      <c r="G322" s="506">
        <f xml:space="preserve"> (4*(0.2+0.25+1.94+0.33)) * 3</f>
        <v>32.64</v>
      </c>
      <c r="H322" s="511"/>
      <c r="I322" s="155">
        <v>0.61699999999999999</v>
      </c>
      <c r="J322" s="82"/>
      <c r="K322" s="82">
        <f t="shared" si="11"/>
        <v>20.13888</v>
      </c>
      <c r="L322" s="82"/>
      <c r="M322" s="82"/>
      <c r="N322" s="86"/>
    </row>
    <row r="323" spans="2:14" ht="22.5" x14ac:dyDescent="0.25">
      <c r="B323" s="49"/>
      <c r="C323" s="57"/>
      <c r="D323" s="144" t="s">
        <v>616</v>
      </c>
      <c r="E323" s="64"/>
      <c r="F323" s="94">
        <v>1</v>
      </c>
      <c r="G323" s="506">
        <f xml:space="preserve"> (4*(0.2+0.25+1.96+0.33)) * 5</f>
        <v>54.800000000000004</v>
      </c>
      <c r="H323" s="511"/>
      <c r="I323" s="155">
        <v>0.61699999999999999</v>
      </c>
      <c r="J323" s="82"/>
      <c r="K323" s="82">
        <f t="shared" si="11"/>
        <v>33.811600000000006</v>
      </c>
      <c r="L323" s="82"/>
      <c r="M323" s="82"/>
      <c r="N323" s="86"/>
    </row>
    <row r="324" spans="2:14" ht="22.5" x14ac:dyDescent="0.25">
      <c r="B324" s="49"/>
      <c r="C324" s="57"/>
      <c r="D324" s="144" t="s">
        <v>617</v>
      </c>
      <c r="E324" s="64"/>
      <c r="F324" s="94">
        <v>1</v>
      </c>
      <c r="G324" s="506">
        <f xml:space="preserve"> (4*(0.2+0.25+1.95+0.33)) * 6</f>
        <v>65.52</v>
      </c>
      <c r="H324" s="511"/>
      <c r="I324" s="155">
        <v>0.61699999999999999</v>
      </c>
      <c r="J324" s="82"/>
      <c r="K324" s="82">
        <f t="shared" si="11"/>
        <v>40.425839999999994</v>
      </c>
      <c r="L324" s="82"/>
      <c r="M324" s="82"/>
      <c r="N324" s="86"/>
    </row>
    <row r="325" spans="2:14" x14ac:dyDescent="0.25">
      <c r="B325" s="49"/>
      <c r="C325" s="57"/>
      <c r="D325" s="144" t="s">
        <v>618</v>
      </c>
      <c r="E325" s="64"/>
      <c r="F325" s="94">
        <v>1</v>
      </c>
      <c r="G325" s="506">
        <f xml:space="preserve"> (4*(0.2+0.25+1.97+0.33)) * 3</f>
        <v>33</v>
      </c>
      <c r="H325" s="511"/>
      <c r="I325" s="155">
        <v>0.61699999999999999</v>
      </c>
      <c r="J325" s="82"/>
      <c r="K325" s="82">
        <f t="shared" si="11"/>
        <v>20.361000000000001</v>
      </c>
      <c r="L325" s="82"/>
      <c r="M325" s="82"/>
      <c r="N325" s="86"/>
    </row>
    <row r="326" spans="2:14" x14ac:dyDescent="0.25">
      <c r="B326" s="49"/>
      <c r="C326" s="57"/>
      <c r="D326" s="144" t="s">
        <v>631</v>
      </c>
      <c r="E326" s="64"/>
      <c r="F326" s="94">
        <v>1</v>
      </c>
      <c r="G326" s="506">
        <f xml:space="preserve"> (4*(0.2+0.25+1.9+0.33)) * 3</f>
        <v>32.160000000000004</v>
      </c>
      <c r="H326" s="511"/>
      <c r="I326" s="155">
        <v>0.61699999999999999</v>
      </c>
      <c r="J326" s="82"/>
      <c r="K326" s="82">
        <f t="shared" si="11"/>
        <v>19.842720000000003</v>
      </c>
      <c r="L326" s="82"/>
      <c r="M326" s="82"/>
      <c r="N326" s="86"/>
    </row>
    <row r="327" spans="2:14" x14ac:dyDescent="0.25">
      <c r="B327" s="49"/>
      <c r="C327" s="57"/>
      <c r="D327" s="144" t="s">
        <v>632</v>
      </c>
      <c r="E327" s="64"/>
      <c r="F327" s="94">
        <v>1</v>
      </c>
      <c r="G327" s="506">
        <f xml:space="preserve"> ((4*(0.2+0.25+1.86+0.33)) * 3)</f>
        <v>31.68</v>
      </c>
      <c r="H327" s="511"/>
      <c r="I327" s="155">
        <v>0.61699999999999999</v>
      </c>
      <c r="J327" s="82"/>
      <c r="K327" s="82">
        <f t="shared" si="11"/>
        <v>19.546559999999999</v>
      </c>
      <c r="L327" s="82"/>
      <c r="M327" s="82"/>
      <c r="N327" s="86"/>
    </row>
    <row r="328" spans="2:14" x14ac:dyDescent="0.25">
      <c r="B328" s="49"/>
      <c r="C328" s="57"/>
      <c r="D328" s="144" t="s">
        <v>634</v>
      </c>
      <c r="E328" s="64"/>
      <c r="F328" s="94">
        <v>1</v>
      </c>
      <c r="G328" s="506">
        <f xml:space="preserve"> ((4*(0.2+0.25+1.87+0.33)) * 3)</f>
        <v>31.800000000000004</v>
      </c>
      <c r="H328" s="511"/>
      <c r="I328" s="155">
        <v>0.61699999999999999</v>
      </c>
      <c r="J328" s="82"/>
      <c r="K328" s="82">
        <f t="shared" si="11"/>
        <v>19.620600000000003</v>
      </c>
      <c r="L328" s="82"/>
      <c r="M328" s="82"/>
      <c r="N328" s="86"/>
    </row>
    <row r="329" spans="2:14" x14ac:dyDescent="0.25">
      <c r="B329" s="49"/>
      <c r="C329" s="57"/>
      <c r="D329" s="144" t="s">
        <v>619</v>
      </c>
      <c r="E329" s="64"/>
      <c r="F329" s="94">
        <v>1</v>
      </c>
      <c r="G329" s="506">
        <f xml:space="preserve"> ((4*(0.2+0.25+1.9+0.33)) * 4)</f>
        <v>42.88</v>
      </c>
      <c r="H329" s="511"/>
      <c r="I329" s="155">
        <v>0.61699999999999999</v>
      </c>
      <c r="J329" s="82"/>
      <c r="K329" s="82">
        <f t="shared" si="11"/>
        <v>26.456960000000002</v>
      </c>
      <c r="L329" s="82"/>
      <c r="M329" s="82"/>
      <c r="N329" s="86"/>
    </row>
    <row r="330" spans="2:14" x14ac:dyDescent="0.25">
      <c r="B330" s="49"/>
      <c r="C330" s="57"/>
      <c r="D330" s="144" t="s">
        <v>620</v>
      </c>
      <c r="E330" s="64"/>
      <c r="F330" s="94">
        <v>1</v>
      </c>
      <c r="G330" s="506">
        <f xml:space="preserve"> ((4*(0.2+0.25+1.91+0.33)) * 2)</f>
        <v>21.52</v>
      </c>
      <c r="H330" s="511"/>
      <c r="I330" s="155">
        <v>0.61699999999999999</v>
      </c>
      <c r="J330" s="82"/>
      <c r="K330" s="82">
        <f t="shared" si="11"/>
        <v>13.277839999999999</v>
      </c>
      <c r="L330" s="82"/>
      <c r="M330" s="82"/>
      <c r="N330" s="86"/>
    </row>
    <row r="331" spans="2:14" ht="22.5" x14ac:dyDescent="0.25">
      <c r="B331" s="49"/>
      <c r="C331" s="57"/>
      <c r="D331" s="144" t="s">
        <v>621</v>
      </c>
      <c r="E331" s="64"/>
      <c r="F331" s="94">
        <v>1</v>
      </c>
      <c r="G331" s="506">
        <f xml:space="preserve"> ((4*(0.2+0.25+1.94+0.33)) * 6)</f>
        <v>65.28</v>
      </c>
      <c r="H331" s="511"/>
      <c r="I331" s="155">
        <v>0.61699999999999999</v>
      </c>
      <c r="J331" s="82"/>
      <c r="K331" s="82">
        <f t="shared" si="11"/>
        <v>40.277760000000001</v>
      </c>
      <c r="L331" s="82"/>
      <c r="M331" s="82"/>
      <c r="N331" s="86"/>
    </row>
    <row r="332" spans="2:14" x14ac:dyDescent="0.25">
      <c r="B332" s="49"/>
      <c r="C332" s="57"/>
      <c r="D332" s="144" t="s">
        <v>622</v>
      </c>
      <c r="E332" s="64"/>
      <c r="F332" s="94">
        <v>1</v>
      </c>
      <c r="G332" s="506">
        <f xml:space="preserve"> ((4*(0.2+0.25+1.92+0.33)) *3)</f>
        <v>32.400000000000006</v>
      </c>
      <c r="H332" s="511"/>
      <c r="I332" s="155">
        <v>0.61699999999999999</v>
      </c>
      <c r="J332" s="82"/>
      <c r="K332" s="82">
        <f t="shared" si="11"/>
        <v>19.990800000000004</v>
      </c>
      <c r="L332" s="82"/>
      <c r="M332" s="82"/>
      <c r="N332" s="86"/>
    </row>
    <row r="333" spans="2:14" x14ac:dyDescent="0.25">
      <c r="B333" s="49"/>
      <c r="C333" s="57"/>
      <c r="D333" s="144" t="s">
        <v>635</v>
      </c>
      <c r="E333" s="64"/>
      <c r="F333" s="94">
        <v>1</v>
      </c>
      <c r="G333" s="506">
        <f xml:space="preserve"> ((4*(0.2+0.25+1.93+0.33)) *3)</f>
        <v>32.519999999999996</v>
      </c>
      <c r="H333" s="511"/>
      <c r="I333" s="155">
        <v>0.61699999999999999</v>
      </c>
      <c r="J333" s="82"/>
      <c r="K333" s="82">
        <f t="shared" si="11"/>
        <v>20.064839999999997</v>
      </c>
      <c r="L333" s="82"/>
      <c r="M333" s="82"/>
      <c r="N333" s="86"/>
    </row>
    <row r="334" spans="2:14" x14ac:dyDescent="0.25">
      <c r="B334" s="49"/>
      <c r="C334" s="57"/>
      <c r="D334" s="144" t="s">
        <v>623</v>
      </c>
      <c r="E334" s="64"/>
      <c r="F334" s="94">
        <v>1</v>
      </c>
      <c r="G334" s="506">
        <f xml:space="preserve"> ((4*(0.2+0.25+1.87+0.33)) *4)</f>
        <v>42.400000000000006</v>
      </c>
      <c r="H334" s="511"/>
      <c r="I334" s="155">
        <v>0.61699999999999999</v>
      </c>
      <c r="J334" s="82"/>
      <c r="K334" s="82">
        <f t="shared" si="11"/>
        <v>26.160800000000002</v>
      </c>
      <c r="L334" s="82"/>
      <c r="M334" s="82"/>
      <c r="N334" s="86"/>
    </row>
    <row r="335" spans="2:14" x14ac:dyDescent="0.25">
      <c r="B335" s="49"/>
      <c r="C335" s="57"/>
      <c r="D335" s="144" t="s">
        <v>624</v>
      </c>
      <c r="E335" s="64"/>
      <c r="F335" s="94">
        <v>1</v>
      </c>
      <c r="G335" s="506">
        <f xml:space="preserve"> ((4*(0.2+0.25+1.88+0.33)) *4)</f>
        <v>42.56</v>
      </c>
      <c r="H335" s="511"/>
      <c r="I335" s="155">
        <v>0.61699999999999999</v>
      </c>
      <c r="J335" s="82"/>
      <c r="K335" s="82">
        <f t="shared" si="11"/>
        <v>26.259520000000002</v>
      </c>
      <c r="L335" s="82"/>
      <c r="M335" s="82"/>
      <c r="N335" s="86"/>
    </row>
    <row r="336" spans="2:14" x14ac:dyDescent="0.25">
      <c r="B336" s="49"/>
      <c r="C336" s="57"/>
      <c r="D336" s="144" t="s">
        <v>625</v>
      </c>
      <c r="E336" s="64"/>
      <c r="F336" s="94">
        <v>1</v>
      </c>
      <c r="G336" s="506">
        <f xml:space="preserve"> ((4*(0.2+0.25+1.9+0.33)) *4)</f>
        <v>42.88</v>
      </c>
      <c r="H336" s="511"/>
      <c r="I336" s="155">
        <v>0.61699999999999999</v>
      </c>
      <c r="J336" s="82"/>
      <c r="K336" s="82">
        <f t="shared" si="11"/>
        <v>26.456960000000002</v>
      </c>
      <c r="L336" s="82"/>
      <c r="M336" s="82"/>
      <c r="N336" s="86"/>
    </row>
    <row r="337" spans="2:14" x14ac:dyDescent="0.25">
      <c r="B337" s="49"/>
      <c r="C337" s="57"/>
      <c r="D337" s="144" t="s">
        <v>637</v>
      </c>
      <c r="E337" s="64"/>
      <c r="F337" s="94">
        <v>1</v>
      </c>
      <c r="G337" s="506">
        <f>((4*(0.2+0.25+1.9+0.33))) + ((8*(0.2+0.25+1.9)))</f>
        <v>29.520000000000003</v>
      </c>
      <c r="H337" s="511"/>
      <c r="I337" s="155">
        <v>0.61699999999999999</v>
      </c>
      <c r="J337" s="82"/>
      <c r="K337" s="82">
        <f t="shared" si="11"/>
        <v>18.213840000000001</v>
      </c>
      <c r="L337" s="82"/>
      <c r="M337" s="82"/>
      <c r="N337" s="86"/>
    </row>
    <row r="338" spans="2:14" x14ac:dyDescent="0.25">
      <c r="B338" s="49"/>
      <c r="C338" s="57"/>
      <c r="D338" s="144" t="s">
        <v>636</v>
      </c>
      <c r="E338" s="64"/>
      <c r="F338" s="94">
        <v>1</v>
      </c>
      <c r="G338" s="506">
        <f xml:space="preserve"> ((4*(0.2+0.25+1.97+0.33)) *2)</f>
        <v>22</v>
      </c>
      <c r="H338" s="511"/>
      <c r="I338" s="155">
        <v>0.61699999999999999</v>
      </c>
      <c r="J338" s="82"/>
      <c r="K338" s="82">
        <f t="shared" si="11"/>
        <v>13.574</v>
      </c>
      <c r="L338" s="82"/>
      <c r="M338" s="82"/>
      <c r="N338" s="86"/>
    </row>
    <row r="339" spans="2:14" x14ac:dyDescent="0.25">
      <c r="B339" s="49"/>
      <c r="C339" s="57"/>
      <c r="D339" s="144" t="s">
        <v>638</v>
      </c>
      <c r="E339" s="64"/>
      <c r="F339" s="94">
        <v>1</v>
      </c>
      <c r="G339" s="506">
        <f xml:space="preserve"> ((4*(0.2+0.25+2+0.33)) *3)</f>
        <v>33.36</v>
      </c>
      <c r="H339" s="511"/>
      <c r="I339" s="155">
        <v>0.61699999999999999</v>
      </c>
      <c r="J339" s="82"/>
      <c r="K339" s="82">
        <f t="shared" si="11"/>
        <v>20.583120000000001</v>
      </c>
      <c r="L339" s="82"/>
      <c r="M339" s="82"/>
      <c r="N339" s="86"/>
    </row>
    <row r="340" spans="2:14" ht="22.5" x14ac:dyDescent="0.25">
      <c r="B340" s="49"/>
      <c r="C340" s="57"/>
      <c r="D340" s="144" t="s">
        <v>626</v>
      </c>
      <c r="E340" s="64"/>
      <c r="F340" s="94">
        <v>1</v>
      </c>
      <c r="G340" s="506">
        <f xml:space="preserve"> ((4*(0.2+0.25+2.01+0.33)) *7)</f>
        <v>78.12</v>
      </c>
      <c r="H340" s="511"/>
      <c r="I340" s="155">
        <v>0.61699999999999999</v>
      </c>
      <c r="J340" s="82"/>
      <c r="K340" s="82">
        <f t="shared" si="11"/>
        <v>48.200040000000001</v>
      </c>
      <c r="L340" s="82"/>
      <c r="M340" s="82"/>
      <c r="N340" s="86"/>
    </row>
    <row r="341" spans="2:14" x14ac:dyDescent="0.25">
      <c r="B341" s="49"/>
      <c r="C341" s="57"/>
      <c r="D341" s="431" t="s">
        <v>1067</v>
      </c>
      <c r="E341" s="64"/>
      <c r="F341" s="94">
        <v>1</v>
      </c>
      <c r="G341" s="506">
        <v>133.6</v>
      </c>
      <c r="H341" s="507"/>
      <c r="I341" s="508"/>
      <c r="J341" s="82"/>
      <c r="K341" s="82">
        <f>F341*G341</f>
        <v>133.6</v>
      </c>
      <c r="L341" s="82"/>
      <c r="M341" s="82"/>
      <c r="N341" s="86"/>
    </row>
    <row r="342" spans="2:14" x14ac:dyDescent="0.25">
      <c r="B342" s="49"/>
      <c r="C342" s="57"/>
      <c r="D342" s="52"/>
      <c r="E342" s="64"/>
      <c r="F342" s="94"/>
      <c r="G342" s="104"/>
      <c r="H342" s="92"/>
      <c r="I342" s="105"/>
      <c r="J342" s="99"/>
      <c r="K342" s="81"/>
      <c r="L342" s="82"/>
      <c r="M342" s="82"/>
      <c r="N342" s="86"/>
    </row>
    <row r="343" spans="2:14" ht="30.6" customHeight="1" x14ac:dyDescent="0.25">
      <c r="B343" s="49" t="s">
        <v>81</v>
      </c>
      <c r="C343" s="57">
        <v>96547</v>
      </c>
      <c r="D343" s="52" t="s">
        <v>83</v>
      </c>
      <c r="E343" s="64" t="s">
        <v>62</v>
      </c>
      <c r="F343" s="94"/>
      <c r="G343" s="578" t="s">
        <v>1081</v>
      </c>
      <c r="H343" s="579"/>
      <c r="I343" s="580"/>
      <c r="J343" s="99">
        <f>'BOLETIM DE MEDIÇÃO 05'!I36</f>
        <v>100.55646000000002</v>
      </c>
      <c r="K343" s="81">
        <v>26.36</v>
      </c>
      <c r="L343" s="82">
        <f t="shared" si="0"/>
        <v>126.91646000000001</v>
      </c>
      <c r="M343" s="82">
        <f>'BOLETIM DE MEDIÇÃO 12'!G36</f>
        <v>179.26</v>
      </c>
      <c r="N343" s="86">
        <f t="shared" si="1"/>
        <v>52.343539999999976</v>
      </c>
    </row>
    <row r="344" spans="2:14" ht="72" customHeight="1" x14ac:dyDescent="0.25">
      <c r="B344" s="49"/>
      <c r="C344" s="57"/>
      <c r="D344" s="152" t="s">
        <v>627</v>
      </c>
      <c r="E344" s="64"/>
      <c r="F344" s="94"/>
      <c r="G344" s="509" t="s">
        <v>628</v>
      </c>
      <c r="H344" s="510"/>
      <c r="I344" s="122" t="s">
        <v>611</v>
      </c>
      <c r="J344" s="99"/>
      <c r="K344" s="82"/>
      <c r="L344" s="82"/>
      <c r="M344" s="82"/>
      <c r="N344" s="86"/>
    </row>
    <row r="345" spans="2:14" x14ac:dyDescent="0.25">
      <c r="B345" s="49"/>
      <c r="C345" s="57"/>
      <c r="D345" s="144" t="s">
        <v>639</v>
      </c>
      <c r="E345" s="64"/>
      <c r="F345" s="94">
        <v>1</v>
      </c>
      <c r="G345" s="506">
        <f>((8*(0.2+0.25+1.86+0.42)))</f>
        <v>21.84</v>
      </c>
      <c r="H345" s="511"/>
      <c r="I345" s="155">
        <v>0.96299999999999997</v>
      </c>
      <c r="J345" s="99"/>
      <c r="K345" s="82">
        <v>21.03192</v>
      </c>
      <c r="L345" s="82"/>
      <c r="M345" s="82"/>
      <c r="N345" s="86"/>
    </row>
    <row r="346" spans="2:14" x14ac:dyDescent="0.25">
      <c r="B346" s="49"/>
      <c r="C346" s="57"/>
      <c r="D346" s="144" t="s">
        <v>640</v>
      </c>
      <c r="E346" s="64"/>
      <c r="F346" s="94">
        <v>1</v>
      </c>
      <c r="G346" s="506">
        <f>((6*(0.2+0.25+1.87+0.42)))</f>
        <v>16.440000000000001</v>
      </c>
      <c r="H346" s="511"/>
      <c r="I346" s="155">
        <v>0.96299999999999997</v>
      </c>
      <c r="J346" s="99"/>
      <c r="K346" s="82">
        <v>15.831720000000001</v>
      </c>
      <c r="L346" s="82"/>
      <c r="M346" s="82"/>
      <c r="N346" s="86"/>
    </row>
    <row r="347" spans="2:14" x14ac:dyDescent="0.25">
      <c r="B347" s="49"/>
      <c r="C347" s="57"/>
      <c r="D347" s="144" t="s">
        <v>641</v>
      </c>
      <c r="E347" s="64"/>
      <c r="F347" s="94">
        <v>1</v>
      </c>
      <c r="G347" s="506">
        <f>((6*(0.2+0.25+1.89+0.42)))</f>
        <v>16.559999999999999</v>
      </c>
      <c r="H347" s="511"/>
      <c r="I347" s="155">
        <v>0.96299999999999997</v>
      </c>
      <c r="J347" s="99"/>
      <c r="K347" s="82">
        <v>15.947279999999997</v>
      </c>
      <c r="L347" s="82"/>
      <c r="M347" s="82"/>
      <c r="N347" s="86"/>
    </row>
    <row r="348" spans="2:14" x14ac:dyDescent="0.25">
      <c r="B348" s="49"/>
      <c r="C348" s="57"/>
      <c r="D348" s="144" t="s">
        <v>642</v>
      </c>
      <c r="E348" s="64"/>
      <c r="F348" s="94">
        <v>1</v>
      </c>
      <c r="G348" s="506">
        <f>((4*(0.2+0.25+1.9+0.42)))</f>
        <v>11.08</v>
      </c>
      <c r="H348" s="511"/>
      <c r="I348" s="155">
        <v>0.96299999999999997</v>
      </c>
      <c r="J348" s="99"/>
      <c r="K348" s="82">
        <v>10.67004</v>
      </c>
      <c r="L348" s="82"/>
      <c r="M348" s="82"/>
      <c r="N348" s="86"/>
    </row>
    <row r="349" spans="2:14" x14ac:dyDescent="0.25">
      <c r="B349" s="49"/>
      <c r="C349" s="57"/>
      <c r="D349" s="144" t="s">
        <v>643</v>
      </c>
      <c r="E349" s="64"/>
      <c r="F349" s="94">
        <v>1</v>
      </c>
      <c r="G349" s="506">
        <f>((4*(0.2+0.25+1.92+0.42)))</f>
        <v>11.16</v>
      </c>
      <c r="H349" s="511"/>
      <c r="I349" s="155">
        <v>0.96299999999999997</v>
      </c>
      <c r="J349" s="99"/>
      <c r="K349" s="82">
        <v>10.74708</v>
      </c>
      <c r="L349" s="82"/>
      <c r="M349" s="82"/>
      <c r="N349" s="86"/>
    </row>
    <row r="350" spans="2:14" x14ac:dyDescent="0.25">
      <c r="B350" s="49"/>
      <c r="C350" s="57"/>
      <c r="D350" s="144" t="s">
        <v>644</v>
      </c>
      <c r="E350" s="64"/>
      <c r="F350" s="94">
        <v>1</v>
      </c>
      <c r="G350" s="506">
        <f>((4*(0.2+0.25+1.9+0.42)))</f>
        <v>11.08</v>
      </c>
      <c r="H350" s="511"/>
      <c r="I350" s="155">
        <v>0.96299999999999997</v>
      </c>
      <c r="J350" s="99"/>
      <c r="K350" s="82">
        <v>10.67004</v>
      </c>
      <c r="L350" s="82"/>
      <c r="M350" s="82"/>
      <c r="N350" s="86"/>
    </row>
    <row r="351" spans="2:14" x14ac:dyDescent="0.25">
      <c r="B351" s="49"/>
      <c r="C351" s="57"/>
      <c r="D351" s="144" t="s">
        <v>645</v>
      </c>
      <c r="E351" s="64"/>
      <c r="F351" s="94">
        <v>1</v>
      </c>
      <c r="G351" s="506">
        <f>((4*(0.2+0.25+1.98+0.42)))+(2*(0.2+0.25+1.98))</f>
        <v>16.260000000000002</v>
      </c>
      <c r="H351" s="511"/>
      <c r="I351" s="155">
        <v>0.96299999999999997</v>
      </c>
      <c r="J351" s="99"/>
      <c r="K351" s="82">
        <v>15.658380000000001</v>
      </c>
      <c r="L351" s="82"/>
      <c r="M351" s="82"/>
      <c r="N351" s="86"/>
    </row>
    <row r="352" spans="2:14" ht="30.6" customHeight="1" x14ac:dyDescent="0.25">
      <c r="B352" s="49"/>
      <c r="C352" s="57"/>
      <c r="D352" s="431" t="s">
        <v>1067</v>
      </c>
      <c r="E352" s="64"/>
      <c r="F352" s="94">
        <v>1</v>
      </c>
      <c r="G352" s="506">
        <v>78.7</v>
      </c>
      <c r="H352" s="507"/>
      <c r="I352" s="508"/>
      <c r="J352" s="99"/>
      <c r="K352" s="81">
        <v>78.7</v>
      </c>
      <c r="L352" s="82"/>
      <c r="M352" s="82"/>
      <c r="N352" s="86"/>
    </row>
    <row r="353" spans="2:14" s="167" customFormat="1" x14ac:dyDescent="0.25">
      <c r="B353" s="49"/>
      <c r="C353" s="57"/>
      <c r="D353" s="152"/>
      <c r="E353" s="64"/>
      <c r="F353" s="94"/>
      <c r="G353" s="509"/>
      <c r="H353" s="512"/>
      <c r="I353" s="513"/>
    </row>
    <row r="354" spans="2:14" s="167" customFormat="1" ht="30.6" customHeight="1" x14ac:dyDescent="0.25">
      <c r="B354" s="49" t="s">
        <v>84</v>
      </c>
      <c r="C354" s="57">
        <v>96536</v>
      </c>
      <c r="D354" s="52" t="s">
        <v>86</v>
      </c>
      <c r="E354" s="64" t="s">
        <v>17</v>
      </c>
      <c r="F354" s="94"/>
      <c r="G354" s="578" t="s">
        <v>1082</v>
      </c>
      <c r="H354" s="579"/>
      <c r="I354" s="580"/>
      <c r="J354" s="99">
        <f>'BOLETIM DE MEDIÇÃO 12'!T37-'MEMORIAL DE CALCULO 10'!K354</f>
        <v>429.82720000000012</v>
      </c>
      <c r="K354" s="81">
        <f>SUM(K355:K401)-429.83</f>
        <v>33.939799999999877</v>
      </c>
      <c r="L354" s="82">
        <f>J354+K354</f>
        <v>463.767</v>
      </c>
      <c r="M354" s="82">
        <f>'BOLETIM DE MEDIÇÃO 12'!G37</f>
        <v>463.77</v>
      </c>
      <c r="N354" s="86">
        <f>M354-L354</f>
        <v>2.9999999999859028E-3</v>
      </c>
    </row>
    <row r="355" spans="2:14" ht="20.45" customHeight="1" x14ac:dyDescent="0.25">
      <c r="B355" s="49"/>
      <c r="C355" s="57"/>
      <c r="D355" s="152" t="s">
        <v>1067</v>
      </c>
      <c r="E355" s="64"/>
      <c r="F355" s="94">
        <v>1</v>
      </c>
      <c r="G355" s="506">
        <v>254.18</v>
      </c>
      <c r="H355" s="507"/>
      <c r="I355" s="508"/>
      <c r="J355" s="99"/>
      <c r="K355" s="82">
        <f>F355*G355</f>
        <v>254.18</v>
      </c>
      <c r="L355" s="82"/>
      <c r="M355" s="82"/>
      <c r="N355" s="86"/>
    </row>
    <row r="356" spans="2:14" ht="22.5" x14ac:dyDescent="0.25">
      <c r="B356" s="49"/>
      <c r="C356" s="57"/>
      <c r="D356" s="428" t="s">
        <v>1083</v>
      </c>
      <c r="E356" s="64"/>
      <c r="F356" s="94">
        <v>1</v>
      </c>
      <c r="G356" s="104" t="s">
        <v>1073</v>
      </c>
      <c r="H356" s="92" t="s">
        <v>649</v>
      </c>
      <c r="I356" s="105" t="s">
        <v>651</v>
      </c>
      <c r="J356" s="99"/>
      <c r="K356" s="82"/>
      <c r="L356" s="82"/>
      <c r="M356" s="82"/>
      <c r="N356" s="86"/>
    </row>
    <row r="357" spans="2:14" ht="33.75" x14ac:dyDescent="0.25">
      <c r="B357" s="49"/>
      <c r="C357" s="57"/>
      <c r="D357" s="144" t="s">
        <v>1050</v>
      </c>
      <c r="E357" s="64"/>
      <c r="F357" s="105">
        <v>1</v>
      </c>
      <c r="G357" s="99">
        <v>0.92700000000000005</v>
      </c>
      <c r="H357" s="92">
        <v>0.15</v>
      </c>
      <c r="I357" s="105">
        <v>0.2</v>
      </c>
      <c r="J357" s="99"/>
      <c r="K357" s="82">
        <v>0.37080000000000002</v>
      </c>
      <c r="L357" s="82"/>
      <c r="M357" s="82"/>
      <c r="N357" s="86"/>
    </row>
    <row r="358" spans="2:14" ht="33.75" x14ac:dyDescent="0.25">
      <c r="B358" s="49"/>
      <c r="C358" s="57"/>
      <c r="D358" s="144" t="s">
        <v>1051</v>
      </c>
      <c r="E358" s="64"/>
      <c r="F358" s="105">
        <v>1</v>
      </c>
      <c r="G358" s="99">
        <v>0.8</v>
      </c>
      <c r="H358" s="92">
        <v>0.15</v>
      </c>
      <c r="I358" s="105">
        <v>0.2</v>
      </c>
      <c r="J358" s="99"/>
      <c r="K358" s="82">
        <v>0.32000000000000006</v>
      </c>
      <c r="L358" s="82"/>
      <c r="M358" s="82"/>
      <c r="N358" s="86"/>
    </row>
    <row r="359" spans="2:14" x14ac:dyDescent="0.25">
      <c r="B359" s="49"/>
      <c r="C359" s="57"/>
      <c r="D359" s="144" t="s">
        <v>1052</v>
      </c>
      <c r="E359" s="64"/>
      <c r="F359" s="105">
        <v>1</v>
      </c>
      <c r="G359" s="99">
        <f>(1.7+0.15+1.855)</f>
        <v>3.7050000000000001</v>
      </c>
      <c r="H359" s="92">
        <v>0.15</v>
      </c>
      <c r="I359" s="105">
        <v>0.2</v>
      </c>
      <c r="J359" s="99"/>
      <c r="K359" s="82">
        <v>1.4820000000000002</v>
      </c>
      <c r="L359" s="82"/>
      <c r="M359" s="82"/>
      <c r="N359" s="86"/>
    </row>
    <row r="360" spans="2:14" x14ac:dyDescent="0.25">
      <c r="B360" s="49"/>
      <c r="C360" s="57"/>
      <c r="D360" s="144" t="s">
        <v>1053</v>
      </c>
      <c r="E360" s="64"/>
      <c r="F360" s="105">
        <v>1</v>
      </c>
      <c r="G360" s="99">
        <v>2.7</v>
      </c>
      <c r="H360" s="92">
        <v>0.15</v>
      </c>
      <c r="I360" s="105">
        <v>0.2</v>
      </c>
      <c r="J360" s="99"/>
      <c r="K360" s="82">
        <v>1.08</v>
      </c>
      <c r="L360" s="82"/>
      <c r="M360" s="82"/>
      <c r="N360" s="86"/>
    </row>
    <row r="361" spans="2:14" x14ac:dyDescent="0.25">
      <c r="B361" s="49"/>
      <c r="C361" s="57"/>
      <c r="D361" s="152"/>
      <c r="E361" s="64"/>
      <c r="F361" s="94"/>
      <c r="G361" s="373"/>
      <c r="H361" s="374"/>
      <c r="I361" s="318"/>
      <c r="J361" s="99"/>
      <c r="K361" s="82"/>
      <c r="L361" s="82"/>
      <c r="M361" s="82"/>
      <c r="N361" s="86"/>
    </row>
    <row r="362" spans="2:14" x14ac:dyDescent="0.25">
      <c r="B362" s="49"/>
      <c r="C362" s="57"/>
      <c r="D362" s="152"/>
      <c r="E362" s="64"/>
      <c r="F362" s="94"/>
      <c r="G362" s="373"/>
      <c r="H362" s="374"/>
      <c r="I362" s="318"/>
      <c r="J362" s="99"/>
      <c r="K362" s="82"/>
      <c r="L362" s="82"/>
      <c r="M362" s="82"/>
      <c r="N362" s="86"/>
    </row>
    <row r="363" spans="2:14" ht="27" customHeight="1" x14ac:dyDescent="0.25">
      <c r="B363" s="49"/>
      <c r="C363" s="57"/>
      <c r="D363" s="152" t="s">
        <v>648</v>
      </c>
      <c r="E363" s="64"/>
      <c r="F363" s="94"/>
      <c r="G363" s="157" t="s">
        <v>649</v>
      </c>
      <c r="H363" s="158" t="s">
        <v>650</v>
      </c>
      <c r="I363" s="122" t="s">
        <v>651</v>
      </c>
      <c r="J363" s="99"/>
      <c r="K363" s="81"/>
      <c r="L363" s="82"/>
      <c r="M363" s="82"/>
      <c r="N363" s="86"/>
    </row>
    <row r="364" spans="2:14" ht="33.75" x14ac:dyDescent="0.25">
      <c r="B364" s="49"/>
      <c r="C364" s="57"/>
      <c r="D364" s="144" t="s">
        <v>569</v>
      </c>
      <c r="E364" s="64"/>
      <c r="F364" s="94">
        <v>32</v>
      </c>
      <c r="G364" s="104">
        <v>0.6</v>
      </c>
      <c r="H364" s="92">
        <v>0.7</v>
      </c>
      <c r="I364" s="105">
        <v>0.25</v>
      </c>
      <c r="J364" s="99"/>
      <c r="K364" s="82">
        <v>20.799999999999997</v>
      </c>
      <c r="L364" s="82"/>
      <c r="M364" s="82"/>
      <c r="N364" s="86"/>
    </row>
    <row r="365" spans="2:14" ht="45" x14ac:dyDescent="0.25">
      <c r="B365" s="49"/>
      <c r="C365" s="57"/>
      <c r="D365" s="144" t="s">
        <v>570</v>
      </c>
      <c r="E365" s="64"/>
      <c r="F365" s="94">
        <v>41</v>
      </c>
      <c r="G365" s="104">
        <v>0.6</v>
      </c>
      <c r="H365" s="92">
        <v>0.7</v>
      </c>
      <c r="I365" s="105">
        <v>0.25</v>
      </c>
      <c r="J365" s="99"/>
      <c r="K365" s="82">
        <v>26.649999999999995</v>
      </c>
      <c r="L365" s="82"/>
      <c r="M365" s="82"/>
      <c r="N365" s="86"/>
    </row>
    <row r="366" spans="2:14" ht="21.6" customHeight="1" x14ac:dyDescent="0.25">
      <c r="B366" s="49"/>
      <c r="C366" s="57"/>
      <c r="D366" s="144" t="s">
        <v>571</v>
      </c>
      <c r="E366" s="64"/>
      <c r="F366" s="94">
        <v>1</v>
      </c>
      <c r="G366" s="104">
        <v>0.6</v>
      </c>
      <c r="H366" s="92">
        <v>0.8</v>
      </c>
      <c r="I366" s="105">
        <v>0.25</v>
      </c>
      <c r="J366" s="99"/>
      <c r="K366" s="82">
        <v>0.7</v>
      </c>
      <c r="L366" s="82"/>
      <c r="M366" s="82"/>
      <c r="N366" s="86"/>
    </row>
    <row r="367" spans="2:14" x14ac:dyDescent="0.25">
      <c r="B367" s="49"/>
      <c r="C367" s="57"/>
      <c r="D367" s="144" t="s">
        <v>572</v>
      </c>
      <c r="E367" s="64"/>
      <c r="F367" s="94">
        <v>2</v>
      </c>
      <c r="G367" s="104">
        <v>0.9</v>
      </c>
      <c r="H367" s="92">
        <v>0.9</v>
      </c>
      <c r="I367" s="105">
        <v>0.25</v>
      </c>
      <c r="J367" s="99"/>
      <c r="K367" s="82">
        <v>1.8</v>
      </c>
      <c r="L367" s="82"/>
      <c r="M367" s="82"/>
      <c r="N367" s="86"/>
    </row>
    <row r="368" spans="2:14" x14ac:dyDescent="0.25">
      <c r="B368" s="49"/>
      <c r="C368" s="57"/>
      <c r="D368" s="144" t="s">
        <v>573</v>
      </c>
      <c r="E368" s="64"/>
      <c r="F368" s="94">
        <v>7</v>
      </c>
      <c r="G368" s="104">
        <v>0.65</v>
      </c>
      <c r="H368" s="92">
        <v>0.65</v>
      </c>
      <c r="I368" s="105">
        <v>0.25</v>
      </c>
      <c r="J368" s="99"/>
      <c r="K368" s="82">
        <v>4.55</v>
      </c>
      <c r="L368" s="82"/>
      <c r="M368" s="82"/>
      <c r="N368" s="86"/>
    </row>
    <row r="369" spans="2:14" ht="20.45" customHeight="1" x14ac:dyDescent="0.25">
      <c r="B369" s="49"/>
      <c r="C369" s="57"/>
      <c r="D369" s="144" t="s">
        <v>574</v>
      </c>
      <c r="E369" s="64"/>
      <c r="F369" s="94">
        <v>3</v>
      </c>
      <c r="G369" s="104">
        <v>0.65</v>
      </c>
      <c r="H369" s="92">
        <v>0.75</v>
      </c>
      <c r="I369" s="105">
        <v>0.25</v>
      </c>
      <c r="J369" s="99"/>
      <c r="K369" s="82">
        <v>2.0999999999999996</v>
      </c>
      <c r="L369" s="82"/>
      <c r="M369" s="82"/>
      <c r="N369" s="86"/>
    </row>
    <row r="370" spans="2:14" ht="20.45" customHeight="1" x14ac:dyDescent="0.25">
      <c r="B370" s="49"/>
      <c r="C370" s="57"/>
      <c r="D370" s="144" t="s">
        <v>575</v>
      </c>
      <c r="E370" s="64"/>
      <c r="F370" s="94">
        <v>2</v>
      </c>
      <c r="G370" s="104">
        <v>0.55000000000000004</v>
      </c>
      <c r="H370" s="92">
        <v>0.95</v>
      </c>
      <c r="I370" s="105">
        <v>0.25</v>
      </c>
      <c r="J370" s="99"/>
      <c r="K370" s="82">
        <v>1.5</v>
      </c>
      <c r="L370" s="82"/>
      <c r="M370" s="82"/>
      <c r="N370" s="86"/>
    </row>
    <row r="371" spans="2:14" ht="22.9" customHeight="1" x14ac:dyDescent="0.25">
      <c r="B371" s="49"/>
      <c r="C371" s="57"/>
      <c r="D371" s="152" t="s">
        <v>627</v>
      </c>
      <c r="E371" s="64"/>
      <c r="F371" s="94"/>
      <c r="G371" s="509" t="s">
        <v>706</v>
      </c>
      <c r="H371" s="510"/>
      <c r="I371" s="105" t="s">
        <v>651</v>
      </c>
      <c r="J371" s="99"/>
      <c r="K371" s="82"/>
      <c r="L371" s="82"/>
      <c r="M371" s="82"/>
      <c r="N371" s="86"/>
    </row>
    <row r="372" spans="2:14" x14ac:dyDescent="0.25">
      <c r="B372" s="49"/>
      <c r="C372" s="57"/>
      <c r="D372" s="144" t="s">
        <v>614</v>
      </c>
      <c r="E372" s="64"/>
      <c r="F372" s="94">
        <v>1</v>
      </c>
      <c r="G372" s="506">
        <f xml:space="preserve"> ((0.15+0.25)*2) *2</f>
        <v>1.6</v>
      </c>
      <c r="H372" s="511"/>
      <c r="I372" s="105">
        <v>1.85</v>
      </c>
      <c r="J372" s="99"/>
      <c r="K372" s="82">
        <v>2.9600000000000004</v>
      </c>
      <c r="L372" s="82"/>
      <c r="M372" s="82"/>
      <c r="N372" s="86"/>
    </row>
    <row r="373" spans="2:14" ht="23.45" customHeight="1" x14ac:dyDescent="0.25">
      <c r="B373" s="49"/>
      <c r="C373" s="57"/>
      <c r="D373" s="144" t="s">
        <v>633</v>
      </c>
      <c r="E373" s="64"/>
      <c r="F373" s="94">
        <v>1</v>
      </c>
      <c r="G373" s="506">
        <f xml:space="preserve"> ((0.2+0.25)*2) + ((0.2+0.3)*2)</f>
        <v>1.9</v>
      </c>
      <c r="H373" s="511"/>
      <c r="I373" s="105">
        <v>1.87</v>
      </c>
      <c r="J373" s="99"/>
      <c r="K373" s="82">
        <v>3.5529999999999999</v>
      </c>
      <c r="L373" s="82"/>
      <c r="M373" s="82"/>
      <c r="N373" s="86"/>
    </row>
    <row r="374" spans="2:14" ht="22.5" x14ac:dyDescent="0.25">
      <c r="B374" s="49"/>
      <c r="C374" s="57"/>
      <c r="D374" s="144" t="s">
        <v>629</v>
      </c>
      <c r="E374" s="64"/>
      <c r="F374" s="94">
        <v>1</v>
      </c>
      <c r="G374" s="506">
        <f xml:space="preserve"> ((0.2+0.25)*2*3) + ((0.2+0.2)*2*1) + ((0.15+0.2)*2*1)</f>
        <v>4.2</v>
      </c>
      <c r="H374" s="511"/>
      <c r="I374" s="105">
        <v>1.9</v>
      </c>
      <c r="J374" s="99"/>
      <c r="K374" s="82">
        <v>7.9799999999999995</v>
      </c>
      <c r="L374" s="82"/>
      <c r="M374" s="82"/>
      <c r="N374" s="86"/>
    </row>
    <row r="375" spans="2:14" ht="23.45" customHeight="1" x14ac:dyDescent="0.25">
      <c r="B375" s="49"/>
      <c r="C375" s="57"/>
      <c r="D375" s="144" t="s">
        <v>630</v>
      </c>
      <c r="E375" s="64"/>
      <c r="F375" s="94">
        <v>1</v>
      </c>
      <c r="G375" s="506">
        <f xml:space="preserve"> ((0.2+0.25)*2*1) + ((0.15+0.25)*2*2)</f>
        <v>2.5</v>
      </c>
      <c r="H375" s="511"/>
      <c r="I375" s="105">
        <v>1.92</v>
      </c>
      <c r="J375" s="99"/>
      <c r="K375" s="82">
        <v>4.8</v>
      </c>
      <c r="L375" s="82"/>
      <c r="M375" s="82"/>
      <c r="N375" s="86"/>
    </row>
    <row r="376" spans="2:14" x14ac:dyDescent="0.25">
      <c r="B376" s="49"/>
      <c r="C376" s="57"/>
      <c r="D376" s="144" t="s">
        <v>615</v>
      </c>
      <c r="E376" s="64"/>
      <c r="F376" s="94">
        <v>1</v>
      </c>
      <c r="G376" s="506">
        <f xml:space="preserve"> ((0.15+0.3)*2*3)</f>
        <v>2.6999999999999997</v>
      </c>
      <c r="H376" s="511"/>
      <c r="I376" s="86">
        <v>1.94</v>
      </c>
      <c r="J376" s="99"/>
      <c r="K376" s="82">
        <v>5.2379999999999995</v>
      </c>
      <c r="L376" s="82"/>
      <c r="M376" s="82"/>
      <c r="N376" s="86"/>
    </row>
    <row r="377" spans="2:14" ht="22.5" x14ac:dyDescent="0.25">
      <c r="B377" s="49"/>
      <c r="C377" s="57"/>
      <c r="D377" s="144" t="s">
        <v>616</v>
      </c>
      <c r="E377" s="64"/>
      <c r="F377" s="94">
        <v>1</v>
      </c>
      <c r="G377" s="506">
        <f xml:space="preserve"> ((0.2+0.25)*2*3) + ((0.15+0.25)*2*2)</f>
        <v>4.3000000000000007</v>
      </c>
      <c r="H377" s="511"/>
      <c r="I377" s="86">
        <v>1.96</v>
      </c>
      <c r="J377" s="99"/>
      <c r="K377" s="82">
        <v>8.4280000000000008</v>
      </c>
      <c r="L377" s="82"/>
      <c r="M377" s="82"/>
      <c r="N377" s="86"/>
    </row>
    <row r="378" spans="2:14" ht="26.45" customHeight="1" x14ac:dyDescent="0.25">
      <c r="B378" s="49"/>
      <c r="C378" s="57"/>
      <c r="D378" s="144" t="s">
        <v>617</v>
      </c>
      <c r="E378" s="64"/>
      <c r="F378" s="94">
        <v>1</v>
      </c>
      <c r="G378" s="506">
        <f xml:space="preserve"> ((0.2+0.25)*2*3) + ((0.15+0.25)*2*2) +  ((0.2+0.3)*2*1)</f>
        <v>5.3000000000000007</v>
      </c>
      <c r="H378" s="511"/>
      <c r="I378" s="86">
        <v>1.95</v>
      </c>
      <c r="J378" s="99"/>
      <c r="K378" s="82">
        <v>10.335000000000001</v>
      </c>
      <c r="L378" s="82"/>
      <c r="M378" s="82"/>
      <c r="N378" s="86"/>
    </row>
    <row r="379" spans="2:14" x14ac:dyDescent="0.25">
      <c r="B379" s="49"/>
      <c r="C379" s="57"/>
      <c r="D379" s="144" t="s">
        <v>618</v>
      </c>
      <c r="E379" s="64"/>
      <c r="F379" s="94">
        <v>1</v>
      </c>
      <c r="G379" s="506">
        <f xml:space="preserve"> ((0.2+0.25)*2*2) + ((0.15+0.25)*2*1)</f>
        <v>2.6</v>
      </c>
      <c r="H379" s="511"/>
      <c r="I379" s="86">
        <v>1.97</v>
      </c>
      <c r="J379" s="99"/>
      <c r="K379" s="82">
        <v>5.1219999999999999</v>
      </c>
      <c r="L379" s="82"/>
      <c r="M379" s="82"/>
      <c r="N379" s="86"/>
    </row>
    <row r="380" spans="2:14" x14ac:dyDescent="0.25">
      <c r="B380" s="49"/>
      <c r="C380" s="57"/>
      <c r="D380" s="144" t="s">
        <v>631</v>
      </c>
      <c r="E380" s="64"/>
      <c r="F380" s="94">
        <v>1</v>
      </c>
      <c r="G380" s="506">
        <f>((0.15+0.25)*2*3)</f>
        <v>2.4000000000000004</v>
      </c>
      <c r="H380" s="511"/>
      <c r="I380" s="86">
        <v>1.9</v>
      </c>
      <c r="J380" s="99"/>
      <c r="K380" s="82">
        <v>4.5600000000000005</v>
      </c>
      <c r="L380" s="82"/>
      <c r="M380" s="82"/>
      <c r="N380" s="144"/>
    </row>
    <row r="381" spans="2:14" x14ac:dyDescent="0.25">
      <c r="B381" s="49"/>
      <c r="C381" s="57"/>
      <c r="D381" s="144" t="s">
        <v>632</v>
      </c>
      <c r="E381" s="64"/>
      <c r="F381" s="94">
        <v>1</v>
      </c>
      <c r="G381" s="506">
        <f xml:space="preserve"> ((0.2+0.25)*2*1) + ((0.15+0.25)*2*1) +  ((0.2+0.35)*2*1)</f>
        <v>2.8000000000000003</v>
      </c>
      <c r="H381" s="511"/>
      <c r="I381" s="86">
        <v>1.86</v>
      </c>
      <c r="J381" s="99"/>
      <c r="K381" s="82">
        <v>5.2080000000000011</v>
      </c>
      <c r="L381" s="82"/>
      <c r="M381" s="82"/>
      <c r="N381" s="86"/>
    </row>
    <row r="382" spans="2:14" x14ac:dyDescent="0.25">
      <c r="B382" s="49"/>
      <c r="C382" s="57"/>
      <c r="D382" s="144" t="s">
        <v>634</v>
      </c>
      <c r="E382" s="64"/>
      <c r="F382" s="94">
        <v>1</v>
      </c>
      <c r="G382" s="506">
        <f xml:space="preserve"> ((0.2+0.25)*2*1) + ((0.15+0.3)*2*2)</f>
        <v>2.6999999999999997</v>
      </c>
      <c r="H382" s="511"/>
      <c r="I382" s="86">
        <v>1.87</v>
      </c>
      <c r="J382" s="99"/>
      <c r="K382" s="82">
        <v>5.0489999999999995</v>
      </c>
      <c r="L382" s="82"/>
      <c r="M382" s="82"/>
      <c r="N382" s="86"/>
    </row>
    <row r="383" spans="2:14" x14ac:dyDescent="0.25">
      <c r="B383" s="49"/>
      <c r="C383" s="57"/>
      <c r="D383" s="144" t="s">
        <v>619</v>
      </c>
      <c r="E383" s="64"/>
      <c r="F383" s="94">
        <v>1</v>
      </c>
      <c r="G383" s="506">
        <f xml:space="preserve"> ((0.2+0.3)*2*1) + ((0.15+0.3)*2*1) +  ((0.15+0.25)*2*1) + ((0.15+0.35)*2*1)</f>
        <v>3.7</v>
      </c>
      <c r="H383" s="511"/>
      <c r="I383" s="86">
        <v>1.9</v>
      </c>
      <c r="J383" s="99"/>
      <c r="K383" s="82">
        <v>7.03</v>
      </c>
      <c r="L383" s="82"/>
      <c r="M383" s="82"/>
      <c r="N383" s="86"/>
    </row>
    <row r="384" spans="2:14" x14ac:dyDescent="0.25">
      <c r="B384" s="49"/>
      <c r="C384" s="57"/>
      <c r="D384" s="144" t="s">
        <v>620</v>
      </c>
      <c r="E384" s="64"/>
      <c r="F384" s="94">
        <v>1</v>
      </c>
      <c r="G384" s="506">
        <f xml:space="preserve"> ((0.15+0.25)*2*1) + ((0.2+0.3)*2*1)</f>
        <v>1.8</v>
      </c>
      <c r="H384" s="511"/>
      <c r="I384" s="86">
        <v>1.91</v>
      </c>
      <c r="J384" s="99"/>
      <c r="K384" s="82">
        <v>3.4379999999999997</v>
      </c>
      <c r="L384" s="82"/>
      <c r="M384" s="82"/>
      <c r="N384" s="86"/>
    </row>
    <row r="385" spans="2:14" ht="22.5" x14ac:dyDescent="0.25">
      <c r="B385" s="49"/>
      <c r="C385" s="57"/>
      <c r="D385" s="144" t="s">
        <v>621</v>
      </c>
      <c r="E385" s="64"/>
      <c r="F385" s="94">
        <v>1</v>
      </c>
      <c r="G385" s="506">
        <f xml:space="preserve"> ((0.15+0.25)*2*5) + ((0.25+0.25)*2*1)</f>
        <v>5</v>
      </c>
      <c r="H385" s="511"/>
      <c r="I385" s="86">
        <v>1.94</v>
      </c>
      <c r="J385" s="99"/>
      <c r="K385" s="82">
        <v>9.6999999999999993</v>
      </c>
      <c r="L385" s="82"/>
      <c r="M385" s="82"/>
      <c r="N385" s="86"/>
    </row>
    <row r="386" spans="2:14" ht="20.45" customHeight="1" x14ac:dyDescent="0.25">
      <c r="B386" s="49"/>
      <c r="C386" s="57"/>
      <c r="D386" s="144" t="s">
        <v>622</v>
      </c>
      <c r="E386" s="64"/>
      <c r="F386" s="94">
        <v>1</v>
      </c>
      <c r="G386" s="506">
        <f xml:space="preserve"> ((0.2+0.25)*2*1) + ((0.15+0.25)*2*1) +  ((0.25+0.25)*2*1)</f>
        <v>2.7</v>
      </c>
      <c r="H386" s="511"/>
      <c r="I386" s="86">
        <v>1.93</v>
      </c>
      <c r="J386" s="99"/>
      <c r="K386" s="82">
        <v>5.2110000000000003</v>
      </c>
      <c r="L386" s="82"/>
      <c r="M386" s="82"/>
      <c r="N386" s="86"/>
    </row>
    <row r="387" spans="2:14" x14ac:dyDescent="0.25">
      <c r="B387" s="49"/>
      <c r="C387" s="57"/>
      <c r="D387" s="144" t="s">
        <v>635</v>
      </c>
      <c r="E387" s="64"/>
      <c r="F387" s="94">
        <v>1</v>
      </c>
      <c r="G387" s="506">
        <f xml:space="preserve"> ((0.15+0.25)*2*2) + ((0.25+0.25)*2*1)</f>
        <v>2.6</v>
      </c>
      <c r="H387" s="511"/>
      <c r="I387" s="86">
        <v>1.92</v>
      </c>
      <c r="J387" s="99"/>
      <c r="K387" s="82">
        <v>4.992</v>
      </c>
      <c r="L387" s="82"/>
      <c r="M387" s="82"/>
      <c r="N387" s="86"/>
    </row>
    <row r="388" spans="2:14" x14ac:dyDescent="0.25">
      <c r="B388" s="49"/>
      <c r="C388" s="57"/>
      <c r="D388" s="144" t="s">
        <v>623</v>
      </c>
      <c r="E388" s="64"/>
      <c r="F388" s="94">
        <v>1</v>
      </c>
      <c r="G388" s="506">
        <f xml:space="preserve"> ((0.15+0.25)*2*2) + ((0.2+0.25)*2*2)</f>
        <v>3.4000000000000004</v>
      </c>
      <c r="H388" s="511"/>
      <c r="I388" s="86">
        <v>1.87</v>
      </c>
      <c r="J388" s="99"/>
      <c r="K388" s="82">
        <v>6.3580000000000014</v>
      </c>
      <c r="L388" s="82"/>
      <c r="M388" s="82"/>
      <c r="N388" s="86"/>
    </row>
    <row r="389" spans="2:14" x14ac:dyDescent="0.25">
      <c r="B389" s="49"/>
      <c r="C389" s="57"/>
      <c r="D389" s="144" t="s">
        <v>624</v>
      </c>
      <c r="E389" s="64"/>
      <c r="F389" s="94">
        <v>1</v>
      </c>
      <c r="G389" s="506">
        <f xml:space="preserve"> ((0.15+0.25)*2*3) + ((0.2+0.25)*2*1)</f>
        <v>3.3000000000000003</v>
      </c>
      <c r="H389" s="511"/>
      <c r="I389" s="86">
        <v>1.88</v>
      </c>
      <c r="J389" s="99"/>
      <c r="K389" s="82">
        <v>6.2039999999999997</v>
      </c>
      <c r="L389" s="82"/>
      <c r="M389" s="82"/>
      <c r="N389" s="86"/>
    </row>
    <row r="390" spans="2:14" x14ac:dyDescent="0.25">
      <c r="B390" s="49"/>
      <c r="C390" s="57"/>
      <c r="D390" s="144" t="s">
        <v>625</v>
      </c>
      <c r="E390" s="64"/>
      <c r="F390" s="94">
        <v>1</v>
      </c>
      <c r="G390" s="506">
        <f>((0.2+0.25)*2*3) + ((0.25+0.25)*2*1)</f>
        <v>3.7</v>
      </c>
      <c r="H390" s="511"/>
      <c r="I390" s="86">
        <v>1.9</v>
      </c>
      <c r="J390" s="99"/>
      <c r="K390" s="82">
        <v>7.03</v>
      </c>
      <c r="L390" s="82"/>
      <c r="M390" s="82"/>
      <c r="N390" s="86"/>
    </row>
    <row r="391" spans="2:14" x14ac:dyDescent="0.25">
      <c r="B391" s="49"/>
      <c r="C391" s="57"/>
      <c r="D391" s="144" t="s">
        <v>637</v>
      </c>
      <c r="E391" s="64"/>
      <c r="F391" s="94">
        <v>1</v>
      </c>
      <c r="G391" s="506">
        <f>((0.2+0.2)*2*1)</f>
        <v>0.8</v>
      </c>
      <c r="H391" s="511"/>
      <c r="I391" s="86">
        <v>1.9</v>
      </c>
      <c r="J391" s="99"/>
      <c r="K391" s="82">
        <v>1.52</v>
      </c>
      <c r="L391" s="82"/>
      <c r="M391" s="82"/>
      <c r="N391" s="86"/>
    </row>
    <row r="392" spans="2:14" x14ac:dyDescent="0.25">
      <c r="B392" s="49"/>
      <c r="C392" s="57"/>
      <c r="D392" s="144" t="s">
        <v>636</v>
      </c>
      <c r="E392" s="64"/>
      <c r="F392" s="94">
        <v>1</v>
      </c>
      <c r="G392" s="506">
        <f>((0.2+0.25)*2*1) + ((0.15+0.25)*2*1)</f>
        <v>1.7000000000000002</v>
      </c>
      <c r="H392" s="511"/>
      <c r="I392" s="86">
        <v>1.97</v>
      </c>
      <c r="J392" s="99"/>
      <c r="K392" s="82">
        <v>3.3490000000000002</v>
      </c>
      <c r="L392" s="82"/>
      <c r="M392" s="82"/>
      <c r="N392" s="86"/>
    </row>
    <row r="393" spans="2:14" x14ac:dyDescent="0.25">
      <c r="B393" s="49"/>
      <c r="C393" s="57"/>
      <c r="D393" s="144" t="s">
        <v>638</v>
      </c>
      <c r="E393" s="64"/>
      <c r="F393" s="94">
        <v>1</v>
      </c>
      <c r="G393" s="506">
        <f>((0.2+0.25)*2*1) + ((0.15+0.25)*2*2)</f>
        <v>2.5</v>
      </c>
      <c r="H393" s="511"/>
      <c r="I393" s="86">
        <v>2</v>
      </c>
      <c r="J393" s="99"/>
      <c r="K393" s="82">
        <v>5</v>
      </c>
      <c r="L393" s="82"/>
      <c r="M393" s="82"/>
      <c r="N393" s="86"/>
    </row>
    <row r="394" spans="2:14" ht="22.5" x14ac:dyDescent="0.25">
      <c r="B394" s="49"/>
      <c r="C394" s="57"/>
      <c r="D394" s="144" t="s">
        <v>626</v>
      </c>
      <c r="E394" s="64"/>
      <c r="F394" s="94">
        <v>1</v>
      </c>
      <c r="G394" s="506">
        <f xml:space="preserve"> ((0.2+0.3)*2*1) + ((0.15+0.25)*2*5) +  ((0.25+0.25)*2*1)</f>
        <v>6</v>
      </c>
      <c r="H394" s="511"/>
      <c r="I394" s="86">
        <v>2.0099999999999998</v>
      </c>
      <c r="J394" s="99"/>
      <c r="K394" s="82">
        <v>12.059999999999999</v>
      </c>
      <c r="L394" s="82"/>
      <c r="M394" s="82"/>
      <c r="N394" s="86"/>
    </row>
    <row r="395" spans="2:14" x14ac:dyDescent="0.25">
      <c r="B395" s="49"/>
      <c r="C395" s="57"/>
      <c r="D395" s="144" t="s">
        <v>639</v>
      </c>
      <c r="E395" s="64"/>
      <c r="F395" s="94">
        <v>1</v>
      </c>
      <c r="G395" s="506">
        <f>((0.15+0.3)*2*1)</f>
        <v>0.89999999999999991</v>
      </c>
      <c r="H395" s="511"/>
      <c r="I395" s="86">
        <v>1.86</v>
      </c>
      <c r="J395" s="99"/>
      <c r="K395" s="82">
        <v>1.6739999999999999</v>
      </c>
      <c r="L395" s="82"/>
      <c r="M395" s="82"/>
      <c r="N395" s="86"/>
    </row>
    <row r="396" spans="2:14" x14ac:dyDescent="0.25">
      <c r="B396" s="49"/>
      <c r="C396" s="57"/>
      <c r="D396" s="144" t="s">
        <v>640</v>
      </c>
      <c r="E396" s="64"/>
      <c r="F396" s="94">
        <v>1</v>
      </c>
      <c r="G396" s="506">
        <f>((0.15+0.5)*2*1)</f>
        <v>1.3</v>
      </c>
      <c r="H396" s="511"/>
      <c r="I396" s="86">
        <v>1.87</v>
      </c>
      <c r="J396" s="99"/>
      <c r="K396" s="82">
        <v>2.431</v>
      </c>
      <c r="L396" s="82"/>
      <c r="M396" s="82"/>
      <c r="N396" s="86"/>
    </row>
    <row r="397" spans="2:14" x14ac:dyDescent="0.25">
      <c r="B397" s="49"/>
      <c r="C397" s="57"/>
      <c r="D397" s="144" t="s">
        <v>641</v>
      </c>
      <c r="E397" s="64"/>
      <c r="F397" s="94">
        <v>1</v>
      </c>
      <c r="G397" s="506">
        <f>((0.15+0.5)*2*1)</f>
        <v>1.3</v>
      </c>
      <c r="H397" s="511"/>
      <c r="I397" s="86">
        <v>1.89</v>
      </c>
      <c r="J397" s="99"/>
      <c r="K397" s="82">
        <v>2.4569999999999999</v>
      </c>
      <c r="L397" s="82"/>
      <c r="M397" s="82"/>
      <c r="N397" s="86"/>
    </row>
    <row r="398" spans="2:14" x14ac:dyDescent="0.25">
      <c r="B398" s="49"/>
      <c r="C398" s="57"/>
      <c r="D398" s="144" t="s">
        <v>642</v>
      </c>
      <c r="E398" s="64"/>
      <c r="F398" s="94">
        <v>1</v>
      </c>
      <c r="G398" s="506">
        <f>((0.15+0.25)*2*1)</f>
        <v>0.8</v>
      </c>
      <c r="H398" s="511"/>
      <c r="I398" s="86">
        <v>1.9</v>
      </c>
      <c r="J398" s="99"/>
      <c r="K398" s="82">
        <v>1.52</v>
      </c>
      <c r="L398" s="82"/>
      <c r="M398" s="82"/>
      <c r="N398" s="86"/>
    </row>
    <row r="399" spans="2:14" x14ac:dyDescent="0.25">
      <c r="B399" s="49"/>
      <c r="C399" s="57"/>
      <c r="D399" s="144" t="s">
        <v>643</v>
      </c>
      <c r="E399" s="64"/>
      <c r="F399" s="94">
        <v>1</v>
      </c>
      <c r="G399" s="506">
        <f t="shared" ref="G399" si="12">((0.15+0.3)*2*1)</f>
        <v>0.89999999999999991</v>
      </c>
      <c r="H399" s="511"/>
      <c r="I399" s="86">
        <v>1.92</v>
      </c>
      <c r="J399" s="99"/>
      <c r="K399" s="82">
        <v>1.7279999999999998</v>
      </c>
      <c r="L399" s="82"/>
      <c r="M399" s="82"/>
      <c r="N399" s="86"/>
    </row>
    <row r="400" spans="2:14" x14ac:dyDescent="0.25">
      <c r="B400" s="49"/>
      <c r="C400" s="57"/>
      <c r="D400" s="144" t="s">
        <v>644</v>
      </c>
      <c r="E400" s="64"/>
      <c r="F400" s="94">
        <v>1</v>
      </c>
      <c r="G400" s="506">
        <f>((0.15+0.25)*2*1)</f>
        <v>0.8</v>
      </c>
      <c r="H400" s="511"/>
      <c r="I400" s="86">
        <v>1.9</v>
      </c>
      <c r="J400" s="99"/>
      <c r="K400" s="82">
        <v>1.52</v>
      </c>
      <c r="L400" s="82"/>
      <c r="M400" s="82"/>
      <c r="N400" s="86"/>
    </row>
    <row r="401" spans="2:14" x14ac:dyDescent="0.25">
      <c r="B401" s="49"/>
      <c r="C401" s="57"/>
      <c r="D401" s="144" t="s">
        <v>645</v>
      </c>
      <c r="E401" s="64"/>
      <c r="F401" s="94">
        <v>1</v>
      </c>
      <c r="G401" s="506">
        <f>((0.15+0.3)*2*1)</f>
        <v>0.89999999999999991</v>
      </c>
      <c r="H401" s="511"/>
      <c r="I401" s="86">
        <v>1.98</v>
      </c>
      <c r="J401" s="99"/>
      <c r="K401" s="82">
        <v>1.7819999999999998</v>
      </c>
      <c r="L401" s="82"/>
      <c r="M401" s="82"/>
      <c r="N401" s="86"/>
    </row>
    <row r="402" spans="2:14" x14ac:dyDescent="0.25">
      <c r="B402" s="49"/>
      <c r="C402" s="57"/>
      <c r="D402" s="144"/>
      <c r="E402" s="64"/>
      <c r="F402" s="94"/>
      <c r="G402" s="373"/>
      <c r="H402" s="374"/>
      <c r="I402" s="432"/>
      <c r="J402" s="99"/>
      <c r="K402" s="82"/>
      <c r="L402" s="82"/>
      <c r="M402" s="82"/>
      <c r="N402" s="86"/>
    </row>
    <row r="403" spans="2:14" ht="20.45" customHeight="1" x14ac:dyDescent="0.25">
      <c r="B403" s="49" t="s">
        <v>87</v>
      </c>
      <c r="C403" s="58">
        <v>98557</v>
      </c>
      <c r="D403" s="52" t="s">
        <v>89</v>
      </c>
      <c r="E403" s="64" t="s">
        <v>17</v>
      </c>
      <c r="F403" s="94"/>
      <c r="G403" s="578" t="s">
        <v>1084</v>
      </c>
      <c r="H403" s="579"/>
      <c r="I403" s="580"/>
      <c r="J403" s="99">
        <f>'BOLETIM DE MEDIÇÃO 12'!T38-'MEMORIAL DE CALCULO 10'!K403</f>
        <v>253.95000000000005</v>
      </c>
      <c r="K403" s="81">
        <v>7.88</v>
      </c>
      <c r="L403" s="82">
        <f>J403+K403</f>
        <v>261.83000000000004</v>
      </c>
      <c r="M403" s="82">
        <f>'BOLETIM DE MEDIÇÃO 12'!G38</f>
        <v>261.83</v>
      </c>
      <c r="N403" s="86">
        <f>L403-M403</f>
        <v>0</v>
      </c>
    </row>
    <row r="404" spans="2:14" x14ac:dyDescent="0.25">
      <c r="B404" s="49"/>
      <c r="C404" s="58"/>
      <c r="D404" s="152" t="s">
        <v>1067</v>
      </c>
      <c r="E404" s="64"/>
      <c r="F404" s="94">
        <v>1</v>
      </c>
      <c r="G404" s="506">
        <v>253.95</v>
      </c>
      <c r="H404" s="507"/>
      <c r="I404" s="508"/>
      <c r="J404" s="99"/>
      <c r="K404" s="82">
        <f>F404*G404</f>
        <v>253.95</v>
      </c>
      <c r="L404" s="82"/>
      <c r="M404" s="82"/>
      <c r="N404" s="86"/>
    </row>
    <row r="405" spans="2:14" ht="22.5" x14ac:dyDescent="0.25">
      <c r="B405" s="49"/>
      <c r="C405" s="58"/>
      <c r="D405" s="428" t="s">
        <v>1083</v>
      </c>
      <c r="E405" s="64"/>
      <c r="F405" s="94">
        <v>1</v>
      </c>
      <c r="G405" s="104" t="s">
        <v>1073</v>
      </c>
      <c r="H405" s="92" t="s">
        <v>649</v>
      </c>
      <c r="I405" s="105" t="s">
        <v>651</v>
      </c>
      <c r="J405" s="99"/>
      <c r="K405" s="82">
        <v>0.50985000000000003</v>
      </c>
      <c r="L405" s="82"/>
      <c r="M405" s="82"/>
      <c r="N405" s="86"/>
    </row>
    <row r="406" spans="2:14" ht="33.75" x14ac:dyDescent="0.25">
      <c r="B406" s="49"/>
      <c r="C406" s="58"/>
      <c r="D406" s="144" t="s">
        <v>1050</v>
      </c>
      <c r="E406" s="64"/>
      <c r="F406" s="105">
        <v>1</v>
      </c>
      <c r="G406" s="99">
        <v>0.92700000000000005</v>
      </c>
      <c r="H406" s="92">
        <v>0.15</v>
      </c>
      <c r="I406" s="105">
        <v>0.2</v>
      </c>
      <c r="J406" s="99"/>
      <c r="K406" s="82">
        <v>0.44000000000000006</v>
      </c>
      <c r="L406" s="82"/>
      <c r="M406" s="82"/>
      <c r="N406" s="86"/>
    </row>
    <row r="407" spans="2:14" ht="33.75" x14ac:dyDescent="0.25">
      <c r="B407" s="49"/>
      <c r="C407" s="58"/>
      <c r="D407" s="144" t="s">
        <v>1051</v>
      </c>
      <c r="E407" s="64"/>
      <c r="F407" s="105">
        <v>1</v>
      </c>
      <c r="G407" s="99">
        <v>0.8</v>
      </c>
      <c r="H407" s="92">
        <v>0.15</v>
      </c>
      <c r="I407" s="105">
        <v>0.2</v>
      </c>
      <c r="J407" s="99"/>
      <c r="K407" s="82">
        <v>2.0377500000000004</v>
      </c>
      <c r="L407" s="82"/>
      <c r="M407" s="82"/>
      <c r="N407" s="86"/>
    </row>
    <row r="408" spans="2:14" x14ac:dyDescent="0.25">
      <c r="B408" s="49"/>
      <c r="C408" s="58"/>
      <c r="D408" s="144" t="s">
        <v>1052</v>
      </c>
      <c r="E408" s="64"/>
      <c r="F408" s="105">
        <v>1</v>
      </c>
      <c r="G408" s="99">
        <f>(1.7+0.15+1.855)</f>
        <v>3.7050000000000001</v>
      </c>
      <c r="H408" s="92">
        <v>0.15</v>
      </c>
      <c r="I408" s="105">
        <v>0.2</v>
      </c>
      <c r="J408" s="99"/>
      <c r="K408" s="82">
        <v>1.4850000000000003</v>
      </c>
      <c r="L408" s="82"/>
      <c r="M408" s="82"/>
      <c r="N408" s="86"/>
    </row>
    <row r="409" spans="2:14" x14ac:dyDescent="0.25">
      <c r="B409" s="49"/>
      <c r="C409" s="58"/>
      <c r="D409" s="144" t="s">
        <v>1053</v>
      </c>
      <c r="E409" s="64"/>
      <c r="F409" s="105">
        <v>1</v>
      </c>
      <c r="G409" s="99">
        <v>2.7</v>
      </c>
      <c r="H409" s="92">
        <v>0.15</v>
      </c>
      <c r="I409" s="105">
        <v>0.2</v>
      </c>
      <c r="J409" s="99"/>
      <c r="K409" s="82">
        <v>3.4100000000000006</v>
      </c>
      <c r="L409" s="82"/>
      <c r="M409" s="82"/>
      <c r="N409" s="86"/>
    </row>
    <row r="410" spans="2:14" ht="22.5" x14ac:dyDescent="0.25">
      <c r="B410" s="49"/>
      <c r="C410" s="58"/>
      <c r="D410" s="144" t="s">
        <v>1071</v>
      </c>
      <c r="E410" s="64"/>
      <c r="F410" s="105">
        <v>2</v>
      </c>
      <c r="G410" s="99">
        <v>3.1</v>
      </c>
      <c r="H410" s="92">
        <v>0.15</v>
      </c>
      <c r="I410" s="105">
        <v>0.2</v>
      </c>
      <c r="J410" s="99"/>
      <c r="K410" s="82"/>
      <c r="L410" s="82"/>
      <c r="M410" s="82"/>
      <c r="N410" s="86"/>
    </row>
    <row r="411" spans="2:14" x14ac:dyDescent="0.25">
      <c r="B411" s="49"/>
      <c r="C411" s="57"/>
      <c r="D411" s="144"/>
      <c r="E411" s="64"/>
      <c r="F411" s="94"/>
      <c r="G411" s="373"/>
      <c r="H411" s="99"/>
      <c r="I411" s="86"/>
      <c r="J411" s="99"/>
      <c r="K411" s="82"/>
      <c r="L411" s="82"/>
      <c r="M411" s="82"/>
      <c r="N411" s="86"/>
    </row>
    <row r="412" spans="2:14" x14ac:dyDescent="0.25">
      <c r="B412" s="49"/>
      <c r="C412" s="57"/>
      <c r="D412" s="144" t="s">
        <v>645</v>
      </c>
      <c r="E412" s="64"/>
      <c r="F412" s="94">
        <v>1</v>
      </c>
      <c r="G412" s="506">
        <f>((0.15+0.3)*2*1)</f>
        <v>0.89999999999999991</v>
      </c>
      <c r="H412" s="511"/>
      <c r="I412" s="86">
        <v>1.98</v>
      </c>
      <c r="J412" s="99"/>
      <c r="K412" s="82">
        <f t="shared" ref="K412" si="13">(F412*G412*I412)</f>
        <v>1.7819999999999998</v>
      </c>
      <c r="L412" s="82"/>
      <c r="M412" s="82"/>
      <c r="N412" s="86"/>
    </row>
    <row r="413" spans="2:14" ht="20.45" customHeight="1" x14ac:dyDescent="0.25">
      <c r="B413" s="49" t="s">
        <v>87</v>
      </c>
      <c r="C413" s="58">
        <v>98557</v>
      </c>
      <c r="D413" s="52" t="s">
        <v>89</v>
      </c>
      <c r="E413" s="64" t="s">
        <v>17</v>
      </c>
      <c r="F413" s="94"/>
      <c r="G413" s="104"/>
      <c r="H413" s="92"/>
      <c r="I413" s="105"/>
      <c r="J413" s="99">
        <f>'BOLETIM DE MEDIÇÃO 05'!O38-'MEMORIAL DE CALCULO 10'!K413</f>
        <v>0</v>
      </c>
      <c r="K413" s="82">
        <f>(F414*G414*I414)</f>
        <v>253.95000000000002</v>
      </c>
      <c r="L413" s="82">
        <f t="shared" si="0"/>
        <v>253.95000000000002</v>
      </c>
      <c r="M413" s="82">
        <f>'BOLETIM DE MEDIÇÃO 05'!G38</f>
        <v>253.95</v>
      </c>
      <c r="N413" s="86">
        <f t="shared" si="1"/>
        <v>0</v>
      </c>
    </row>
    <row r="414" spans="2:14" ht="20.45" customHeight="1" x14ac:dyDescent="0.25">
      <c r="B414" s="49"/>
      <c r="C414" s="58"/>
      <c r="D414" s="293" t="s">
        <v>888</v>
      </c>
      <c r="E414" s="64"/>
      <c r="F414" s="94">
        <v>1</v>
      </c>
      <c r="G414" s="104">
        <v>338.6</v>
      </c>
      <c r="H414" s="92"/>
      <c r="I414" s="105">
        <v>0.75</v>
      </c>
      <c r="J414" s="99"/>
      <c r="K414" s="82"/>
      <c r="L414" s="82"/>
      <c r="M414" s="82"/>
      <c r="N414" s="86"/>
    </row>
    <row r="415" spans="2:14" ht="14.45" customHeight="1" x14ac:dyDescent="0.25">
      <c r="B415" s="56" t="s">
        <v>90</v>
      </c>
      <c r="C415" s="60" t="s">
        <v>91</v>
      </c>
      <c r="D415" s="52"/>
      <c r="E415" s="64"/>
      <c r="F415" s="94"/>
      <c r="G415" s="104"/>
      <c r="H415" s="92"/>
      <c r="I415" s="105"/>
      <c r="J415" s="99"/>
      <c r="K415" s="82"/>
      <c r="L415" s="82"/>
      <c r="M415" s="82"/>
      <c r="N415" s="86"/>
    </row>
    <row r="416" spans="2:14" s="167" customFormat="1" ht="48.6" customHeight="1" x14ac:dyDescent="0.25">
      <c r="B416" s="203" t="s">
        <v>92</v>
      </c>
      <c r="C416" s="211">
        <v>92443</v>
      </c>
      <c r="D416" s="205" t="s">
        <v>94</v>
      </c>
      <c r="E416" s="206" t="s">
        <v>17</v>
      </c>
      <c r="F416" s="94">
        <v>1</v>
      </c>
      <c r="G416" s="104"/>
      <c r="H416" s="92"/>
      <c r="I416" s="105"/>
      <c r="J416" s="99">
        <f>'BOLETIM DE MEDIÇÃO 12'!T40-K416</f>
        <v>402.14</v>
      </c>
      <c r="K416" s="81">
        <f>G417</f>
        <v>8.8404000000000007</v>
      </c>
      <c r="L416" s="82">
        <f>J416+K416</f>
        <v>410.98039999999997</v>
      </c>
      <c r="M416" s="82">
        <f>'BOLETIM DE MEDIÇÃO 12'!G40</f>
        <v>410.98</v>
      </c>
      <c r="N416" s="86">
        <f>M416-L416</f>
        <v>-3.999999999564352E-4</v>
      </c>
    </row>
    <row r="417" spans="2:14" ht="14.45" customHeight="1" x14ac:dyDescent="0.25">
      <c r="B417" s="56"/>
      <c r="C417" s="60"/>
      <c r="D417" s="413" t="s">
        <v>1008</v>
      </c>
      <c r="E417" s="64"/>
      <c r="F417" s="94">
        <v>1</v>
      </c>
      <c r="G417" s="506">
        <v>8.8404000000000007</v>
      </c>
      <c r="H417" s="507"/>
      <c r="I417" s="508"/>
      <c r="J417" s="99"/>
      <c r="K417" s="82"/>
      <c r="L417" s="82"/>
      <c r="M417" s="82"/>
      <c r="N417" s="86"/>
    </row>
    <row r="418" spans="2:14" ht="40.15" customHeight="1" x14ac:dyDescent="0.25">
      <c r="B418" s="247" t="s">
        <v>95</v>
      </c>
      <c r="C418" s="248">
        <v>92480</v>
      </c>
      <c r="D418" s="402" t="s">
        <v>97</v>
      </c>
      <c r="E418" s="242" t="s">
        <v>17</v>
      </c>
      <c r="F418" s="243"/>
      <c r="G418" s="244"/>
      <c r="H418" s="403"/>
      <c r="I418" s="246"/>
      <c r="J418" s="249">
        <f>'BOLETIM DE MEDIÇÃO 12'!T41-'MEMORIAL DE CALCULO 10'!K418</f>
        <v>331.92200000000003</v>
      </c>
      <c r="K418" s="250">
        <f>K419+K420</f>
        <v>107.89619999999999</v>
      </c>
      <c r="L418" s="251">
        <f t="shared" si="0"/>
        <v>439.81820000000005</v>
      </c>
      <c r="M418" s="251">
        <f>'BOLETIM DE MEDIÇÃO 05'!G41</f>
        <v>435.33</v>
      </c>
      <c r="N418" s="252">
        <f t="shared" si="1"/>
        <v>-4.488200000000063</v>
      </c>
    </row>
    <row r="419" spans="2:14" ht="18" customHeight="1" x14ac:dyDescent="0.25">
      <c r="B419" s="247"/>
      <c r="C419" s="404"/>
      <c r="D419" s="412" t="s">
        <v>1010</v>
      </c>
      <c r="E419" s="242"/>
      <c r="F419" s="243">
        <v>1</v>
      </c>
      <c r="G419" s="520">
        <v>92.376199999999997</v>
      </c>
      <c r="H419" s="584"/>
      <c r="I419" s="585"/>
      <c r="J419" s="249"/>
      <c r="K419" s="251">
        <f>G419</f>
        <v>92.376199999999997</v>
      </c>
      <c r="L419" s="251"/>
      <c r="M419" s="251"/>
      <c r="N419" s="252"/>
    </row>
    <row r="420" spans="2:14" ht="18" customHeight="1" x14ac:dyDescent="0.25">
      <c r="B420" s="247"/>
      <c r="C420" s="404"/>
      <c r="D420" s="412" t="s">
        <v>1009</v>
      </c>
      <c r="E420" s="242"/>
      <c r="F420" s="243">
        <v>1</v>
      </c>
      <c r="G420" s="520">
        <v>15.52</v>
      </c>
      <c r="H420" s="584"/>
      <c r="I420" s="585"/>
      <c r="J420" s="249"/>
      <c r="K420" s="251">
        <f>G420</f>
        <v>15.52</v>
      </c>
      <c r="L420" s="251"/>
      <c r="M420" s="251"/>
      <c r="N420" s="252"/>
    </row>
    <row r="421" spans="2:14" ht="24.6" customHeight="1" x14ac:dyDescent="0.25">
      <c r="B421" s="247" t="s">
        <v>98</v>
      </c>
      <c r="C421" s="248">
        <v>92267</v>
      </c>
      <c r="D421" s="402" t="s">
        <v>100</v>
      </c>
      <c r="E421" s="242"/>
      <c r="F421" s="243"/>
      <c r="G421" s="394"/>
      <c r="H421" s="242"/>
      <c r="I421" s="406"/>
      <c r="J421" s="249">
        <f>'BOLETIM DE MEDIÇÃO 12'!T42-'MEMORIAL DE CALCULO 10'!K421</f>
        <v>72.858649999999997</v>
      </c>
      <c r="K421" s="250">
        <f>K422+K423</f>
        <v>57.966300000000004</v>
      </c>
      <c r="L421" s="251">
        <f>J421+K421</f>
        <v>130.82495</v>
      </c>
      <c r="M421" s="251">
        <f>'BOLETIM DE MEDIÇÃO 12'!G42</f>
        <v>130.82</v>
      </c>
      <c r="N421" s="252">
        <f>M421-L421</f>
        <v>-4.9500000000080036E-3</v>
      </c>
    </row>
    <row r="422" spans="2:14" ht="18" customHeight="1" x14ac:dyDescent="0.25">
      <c r="B422" s="247"/>
      <c r="C422" s="404"/>
      <c r="D422" s="412" t="s">
        <v>1011</v>
      </c>
      <c r="E422" s="242"/>
      <c r="F422" s="243">
        <v>1</v>
      </c>
      <c r="G422" s="520">
        <f>0.4*88.64</f>
        <v>35.456000000000003</v>
      </c>
      <c r="H422" s="584"/>
      <c r="I422" s="585"/>
      <c r="J422" s="249"/>
      <c r="K422" s="251">
        <f>G422</f>
        <v>35.456000000000003</v>
      </c>
      <c r="L422" s="251"/>
      <c r="M422" s="251"/>
      <c r="N422" s="252"/>
    </row>
    <row r="423" spans="2:14" ht="18" customHeight="1" x14ac:dyDescent="0.25">
      <c r="B423" s="247"/>
      <c r="C423" s="404"/>
      <c r="D423" s="412" t="s">
        <v>1012</v>
      </c>
      <c r="E423" s="242"/>
      <c r="F423" s="243">
        <v>1</v>
      </c>
      <c r="G423" s="520">
        <v>22.510300000000001</v>
      </c>
      <c r="H423" s="584"/>
      <c r="I423" s="585"/>
      <c r="J423" s="249"/>
      <c r="K423" s="251">
        <f>G423</f>
        <v>22.510300000000001</v>
      </c>
      <c r="L423" s="251"/>
      <c r="M423" s="251"/>
      <c r="N423" s="252"/>
    </row>
    <row r="424" spans="2:14" s="167" customFormat="1" ht="30.6" customHeight="1" x14ac:dyDescent="0.25">
      <c r="B424" s="49" t="s">
        <v>101</v>
      </c>
      <c r="C424" s="57">
        <v>92759</v>
      </c>
      <c r="D424" s="52" t="s">
        <v>103</v>
      </c>
      <c r="E424" s="64" t="s">
        <v>62</v>
      </c>
      <c r="F424" s="94"/>
      <c r="G424" s="104"/>
      <c r="H424" s="64"/>
      <c r="I424" s="105"/>
      <c r="J424" s="99">
        <f>'BOLETIM DE MEDIÇÃO 12'!T43-K424</f>
        <v>905.6037799999998</v>
      </c>
      <c r="K424" s="81">
        <f>K425</f>
        <v>130.6009</v>
      </c>
      <c r="L424" s="82">
        <f t="shared" si="0"/>
        <v>1036.2046799999998</v>
      </c>
      <c r="M424" s="82">
        <f>'BOLETIM DE MEDIÇÃO 05'!G43</f>
        <v>1027.8</v>
      </c>
      <c r="N424" s="86">
        <f t="shared" si="1"/>
        <v>-8.4046799999998711</v>
      </c>
    </row>
    <row r="425" spans="2:14" s="167" customFormat="1" ht="19.899999999999999" customHeight="1" x14ac:dyDescent="0.25">
      <c r="B425" s="49"/>
      <c r="C425" s="57"/>
      <c r="D425" s="344" t="s">
        <v>1013</v>
      </c>
      <c r="E425" s="64"/>
      <c r="F425" s="94">
        <v>1</v>
      </c>
      <c r="G425" s="506">
        <v>130.6009</v>
      </c>
      <c r="H425" s="507"/>
      <c r="I425" s="508"/>
      <c r="J425" s="99"/>
      <c r="K425" s="82">
        <f>F425*G425</f>
        <v>130.6009</v>
      </c>
      <c r="L425" s="82"/>
      <c r="M425" s="82"/>
      <c r="N425" s="86"/>
    </row>
    <row r="426" spans="2:14" s="167" customFormat="1" ht="33.6" hidden="1" customHeight="1" x14ac:dyDescent="0.25">
      <c r="B426" s="49" t="s">
        <v>104</v>
      </c>
      <c r="C426" s="57">
        <v>92760</v>
      </c>
      <c r="D426" s="52" t="s">
        <v>106</v>
      </c>
      <c r="E426" s="64" t="s">
        <v>62</v>
      </c>
      <c r="F426" s="94"/>
      <c r="G426" s="104"/>
      <c r="H426" s="64"/>
      <c r="I426" s="105"/>
      <c r="J426" s="99">
        <f>'BOLETIM DE MEDIÇÃO 05'!O44-'MEMORIAL DE CALCULO 10'!K426</f>
        <v>7.82</v>
      </c>
      <c r="K426" s="82">
        <f>K427</f>
        <v>15.64</v>
      </c>
      <c r="L426" s="82">
        <f t="shared" ref="L426" si="14">J426+K426</f>
        <v>23.46</v>
      </c>
      <c r="M426" s="82">
        <f>'BOLETIM DE MEDIÇÃO 05'!G44</f>
        <v>39.1</v>
      </c>
      <c r="N426" s="86">
        <f t="shared" ref="N426" si="15">M426-L426</f>
        <v>15.64</v>
      </c>
    </row>
    <row r="427" spans="2:14" s="167" customFormat="1" ht="22.9" hidden="1" customHeight="1" x14ac:dyDescent="0.25">
      <c r="B427" s="49"/>
      <c r="C427" s="57"/>
      <c r="D427" s="294" t="s">
        <v>964</v>
      </c>
      <c r="E427" s="64"/>
      <c r="F427" s="94">
        <v>1</v>
      </c>
      <c r="G427" s="468">
        <f>0.4*39.1</f>
        <v>15.64</v>
      </c>
      <c r="H427" s="469"/>
      <c r="I427" s="470"/>
      <c r="J427" s="99"/>
      <c r="K427" s="82">
        <f>F427*G427</f>
        <v>15.64</v>
      </c>
      <c r="L427" s="82"/>
      <c r="M427" s="82"/>
      <c r="N427" s="86"/>
    </row>
    <row r="428" spans="2:14" s="167" customFormat="1" ht="30.6" customHeight="1" x14ac:dyDescent="0.25">
      <c r="B428" s="49" t="s">
        <v>107</v>
      </c>
      <c r="C428" s="57">
        <v>92761</v>
      </c>
      <c r="D428" s="52" t="s">
        <v>109</v>
      </c>
      <c r="E428" s="64" t="s">
        <v>62</v>
      </c>
      <c r="F428" s="94"/>
      <c r="G428" s="104"/>
      <c r="H428" s="64"/>
      <c r="I428" s="105"/>
      <c r="J428" s="99">
        <f>'BOLETIM DE MEDIÇÃO 12'!T45-K428</f>
        <v>852.63999999999987</v>
      </c>
      <c r="K428" s="81">
        <f>K429</f>
        <v>168.64</v>
      </c>
      <c r="L428" s="82">
        <f t="shared" si="0"/>
        <v>1021.2799999999999</v>
      </c>
      <c r="M428" s="82">
        <f>'BOLETIM DE MEDIÇÃO 05'!G45</f>
        <v>1000</v>
      </c>
      <c r="N428" s="86">
        <f t="shared" si="1"/>
        <v>-21.279999999999859</v>
      </c>
    </row>
    <row r="429" spans="2:14" s="167" customFormat="1" ht="22.9" customHeight="1" x14ac:dyDescent="0.25">
      <c r="B429" s="49"/>
      <c r="C429" s="57"/>
      <c r="D429" s="344" t="s">
        <v>1013</v>
      </c>
      <c r="E429" s="64"/>
      <c r="F429" s="94">
        <v>1</v>
      </c>
      <c r="G429" s="506">
        <v>168.64</v>
      </c>
      <c r="H429" s="507"/>
      <c r="I429" s="508"/>
      <c r="J429" s="99"/>
      <c r="K429" s="82">
        <f>F429*G429</f>
        <v>168.64</v>
      </c>
      <c r="L429" s="82"/>
      <c r="M429" s="82"/>
      <c r="N429" s="86"/>
    </row>
    <row r="430" spans="2:14" s="167" customFormat="1" ht="30.6" customHeight="1" x14ac:dyDescent="0.25">
      <c r="B430" s="49" t="s">
        <v>110</v>
      </c>
      <c r="C430" s="57">
        <v>92762</v>
      </c>
      <c r="D430" s="52" t="s">
        <v>112</v>
      </c>
      <c r="E430" s="64" t="s">
        <v>62</v>
      </c>
      <c r="F430" s="94"/>
      <c r="G430" s="104"/>
      <c r="H430" s="64"/>
      <c r="I430" s="105"/>
      <c r="J430" s="99">
        <f>'BOLETIM DE MEDIÇÃO 12'!T46-K430</f>
        <v>1303.8771200000001</v>
      </c>
      <c r="K430" s="81">
        <f>K431</f>
        <v>11.700799999999999</v>
      </c>
      <c r="L430" s="82">
        <f t="shared" si="0"/>
        <v>1315.5779200000002</v>
      </c>
      <c r="M430" s="82">
        <f>'BOLETIM DE MEDIÇÃO 05'!G46</f>
        <v>1306.0999999999999</v>
      </c>
      <c r="N430" s="86">
        <f t="shared" si="1"/>
        <v>-9.4779200000002675</v>
      </c>
    </row>
    <row r="431" spans="2:14" s="167" customFormat="1" ht="19.899999999999999" customHeight="1" x14ac:dyDescent="0.25">
      <c r="B431" s="49"/>
      <c r="C431" s="57"/>
      <c r="D431" s="344" t="s">
        <v>1013</v>
      </c>
      <c r="E431" s="64"/>
      <c r="F431" s="105">
        <v>1</v>
      </c>
      <c r="G431" s="506">
        <v>11.700799999999999</v>
      </c>
      <c r="H431" s="507"/>
      <c r="I431" s="508"/>
      <c r="J431" s="99"/>
      <c r="K431" s="82">
        <f>F431*G431</f>
        <v>11.700799999999999</v>
      </c>
      <c r="L431" s="82"/>
      <c r="M431" s="82"/>
      <c r="N431" s="86"/>
    </row>
    <row r="432" spans="2:14" s="167" customFormat="1" ht="19.899999999999999" customHeight="1" x14ac:dyDescent="0.25">
      <c r="B432" s="203" t="s">
        <v>113</v>
      </c>
      <c r="C432" s="211">
        <v>92763</v>
      </c>
      <c r="D432" s="205" t="s">
        <v>115</v>
      </c>
      <c r="E432" s="206" t="s">
        <v>62</v>
      </c>
      <c r="F432" s="105"/>
      <c r="G432" s="374"/>
      <c r="H432" s="374"/>
      <c r="I432" s="318"/>
      <c r="J432" s="99">
        <f>'BOLETIM DE MEDIÇÃO 12'!T47-K432</f>
        <v>161.6</v>
      </c>
      <c r="K432" s="81">
        <f>K433</f>
        <v>6.6020000000000003</v>
      </c>
      <c r="L432" s="82">
        <f>J432+K432</f>
        <v>168.202</v>
      </c>
      <c r="M432" s="82">
        <f>'BOLETIM DE MEDIÇÃO 12'!G47</f>
        <v>168.2</v>
      </c>
      <c r="N432" s="86">
        <f t="shared" si="1"/>
        <v>-2.0000000000095497E-3</v>
      </c>
    </row>
    <row r="433" spans="2:15" s="167" customFormat="1" ht="19.899999999999999" customHeight="1" x14ac:dyDescent="0.25">
      <c r="B433" s="203"/>
      <c r="C433" s="211"/>
      <c r="D433" s="205" t="s">
        <v>1008</v>
      </c>
      <c r="E433" s="206"/>
      <c r="F433" s="105">
        <v>1</v>
      </c>
      <c r="G433" s="506">
        <v>6.6020000000000003</v>
      </c>
      <c r="H433" s="507"/>
      <c r="I433" s="508"/>
      <c r="J433" s="99"/>
      <c r="K433" s="82">
        <f>G433</f>
        <v>6.6020000000000003</v>
      </c>
      <c r="L433" s="82"/>
      <c r="M433" s="82"/>
      <c r="N433" s="86"/>
    </row>
    <row r="434" spans="2:15" s="167" customFormat="1" ht="33.75" x14ac:dyDescent="0.25">
      <c r="B434" s="49" t="s">
        <v>116</v>
      </c>
      <c r="C434" s="57">
        <v>92768</v>
      </c>
      <c r="D434" s="52" t="s">
        <v>118</v>
      </c>
      <c r="E434" s="64" t="s">
        <v>62</v>
      </c>
      <c r="F434" s="105"/>
      <c r="G434" s="99"/>
      <c r="H434" s="64"/>
      <c r="I434" s="105"/>
      <c r="J434" s="99">
        <f>'BOLETIM DE MEDIÇÃO 12'!T48-'MEMORIAL DE CALCULO 10'!K434</f>
        <v>177.17999999999998</v>
      </c>
      <c r="K434" s="81">
        <f>K435</f>
        <v>28.2</v>
      </c>
      <c r="L434" s="82">
        <f t="shared" si="0"/>
        <v>205.37999999999997</v>
      </c>
      <c r="M434" s="82">
        <f>'BOLETIM DE MEDIÇÃO 05'!G48</f>
        <v>158.69999999999999</v>
      </c>
      <c r="N434" s="86">
        <f t="shared" si="1"/>
        <v>-46.679999999999978</v>
      </c>
    </row>
    <row r="435" spans="2:15" s="167" customFormat="1" x14ac:dyDescent="0.25">
      <c r="B435" s="49"/>
      <c r="C435" s="57"/>
      <c r="D435" s="411" t="s">
        <v>969</v>
      </c>
      <c r="E435" s="64"/>
      <c r="F435" s="105">
        <v>1</v>
      </c>
      <c r="G435" s="506">
        <v>28.2</v>
      </c>
      <c r="H435" s="507"/>
      <c r="I435" s="508"/>
      <c r="J435" s="99"/>
      <c r="K435" s="82">
        <f>F435*G435</f>
        <v>28.2</v>
      </c>
      <c r="L435" s="82"/>
      <c r="M435" s="82"/>
      <c r="N435" s="86"/>
    </row>
    <row r="436" spans="2:15" s="167" customFormat="1" ht="33.75" x14ac:dyDescent="0.25">
      <c r="B436" s="49" t="s">
        <v>119</v>
      </c>
      <c r="C436" s="57">
        <v>92769</v>
      </c>
      <c r="D436" s="52" t="s">
        <v>121</v>
      </c>
      <c r="E436" s="64" t="s">
        <v>62</v>
      </c>
      <c r="F436" s="105"/>
      <c r="G436" s="99"/>
      <c r="H436" s="64"/>
      <c r="I436" s="105"/>
      <c r="J436" s="99">
        <f>'BOLETIM DE MEDIÇÃO 12'!T49-'MEMORIAL DE CALCULO 10'!K436</f>
        <v>165.83199999999999</v>
      </c>
      <c r="K436" s="81">
        <f>K437</f>
        <v>12.9002</v>
      </c>
      <c r="L436" s="82">
        <f t="shared" si="0"/>
        <v>178.73220000000001</v>
      </c>
      <c r="M436" s="82">
        <f>'BOLETIM DE MEDIÇÃO 05'!G49</f>
        <v>170.5</v>
      </c>
      <c r="N436" s="86">
        <f t="shared" si="1"/>
        <v>-8.232200000000006</v>
      </c>
    </row>
    <row r="437" spans="2:15" s="167" customFormat="1" x14ac:dyDescent="0.25">
      <c r="B437" s="49"/>
      <c r="C437" s="57"/>
      <c r="D437" s="411" t="s">
        <v>969</v>
      </c>
      <c r="E437" s="64"/>
      <c r="F437" s="105">
        <v>1</v>
      </c>
      <c r="G437" s="506">
        <v>12.9002</v>
      </c>
      <c r="H437" s="507"/>
      <c r="I437" s="508"/>
      <c r="J437" s="99"/>
      <c r="K437" s="82">
        <f>F437*G437</f>
        <v>12.9002</v>
      </c>
      <c r="L437" s="82"/>
      <c r="M437" s="82"/>
      <c r="N437" s="86"/>
    </row>
    <row r="438" spans="2:15" s="167" customFormat="1" ht="33.75" x14ac:dyDescent="0.25">
      <c r="B438" s="49" t="s">
        <v>122</v>
      </c>
      <c r="C438" s="57">
        <v>92770</v>
      </c>
      <c r="D438" s="52" t="s">
        <v>124</v>
      </c>
      <c r="E438" s="64" t="s">
        <v>62</v>
      </c>
      <c r="F438" s="105"/>
      <c r="G438" s="99"/>
      <c r="H438" s="64"/>
      <c r="I438" s="105"/>
      <c r="J438" s="99">
        <f>'BOLETIM DE MEDIÇÃO 12'!T50-'MEMORIAL DE CALCULO 10'!K438</f>
        <v>259</v>
      </c>
      <c r="K438" s="81">
        <f>K439</f>
        <v>20.100899999999999</v>
      </c>
      <c r="L438" s="82">
        <f t="shared" si="0"/>
        <v>279.10090000000002</v>
      </c>
      <c r="M438" s="82">
        <f>'BOLETIM DE MEDIÇÃO 05'!G50</f>
        <v>279.10000000000002</v>
      </c>
      <c r="N438" s="86">
        <f t="shared" si="1"/>
        <v>-9.0000000000145519E-4</v>
      </c>
    </row>
    <row r="439" spans="2:15" s="167" customFormat="1" ht="18" customHeight="1" x14ac:dyDescent="0.25">
      <c r="B439" s="49"/>
      <c r="C439" s="57"/>
      <c r="D439" s="411" t="s">
        <v>969</v>
      </c>
      <c r="E439" s="64"/>
      <c r="F439" s="105">
        <v>1</v>
      </c>
      <c r="G439" s="506">
        <v>20.100899999999999</v>
      </c>
      <c r="H439" s="507"/>
      <c r="I439" s="508"/>
      <c r="J439" s="99"/>
      <c r="K439" s="82">
        <f>F439*G439</f>
        <v>20.100899999999999</v>
      </c>
      <c r="L439" s="82"/>
      <c r="M439" s="82"/>
      <c r="N439" s="86"/>
    </row>
    <row r="440" spans="2:15" s="167" customFormat="1" ht="33.75" x14ac:dyDescent="0.25">
      <c r="B440" s="49" t="s">
        <v>125</v>
      </c>
      <c r="C440" s="57">
        <v>94966</v>
      </c>
      <c r="D440" s="52" t="s">
        <v>65</v>
      </c>
      <c r="E440" s="64" t="s">
        <v>41</v>
      </c>
      <c r="F440" s="105"/>
      <c r="G440" s="99"/>
      <c r="H440" s="64"/>
      <c r="I440" s="105"/>
      <c r="J440" s="99">
        <f>'BOLETIM DE MEDIÇÃO 12'!T51-'MEMORIAL DE CALCULO 10'!K440</f>
        <v>71.628424999999979</v>
      </c>
      <c r="K440" s="81">
        <f>SUM(K441:K441)</f>
        <v>10.02003</v>
      </c>
      <c r="L440" s="82">
        <f t="shared" si="0"/>
        <v>81.648454999999984</v>
      </c>
      <c r="M440" s="82">
        <f>'BOLETIM DE MEDIÇÃO 05'!G51</f>
        <v>61.56</v>
      </c>
      <c r="N440" s="86">
        <f t="shared" si="1"/>
        <v>-20.088454999999982</v>
      </c>
    </row>
    <row r="441" spans="2:15" ht="19.149999999999999" customHeight="1" x14ac:dyDescent="0.25">
      <c r="B441" s="247"/>
      <c r="C441" s="248"/>
      <c r="D441" s="344" t="s">
        <v>1013</v>
      </c>
      <c r="E441" s="242"/>
      <c r="F441" s="246">
        <v>1</v>
      </c>
      <c r="G441" s="586">
        <v>10.02003</v>
      </c>
      <c r="H441" s="586"/>
      <c r="I441" s="587"/>
      <c r="J441" s="249"/>
      <c r="K441" s="251">
        <f t="shared" ref="K441" si="16">F441*G441</f>
        <v>10.02003</v>
      </c>
      <c r="L441" s="251"/>
      <c r="M441" s="251"/>
      <c r="N441" s="252"/>
    </row>
    <row r="442" spans="2:15" ht="33.75" x14ac:dyDescent="0.25">
      <c r="B442" s="247" t="s">
        <v>126</v>
      </c>
      <c r="C442" s="248">
        <v>103670</v>
      </c>
      <c r="D442" s="402" t="s">
        <v>71</v>
      </c>
      <c r="E442" s="242" t="s">
        <v>41</v>
      </c>
      <c r="F442" s="246"/>
      <c r="G442" s="249"/>
      <c r="H442" s="403"/>
      <c r="I442" s="246"/>
      <c r="J442" s="249">
        <f>'BOLETIM DE MEDIÇÃO 05'!O52-'MEMORIAL DE CALCULO 10'!K442</f>
        <v>9.4099000099999994</v>
      </c>
      <c r="K442" s="250">
        <f>G443</f>
        <v>10.02009999</v>
      </c>
      <c r="L442" s="251">
        <f t="shared" si="0"/>
        <v>19.43</v>
      </c>
      <c r="M442" s="251">
        <f>'BOLETIM DE MEDIÇÃO 05'!G52</f>
        <v>61.56</v>
      </c>
      <c r="N442" s="252">
        <f t="shared" si="1"/>
        <v>42.13</v>
      </c>
    </row>
    <row r="443" spans="2:15" x14ac:dyDescent="0.25">
      <c r="B443" s="247"/>
      <c r="C443" s="404"/>
      <c r="D443" s="415" t="s">
        <v>932</v>
      </c>
      <c r="E443" s="242"/>
      <c r="F443" s="243">
        <v>1</v>
      </c>
      <c r="G443" s="586">
        <v>10.02009999</v>
      </c>
      <c r="H443" s="586"/>
      <c r="I443" s="587"/>
      <c r="J443" s="249"/>
      <c r="K443" s="251">
        <f>F443*G443</f>
        <v>10.02009999</v>
      </c>
      <c r="L443" s="251"/>
      <c r="M443" s="251"/>
      <c r="N443" s="252"/>
    </row>
    <row r="444" spans="2:15" ht="33.75" x14ac:dyDescent="0.25">
      <c r="B444" s="247" t="s">
        <v>127</v>
      </c>
      <c r="C444" s="248">
        <v>92771</v>
      </c>
      <c r="D444" s="402" t="s">
        <v>129</v>
      </c>
      <c r="E444" s="242" t="s">
        <v>62</v>
      </c>
      <c r="F444" s="243"/>
      <c r="G444" s="244"/>
      <c r="H444" s="403"/>
      <c r="I444" s="246"/>
      <c r="J444" s="249">
        <f>'BOLETIM DE MEDIÇÃO 12'!T53-'MEMORIAL DE CALCULO 10'!K444</f>
        <v>312.29999999999995</v>
      </c>
      <c r="K444" s="250">
        <f>K445</f>
        <v>94.6</v>
      </c>
      <c r="L444" s="251">
        <f t="shared" si="0"/>
        <v>406.9</v>
      </c>
      <c r="M444" s="251">
        <f>'BOLETIM DE MEDIÇÃO 05'!G53</f>
        <v>312.3</v>
      </c>
      <c r="N444" s="252">
        <f t="shared" si="1"/>
        <v>-94.599999999999966</v>
      </c>
    </row>
    <row r="445" spans="2:15" ht="18" customHeight="1" x14ac:dyDescent="0.25">
      <c r="B445" s="247"/>
      <c r="C445" s="248"/>
      <c r="D445" s="412" t="s">
        <v>969</v>
      </c>
      <c r="E445" s="242"/>
      <c r="F445" s="246">
        <v>1</v>
      </c>
      <c r="G445" s="520">
        <v>94.6</v>
      </c>
      <c r="H445" s="584"/>
      <c r="I445" s="585"/>
      <c r="J445" s="249"/>
      <c r="K445" s="251">
        <f>G445</f>
        <v>94.6</v>
      </c>
      <c r="L445" s="251"/>
      <c r="M445" s="251"/>
      <c r="N445" s="252"/>
    </row>
    <row r="446" spans="2:15" ht="33.75" hidden="1" x14ac:dyDescent="0.25">
      <c r="B446" s="363" t="s">
        <v>130</v>
      </c>
      <c r="C446" s="364">
        <v>92772</v>
      </c>
      <c r="D446" s="401" t="s">
        <v>132</v>
      </c>
      <c r="E446" s="366" t="s">
        <v>62</v>
      </c>
      <c r="F446" s="367"/>
      <c r="G446" s="397"/>
      <c r="H446" s="366"/>
      <c r="I446" s="372"/>
      <c r="J446" s="368">
        <f>'BOLETIM DE MEDIÇÃO 12'!T54-'MEMORIAL DE CALCULO 10'!K446</f>
        <v>154.80000000000001</v>
      </c>
      <c r="K446" s="369"/>
      <c r="L446" s="369">
        <f t="shared" si="0"/>
        <v>154.80000000000001</v>
      </c>
      <c r="M446" s="369">
        <f>'BOLETIM DE MEDIÇÃO 05'!G54</f>
        <v>154.80000000000001</v>
      </c>
      <c r="N446" s="370">
        <f t="shared" si="1"/>
        <v>0</v>
      </c>
      <c r="O446" s="371"/>
    </row>
    <row r="447" spans="2:15" ht="18" hidden="1" customHeight="1" x14ac:dyDescent="0.25">
      <c r="B447" s="363"/>
      <c r="C447" s="364"/>
      <c r="D447" s="365" t="s">
        <v>958</v>
      </c>
      <c r="E447" s="366"/>
      <c r="F447" s="372">
        <v>1</v>
      </c>
      <c r="G447" s="554">
        <v>154.80000000000001</v>
      </c>
      <c r="H447" s="555"/>
      <c r="I447" s="556"/>
      <c r="J447" s="368"/>
      <c r="K447" s="369"/>
      <c r="L447" s="369"/>
      <c r="M447" s="369"/>
      <c r="N447" s="370"/>
      <c r="O447" s="371"/>
    </row>
    <row r="448" spans="2:15" ht="18" hidden="1" customHeight="1" x14ac:dyDescent="0.25">
      <c r="B448" s="363"/>
      <c r="C448" s="364"/>
      <c r="D448" s="365"/>
      <c r="E448" s="366"/>
      <c r="F448" s="372"/>
      <c r="G448" s="388"/>
      <c r="H448" s="388"/>
      <c r="I448" s="389"/>
      <c r="J448" s="368"/>
      <c r="K448" s="369"/>
      <c r="L448" s="369"/>
      <c r="M448" s="369"/>
      <c r="N448" s="370"/>
      <c r="O448" s="371"/>
    </row>
    <row r="449" spans="2:14" ht="18" customHeight="1" x14ac:dyDescent="0.25">
      <c r="B449" s="212">
        <v>1.5</v>
      </c>
      <c r="C449" s="213" t="s">
        <v>134</v>
      </c>
      <c r="D449" s="205"/>
      <c r="E449" s="206"/>
      <c r="F449" s="123"/>
      <c r="G449" s="374"/>
      <c r="H449" s="374"/>
      <c r="I449" s="318"/>
      <c r="J449" s="99"/>
      <c r="K449" s="82"/>
      <c r="L449" s="82"/>
      <c r="M449" s="82"/>
      <c r="N449" s="86"/>
    </row>
    <row r="450" spans="2:14" ht="46.15" customHeight="1" x14ac:dyDescent="0.25">
      <c r="B450" s="384" t="s">
        <v>135</v>
      </c>
      <c r="C450" s="385">
        <v>103356</v>
      </c>
      <c r="D450" s="386" t="s">
        <v>137</v>
      </c>
      <c r="E450" s="387" t="s">
        <v>17</v>
      </c>
      <c r="F450" s="395"/>
      <c r="G450" s="374"/>
      <c r="H450" s="374"/>
      <c r="I450" s="318"/>
      <c r="J450" s="99">
        <f>'BOLETIM DE MEDIÇÃO 12'!T56-'MEMORIAL DE CALCULO 10'!K450</f>
        <v>1196.3104999999998</v>
      </c>
      <c r="K450" s="81">
        <f>K451</f>
        <v>46.31</v>
      </c>
      <c r="L450" s="82">
        <f>J450+K450</f>
        <v>1242.6204999999998</v>
      </c>
      <c r="M450" s="82">
        <f>'BOLETIM DE MEDIÇÃO 12'!G56</f>
        <v>1242.6199999999999</v>
      </c>
      <c r="N450" s="86">
        <f>M450-L450</f>
        <v>-4.9999999987448973E-4</v>
      </c>
    </row>
    <row r="451" spans="2:14" ht="22.9" customHeight="1" x14ac:dyDescent="0.25">
      <c r="B451" s="49"/>
      <c r="C451" s="57"/>
      <c r="D451" s="144" t="s">
        <v>1015</v>
      </c>
      <c r="E451" s="64"/>
      <c r="F451" s="105">
        <v>1</v>
      </c>
      <c r="G451" s="506">
        <v>46.31</v>
      </c>
      <c r="H451" s="507"/>
      <c r="I451" s="508"/>
      <c r="J451" s="99"/>
      <c r="K451" s="82">
        <f>G451</f>
        <v>46.31</v>
      </c>
      <c r="L451" s="82"/>
      <c r="M451" s="82"/>
      <c r="N451" s="86"/>
    </row>
    <row r="452" spans="2:14" ht="14.45" customHeight="1" x14ac:dyDescent="0.25">
      <c r="B452" s="56">
        <v>1.6</v>
      </c>
      <c r="C452" s="60" t="s">
        <v>148</v>
      </c>
      <c r="D452" s="52"/>
      <c r="E452" s="64"/>
      <c r="F452" s="105"/>
      <c r="G452" s="99"/>
      <c r="H452" s="64"/>
      <c r="I452" s="105"/>
      <c r="J452" s="99">
        <f>'BOLETIM DE MEDIÇÃO 12'!T74-'MEMORIAL DE CALCULO 10'!K452</f>
        <v>0</v>
      </c>
      <c r="K452" s="82"/>
      <c r="L452" s="82"/>
      <c r="M452" s="82"/>
      <c r="N452" s="86"/>
    </row>
    <row r="453" spans="2:14" ht="56.25" x14ac:dyDescent="0.25">
      <c r="B453" s="49" t="s">
        <v>152</v>
      </c>
      <c r="C453" s="57">
        <v>87548</v>
      </c>
      <c r="D453" s="52" t="s">
        <v>154</v>
      </c>
      <c r="E453" s="64" t="s">
        <v>17</v>
      </c>
      <c r="F453" s="105"/>
      <c r="G453" s="99"/>
      <c r="H453" s="64"/>
      <c r="I453" s="105"/>
      <c r="J453" s="99">
        <f>'BOLETIM DE MEDIÇÃO 12'!T75-'MEMORIAL DE CALCULO 10'!K453</f>
        <v>-55.980000000000018</v>
      </c>
      <c r="K453" s="81">
        <f>K454</f>
        <v>697.98</v>
      </c>
      <c r="L453" s="82">
        <f t="shared" si="0"/>
        <v>642</v>
      </c>
      <c r="M453" s="82">
        <f>'BOLETIM DE MEDIÇÃO 05'!G62</f>
        <v>997.11</v>
      </c>
      <c r="N453" s="86">
        <f t="shared" si="1"/>
        <v>355.11</v>
      </c>
    </row>
    <row r="454" spans="2:14" x14ac:dyDescent="0.25">
      <c r="B454" s="49"/>
      <c r="C454" s="57"/>
      <c r="D454" s="344" t="s">
        <v>972</v>
      </c>
      <c r="E454" s="64"/>
      <c r="F454" s="105">
        <v>1</v>
      </c>
      <c r="G454" s="506">
        <v>697.98</v>
      </c>
      <c r="H454" s="507"/>
      <c r="I454" s="508"/>
      <c r="J454" s="99">
        <f>'BOLETIM DE MEDIÇÃO 12'!T76-'MEMORIAL DE CALCULO 10'!K454</f>
        <v>-697.98</v>
      </c>
      <c r="K454" s="82">
        <f>F454*G454</f>
        <v>697.98</v>
      </c>
      <c r="L454" s="82"/>
      <c r="M454" s="82"/>
      <c r="N454" s="86"/>
    </row>
    <row r="455" spans="2:14" x14ac:dyDescent="0.25">
      <c r="B455" s="49"/>
      <c r="C455" s="57"/>
      <c r="D455" s="344"/>
      <c r="E455" s="64"/>
      <c r="F455" s="105"/>
      <c r="G455" s="374"/>
      <c r="H455" s="374"/>
      <c r="I455" s="318"/>
      <c r="J455" s="99">
        <f>'BOLETIM DE MEDIÇÃO 12'!T77-'MEMORIAL DE CALCULO 10'!K455</f>
        <v>0</v>
      </c>
      <c r="K455" s="82"/>
      <c r="L455" s="82"/>
      <c r="M455" s="82"/>
      <c r="N455" s="86"/>
    </row>
    <row r="456" spans="2:14" ht="56.25" x14ac:dyDescent="0.25">
      <c r="B456" s="49" t="s">
        <v>155</v>
      </c>
      <c r="C456" s="57">
        <v>87536</v>
      </c>
      <c r="D456" s="52" t="s">
        <v>157</v>
      </c>
      <c r="E456" s="64" t="s">
        <v>17</v>
      </c>
      <c r="F456" s="105"/>
      <c r="G456" s="374"/>
      <c r="H456" s="374"/>
      <c r="I456" s="318"/>
      <c r="J456" s="99">
        <f>'BOLETIM DE MEDIÇÃO 12'!T78-'MEMORIAL DE CALCULO 10'!K456</f>
        <v>-351.87</v>
      </c>
      <c r="K456" s="81">
        <f>K457</f>
        <v>351.87</v>
      </c>
      <c r="L456" s="82">
        <f>J456+K456</f>
        <v>0</v>
      </c>
      <c r="M456" s="82">
        <f>'BOLETIM DE MEDIÇÃO 12'!G63</f>
        <v>351.87</v>
      </c>
      <c r="N456" s="86">
        <f>M456-L456</f>
        <v>351.87</v>
      </c>
    </row>
    <row r="457" spans="2:14" x14ac:dyDescent="0.25">
      <c r="B457" s="49"/>
      <c r="C457" s="57"/>
      <c r="D457" s="344" t="s">
        <v>972</v>
      </c>
      <c r="E457" s="64"/>
      <c r="F457" s="105">
        <v>1</v>
      </c>
      <c r="G457" s="506">
        <v>351.87</v>
      </c>
      <c r="H457" s="507"/>
      <c r="I457" s="508"/>
      <c r="J457" s="99">
        <f>'BOLETIM DE MEDIÇÃO 12'!T79-'MEMORIAL DE CALCULO 10'!K457</f>
        <v>-351.87</v>
      </c>
      <c r="K457" s="82">
        <f>F457*G457</f>
        <v>351.87</v>
      </c>
      <c r="L457" s="82"/>
      <c r="M457" s="82"/>
      <c r="N457" s="86"/>
    </row>
    <row r="458" spans="2:14" x14ac:dyDescent="0.25">
      <c r="B458" s="49"/>
      <c r="C458" s="57"/>
      <c r="D458" s="344"/>
      <c r="E458" s="64"/>
      <c r="F458" s="105"/>
      <c r="G458" s="374"/>
      <c r="H458" s="374"/>
      <c r="I458" s="318"/>
      <c r="J458" s="99">
        <f>'BOLETIM DE MEDIÇÃO 12'!T80-'MEMORIAL DE CALCULO 10'!K458</f>
        <v>0</v>
      </c>
      <c r="K458" s="82"/>
      <c r="L458" s="82"/>
      <c r="M458" s="82"/>
      <c r="N458" s="86"/>
    </row>
    <row r="459" spans="2:14" x14ac:dyDescent="0.25">
      <c r="B459" s="347" t="s">
        <v>208</v>
      </c>
      <c r="C459" s="348" t="s">
        <v>209</v>
      </c>
      <c r="D459" s="344"/>
      <c r="E459" s="64"/>
      <c r="F459" s="105"/>
      <c r="G459" s="374"/>
      <c r="H459" s="374"/>
      <c r="I459" s="318"/>
      <c r="J459" s="99"/>
      <c r="K459" s="82"/>
      <c r="L459" s="82"/>
      <c r="M459" s="82"/>
      <c r="N459" s="86"/>
    </row>
    <row r="460" spans="2:14" ht="45" x14ac:dyDescent="0.25">
      <c r="B460" s="203" t="s">
        <v>210</v>
      </c>
      <c r="C460" s="211">
        <v>87894</v>
      </c>
      <c r="D460" s="205" t="s">
        <v>212</v>
      </c>
      <c r="E460" s="64"/>
      <c r="F460" s="105"/>
      <c r="G460" s="374"/>
      <c r="H460" s="374"/>
      <c r="I460" s="318"/>
      <c r="J460" s="99">
        <f>'BOLETIM DE MEDIÇÃO 12'!T82-'MEMORIAL DE CALCULO 10'!K460</f>
        <v>420.44</v>
      </c>
      <c r="K460" s="81">
        <f>K461</f>
        <v>45.930999999999997</v>
      </c>
      <c r="L460" s="82">
        <f>J460+K460</f>
        <v>466.37099999999998</v>
      </c>
      <c r="M460" s="82">
        <f>'BOLETIM DE MEDIÇÃO 12'!G83</f>
        <v>466.37</v>
      </c>
      <c r="N460" s="86">
        <f>M460-L460</f>
        <v>-9.9999999997635314E-4</v>
      </c>
    </row>
    <row r="461" spans="2:14" x14ac:dyDescent="0.25">
      <c r="B461" s="49"/>
      <c r="C461" s="57"/>
      <c r="D461" s="344" t="s">
        <v>1013</v>
      </c>
      <c r="E461" s="64"/>
      <c r="F461" s="105">
        <v>1</v>
      </c>
      <c r="G461" s="506">
        <v>45.930999999999997</v>
      </c>
      <c r="H461" s="507"/>
      <c r="I461" s="508"/>
      <c r="J461" s="99"/>
      <c r="K461" s="82">
        <f>F461*G461</f>
        <v>45.930999999999997</v>
      </c>
      <c r="L461" s="82"/>
      <c r="M461" s="82"/>
      <c r="N461" s="86"/>
    </row>
    <row r="462" spans="2:14" ht="56.25" x14ac:dyDescent="0.25">
      <c r="B462" s="247" t="s">
        <v>213</v>
      </c>
      <c r="C462" s="385">
        <v>104233</v>
      </c>
      <c r="D462" s="386" t="s">
        <v>215</v>
      </c>
      <c r="E462" s="277" t="s">
        <v>17</v>
      </c>
      <c r="F462" s="105"/>
      <c r="G462" s="416"/>
      <c r="H462" s="390"/>
      <c r="I462" s="417"/>
      <c r="J462" s="99">
        <f>'BOLETIM DE MEDIÇÃO 12'!T83-'MEMORIAL DE CALCULO 10'!K462</f>
        <v>278.39999999999998</v>
      </c>
      <c r="K462" s="81">
        <f>SUM(K463:K467)</f>
        <v>187.97049999999999</v>
      </c>
      <c r="L462" s="82">
        <f t="shared" ref="L462" si="17">J462+K462</f>
        <v>466.37049999999999</v>
      </c>
      <c r="M462" s="82">
        <f>'BOLETIM DE MEDIÇÃO 12'!G83</f>
        <v>466.37</v>
      </c>
      <c r="N462" s="86">
        <f t="shared" ref="N462" si="18">M462-L462</f>
        <v>-4.9999999998817657E-4</v>
      </c>
    </row>
    <row r="463" spans="2:14" x14ac:dyDescent="0.25">
      <c r="B463" s="49"/>
      <c r="C463" s="57"/>
      <c r="D463" s="344" t="s">
        <v>1013</v>
      </c>
      <c r="E463" s="64"/>
      <c r="F463" s="105">
        <v>1</v>
      </c>
      <c r="G463" s="506">
        <v>187.97049999999999</v>
      </c>
      <c r="H463" s="507"/>
      <c r="I463" s="508"/>
      <c r="J463" s="99"/>
      <c r="K463" s="82">
        <f>G463</f>
        <v>187.97049999999999</v>
      </c>
      <c r="L463" s="82"/>
      <c r="M463" s="82"/>
      <c r="N463" s="86"/>
    </row>
    <row r="464" spans="2:14" hidden="1" x14ac:dyDescent="0.25">
      <c r="B464" s="49"/>
      <c r="C464" s="57"/>
      <c r="D464" s="319" t="s">
        <v>996</v>
      </c>
      <c r="E464" s="64"/>
      <c r="F464" s="105"/>
      <c r="G464" s="374">
        <v>2.6</v>
      </c>
      <c r="H464" s="374"/>
      <c r="I464" s="105">
        <v>2.1</v>
      </c>
      <c r="J464" s="99"/>
      <c r="K464" s="82">
        <f t="shared" ref="K464:K467" si="19">F464*G464*I464</f>
        <v>0</v>
      </c>
      <c r="L464" s="82"/>
      <c r="M464" s="82"/>
      <c r="N464" s="86"/>
    </row>
    <row r="465" spans="2:14" hidden="1" x14ac:dyDescent="0.25">
      <c r="B465" s="49"/>
      <c r="C465" s="57"/>
      <c r="D465" s="319" t="s">
        <v>997</v>
      </c>
      <c r="E465" s="64"/>
      <c r="F465" s="105"/>
      <c r="G465" s="374">
        <v>0.8</v>
      </c>
      <c r="H465" s="374"/>
      <c r="I465" s="105">
        <v>2.1</v>
      </c>
      <c r="J465" s="99"/>
      <c r="K465" s="82">
        <f t="shared" si="19"/>
        <v>0</v>
      </c>
      <c r="L465" s="82"/>
      <c r="M465" s="82"/>
      <c r="N465" s="86"/>
    </row>
    <row r="466" spans="2:14" hidden="1" x14ac:dyDescent="0.25">
      <c r="B466" s="49"/>
      <c r="C466" s="57"/>
      <c r="D466" s="319" t="s">
        <v>998</v>
      </c>
      <c r="E466" s="64"/>
      <c r="F466" s="105"/>
      <c r="G466" s="374">
        <v>1.5</v>
      </c>
      <c r="H466" s="374"/>
      <c r="I466" s="105">
        <v>1</v>
      </c>
      <c r="J466" s="99"/>
      <c r="K466" s="82">
        <f t="shared" si="19"/>
        <v>0</v>
      </c>
      <c r="L466" s="82"/>
      <c r="M466" s="82"/>
      <c r="N466" s="86"/>
    </row>
    <row r="467" spans="2:14" hidden="1" x14ac:dyDescent="0.25">
      <c r="B467" s="49"/>
      <c r="C467" s="57"/>
      <c r="D467" s="319" t="s">
        <v>999</v>
      </c>
      <c r="E467" s="64"/>
      <c r="F467" s="105"/>
      <c r="G467" s="374">
        <v>1</v>
      </c>
      <c r="H467" s="374"/>
      <c r="I467" s="105">
        <v>0.5</v>
      </c>
      <c r="J467" s="99"/>
      <c r="K467" s="82">
        <f t="shared" si="19"/>
        <v>0</v>
      </c>
      <c r="L467" s="82"/>
      <c r="M467" s="82"/>
      <c r="N467" s="86"/>
    </row>
    <row r="468" spans="2:14" ht="14.45" hidden="1" customHeight="1" x14ac:dyDescent="0.25">
      <c r="B468" s="65">
        <v>1.1000000000000001</v>
      </c>
      <c r="C468" s="65" t="s">
        <v>229</v>
      </c>
      <c r="D468" s="344"/>
      <c r="E468" s="44"/>
      <c r="F468" s="130"/>
      <c r="G468" s="121"/>
      <c r="H468" s="70"/>
      <c r="I468" s="105"/>
      <c r="J468" s="99"/>
      <c r="K468" s="82">
        <f t="shared" ref="K468" si="20">(F468*G468*I468)</f>
        <v>0</v>
      </c>
      <c r="L468" s="82"/>
      <c r="M468" s="82"/>
      <c r="N468" s="86"/>
    </row>
    <row r="469" spans="2:14" ht="33.75" hidden="1" x14ac:dyDescent="0.25">
      <c r="B469" s="384" t="s">
        <v>284</v>
      </c>
      <c r="C469" s="385">
        <v>91834</v>
      </c>
      <c r="D469" s="391" t="s">
        <v>286</v>
      </c>
      <c r="E469" s="245" t="s">
        <v>37</v>
      </c>
      <c r="F469" s="312">
        <v>1</v>
      </c>
      <c r="G469" s="468">
        <v>200</v>
      </c>
      <c r="H469" s="469"/>
      <c r="I469" s="470"/>
      <c r="J469" s="99">
        <f>'BOLETIM DE MEDIÇÃO 12'!T108-'MEMORIAL DE CALCULO 10'!K469</f>
        <v>150</v>
      </c>
      <c r="K469" s="81">
        <f>G469</f>
        <v>200</v>
      </c>
      <c r="L469" s="82">
        <f>J469+K469</f>
        <v>350</v>
      </c>
      <c r="M469" s="82">
        <f>'BOLETIM DE MEDIÇÃO 12'!G108</f>
        <v>830.48</v>
      </c>
      <c r="N469" s="86">
        <f>M469-L469</f>
        <v>480.48</v>
      </c>
    </row>
    <row r="470" spans="2:14" hidden="1" x14ac:dyDescent="0.25">
      <c r="B470" s="384"/>
      <c r="C470" s="385"/>
      <c r="D470" s="393" t="s">
        <v>1001</v>
      </c>
      <c r="E470" s="245"/>
      <c r="F470" s="312"/>
      <c r="G470" s="383"/>
      <c r="H470" s="392"/>
      <c r="I470" s="318"/>
      <c r="J470" s="99"/>
      <c r="K470" s="81"/>
      <c r="L470" s="82"/>
      <c r="M470" s="82"/>
      <c r="N470" s="86"/>
    </row>
    <row r="471" spans="2:14" ht="33.75" hidden="1" x14ac:dyDescent="0.25">
      <c r="B471" s="384" t="s">
        <v>287</v>
      </c>
      <c r="C471" s="385">
        <v>91868</v>
      </c>
      <c r="D471" s="386" t="s">
        <v>289</v>
      </c>
      <c r="E471" s="245" t="s">
        <v>37</v>
      </c>
      <c r="F471" s="312">
        <v>1</v>
      </c>
      <c r="G471" s="468">
        <v>55.97</v>
      </c>
      <c r="H471" s="469"/>
      <c r="I471" s="470"/>
      <c r="J471" s="99">
        <f>'BOLETIM DE MEDIÇÃO 12'!T109-'MEMORIAL DE CALCULO 10'!K471</f>
        <v>0</v>
      </c>
      <c r="K471" s="81">
        <f>F471*G471</f>
        <v>55.97</v>
      </c>
      <c r="L471" s="82">
        <f t="shared" ref="L471" si="21">J471+K471</f>
        <v>55.97</v>
      </c>
      <c r="M471" s="82">
        <f>'BOLETIM DE MEDIÇÃO 12'!G109</f>
        <v>55.97</v>
      </c>
      <c r="N471" s="86">
        <f t="shared" ref="N471:N473" si="22">M471-L471</f>
        <v>0</v>
      </c>
    </row>
    <row r="472" spans="2:14" hidden="1" x14ac:dyDescent="0.25">
      <c r="B472" s="384"/>
      <c r="C472" s="385"/>
      <c r="D472" s="393" t="s">
        <v>1001</v>
      </c>
      <c r="E472" s="245"/>
      <c r="F472" s="312"/>
      <c r="G472" s="383"/>
      <c r="H472" s="383"/>
      <c r="I472" s="316"/>
      <c r="J472" s="99"/>
      <c r="K472" s="81"/>
      <c r="L472" s="82"/>
      <c r="M472" s="82"/>
      <c r="N472" s="86"/>
    </row>
    <row r="473" spans="2:14" ht="33.75" hidden="1" x14ac:dyDescent="0.25">
      <c r="B473" s="384" t="s">
        <v>290</v>
      </c>
      <c r="C473" s="385">
        <v>91867</v>
      </c>
      <c r="D473" s="386" t="s">
        <v>292</v>
      </c>
      <c r="E473" s="245" t="s">
        <v>37</v>
      </c>
      <c r="F473" s="312">
        <v>1</v>
      </c>
      <c r="G473" s="468">
        <v>36.19</v>
      </c>
      <c r="H473" s="469"/>
      <c r="I473" s="470"/>
      <c r="J473" s="99">
        <f>'BOLETIM DE MEDIÇÃO 12'!T110-'MEMORIAL DE CALCULO 10'!K473</f>
        <v>0</v>
      </c>
      <c r="K473" s="81">
        <f>G473</f>
        <v>36.19</v>
      </c>
      <c r="L473" s="82">
        <f>J473+K473</f>
        <v>36.19</v>
      </c>
      <c r="M473" s="82">
        <f>'BOLETIM DE MEDIÇÃO 12'!G110</f>
        <v>36.19</v>
      </c>
      <c r="N473" s="86">
        <f t="shared" si="22"/>
        <v>0</v>
      </c>
    </row>
    <row r="474" spans="2:14" hidden="1" x14ac:dyDescent="0.25">
      <c r="B474" s="384"/>
      <c r="C474" s="385"/>
      <c r="D474" s="393" t="s">
        <v>1001</v>
      </c>
      <c r="E474" s="245"/>
      <c r="F474" s="312"/>
      <c r="G474" s="121"/>
      <c r="H474" s="70"/>
      <c r="I474" s="105"/>
      <c r="J474" s="99"/>
      <c r="K474" s="82"/>
      <c r="L474" s="82"/>
      <c r="M474" s="82"/>
      <c r="N474" s="86"/>
    </row>
    <row r="475" spans="2:14" hidden="1" x14ac:dyDescent="0.25">
      <c r="B475" s="347" t="s">
        <v>312</v>
      </c>
      <c r="C475" s="349" t="s">
        <v>313</v>
      </c>
      <c r="D475" s="53"/>
      <c r="E475" s="69"/>
      <c r="F475" s="312"/>
      <c r="G475" s="121"/>
      <c r="H475" s="70"/>
      <c r="I475" s="105"/>
      <c r="J475" s="99"/>
      <c r="K475" s="82"/>
      <c r="L475" s="82"/>
      <c r="M475" s="82"/>
      <c r="N475" s="86"/>
    </row>
    <row r="476" spans="2:14" ht="22.5" hidden="1" x14ac:dyDescent="0.25">
      <c r="B476" s="50" t="s">
        <v>314</v>
      </c>
      <c r="C476" s="66">
        <v>96620</v>
      </c>
      <c r="D476" s="53" t="s">
        <v>316</v>
      </c>
      <c r="E476" s="217" t="s">
        <v>41</v>
      </c>
      <c r="F476" s="312"/>
      <c r="G476" s="121"/>
      <c r="H476" s="70"/>
      <c r="I476" s="105"/>
      <c r="J476" s="99">
        <f>'BOLETIM DE MEDIÇÃO 12'!T119-'MEMORIAL DE CALCULO 10'!K476</f>
        <v>10.199999999999999</v>
      </c>
      <c r="K476" s="81">
        <f>K477</f>
        <v>21.53</v>
      </c>
      <c r="L476" s="82">
        <f>J476+K476</f>
        <v>31.73</v>
      </c>
      <c r="M476" s="82">
        <f>'BOLETIM DE MEDIÇÃO 12'!G119</f>
        <v>35.340000000000003</v>
      </c>
      <c r="N476" s="86">
        <f>M476-L476</f>
        <v>3.610000000000003</v>
      </c>
    </row>
    <row r="477" spans="2:14" hidden="1" x14ac:dyDescent="0.25">
      <c r="B477" s="50"/>
      <c r="C477" s="66"/>
      <c r="D477" s="187" t="s">
        <v>994</v>
      </c>
      <c r="E477" s="69"/>
      <c r="F477" s="312"/>
      <c r="G477" s="468">
        <v>21.53</v>
      </c>
      <c r="H477" s="469"/>
      <c r="I477" s="470"/>
      <c r="J477" s="99"/>
      <c r="K477" s="82">
        <f>G477</f>
        <v>21.53</v>
      </c>
      <c r="L477" s="82"/>
      <c r="M477" s="82"/>
      <c r="N477" s="86"/>
    </row>
    <row r="478" spans="2:14" ht="67.5" hidden="1" x14ac:dyDescent="0.25">
      <c r="B478" s="384" t="s">
        <v>317</v>
      </c>
      <c r="C478" s="385">
        <v>94439</v>
      </c>
      <c r="D478" s="386" t="s">
        <v>319</v>
      </c>
      <c r="E478" s="277" t="s">
        <v>17</v>
      </c>
      <c r="F478" s="312"/>
      <c r="G478" s="121"/>
      <c r="H478" s="70"/>
      <c r="I478" s="105"/>
      <c r="J478" s="99">
        <f>'BOLETIM DE MEDIÇÃO 12'!T120</f>
        <v>597</v>
      </c>
      <c r="K478" s="81">
        <f>SUM(K479:K483)</f>
        <v>116.27</v>
      </c>
      <c r="L478" s="82">
        <f t="shared" ref="L478" si="23">J478+K478</f>
        <v>713.27</v>
      </c>
      <c r="M478" s="82">
        <f>'BOLETIM DE MEDIÇÃO 12'!G121</f>
        <v>634.5</v>
      </c>
      <c r="N478" s="86">
        <f>M478-L478</f>
        <v>-78.769999999999982</v>
      </c>
    </row>
    <row r="479" spans="2:14" hidden="1" x14ac:dyDescent="0.25">
      <c r="B479" s="50"/>
      <c r="C479" s="66"/>
      <c r="D479" s="319" t="s">
        <v>846</v>
      </c>
      <c r="E479" s="69"/>
      <c r="F479" s="312">
        <v>1</v>
      </c>
      <c r="G479" s="468">
        <v>27</v>
      </c>
      <c r="H479" s="469"/>
      <c r="I479" s="470"/>
      <c r="J479" s="99"/>
      <c r="K479" s="82">
        <f>F479*G479</f>
        <v>27</v>
      </c>
      <c r="L479" s="82"/>
      <c r="M479" s="82"/>
      <c r="N479" s="86"/>
    </row>
    <row r="480" spans="2:14" hidden="1" x14ac:dyDescent="0.25">
      <c r="B480" s="50"/>
      <c r="C480" s="66"/>
      <c r="D480" s="319" t="s">
        <v>842</v>
      </c>
      <c r="E480" s="69"/>
      <c r="F480" s="312">
        <v>1</v>
      </c>
      <c r="G480" s="468">
        <v>26</v>
      </c>
      <c r="H480" s="469"/>
      <c r="I480" s="470"/>
      <c r="J480" s="99"/>
      <c r="K480" s="82">
        <f t="shared" ref="K480:K483" si="24">F480*G480</f>
        <v>26</v>
      </c>
      <c r="L480" s="82"/>
      <c r="M480" s="82"/>
      <c r="N480" s="86"/>
    </row>
    <row r="481" spans="2:14" hidden="1" x14ac:dyDescent="0.25">
      <c r="B481" s="50"/>
      <c r="C481" s="66"/>
      <c r="D481" s="319" t="s">
        <v>856</v>
      </c>
      <c r="E481" s="69"/>
      <c r="F481" s="312">
        <v>1</v>
      </c>
      <c r="G481" s="468">
        <v>30</v>
      </c>
      <c r="H481" s="469"/>
      <c r="I481" s="470"/>
      <c r="J481" s="99"/>
      <c r="K481" s="82">
        <f t="shared" si="24"/>
        <v>30</v>
      </c>
      <c r="L481" s="82"/>
      <c r="M481" s="82"/>
      <c r="N481" s="86"/>
    </row>
    <row r="482" spans="2:14" hidden="1" x14ac:dyDescent="0.25">
      <c r="B482" s="50"/>
      <c r="C482" s="66"/>
      <c r="D482" s="319" t="s">
        <v>981</v>
      </c>
      <c r="E482" s="69"/>
      <c r="F482" s="312">
        <v>1</v>
      </c>
      <c r="G482" s="468">
        <v>30</v>
      </c>
      <c r="H482" s="469"/>
      <c r="I482" s="470"/>
      <c r="J482" s="99"/>
      <c r="K482" s="82">
        <f t="shared" si="24"/>
        <v>30</v>
      </c>
      <c r="L482" s="82"/>
      <c r="M482" s="82"/>
      <c r="N482" s="86"/>
    </row>
    <row r="483" spans="2:14" hidden="1" x14ac:dyDescent="0.25">
      <c r="B483" s="50"/>
      <c r="C483" s="66"/>
      <c r="D483" s="319" t="s">
        <v>861</v>
      </c>
      <c r="E483" s="69"/>
      <c r="F483" s="312">
        <v>1</v>
      </c>
      <c r="G483" s="468">
        <v>3.27</v>
      </c>
      <c r="H483" s="469"/>
      <c r="I483" s="470"/>
      <c r="J483" s="99"/>
      <c r="K483" s="82">
        <f t="shared" si="24"/>
        <v>3.27</v>
      </c>
      <c r="L483" s="82"/>
      <c r="M483" s="82"/>
      <c r="N483" s="86"/>
    </row>
    <row r="484" spans="2:14" hidden="1" x14ac:dyDescent="0.25">
      <c r="B484" s="212">
        <v>1.1299999999999999</v>
      </c>
      <c r="C484" s="588" t="s">
        <v>368</v>
      </c>
      <c r="D484" s="589"/>
      <c r="E484" s="69"/>
      <c r="F484" s="312"/>
      <c r="G484" s="121"/>
      <c r="H484" s="70"/>
      <c r="I484" s="105"/>
      <c r="J484" s="99"/>
      <c r="K484" s="82"/>
      <c r="L484" s="82"/>
      <c r="M484" s="82"/>
      <c r="N484" s="86"/>
    </row>
    <row r="485" spans="2:14" ht="56.25" hidden="1" x14ac:dyDescent="0.25">
      <c r="B485" s="203" t="s">
        <v>369</v>
      </c>
      <c r="C485" s="211">
        <v>91785</v>
      </c>
      <c r="D485" s="205" t="s">
        <v>371</v>
      </c>
      <c r="E485" s="217" t="s">
        <v>37</v>
      </c>
      <c r="F485" s="312"/>
      <c r="G485" s="121"/>
      <c r="H485" s="70"/>
      <c r="I485" s="105"/>
      <c r="J485" s="99">
        <f>'BOLETIM DE MEDIÇÃO 12'!T138-'MEMORIAL DE CALCULO 10'!K485</f>
        <v>0</v>
      </c>
      <c r="K485" s="81">
        <f>K486</f>
        <v>98.77</v>
      </c>
      <c r="L485" s="82">
        <f>J485+K485</f>
        <v>98.77</v>
      </c>
      <c r="M485" s="206">
        <v>98.77</v>
      </c>
      <c r="N485" s="86">
        <f t="shared" ref="N485:N542" si="25">M485-L485</f>
        <v>0</v>
      </c>
    </row>
    <row r="486" spans="2:14" hidden="1" x14ac:dyDescent="0.25">
      <c r="B486" s="203"/>
      <c r="C486" s="211"/>
      <c r="D486" s="377" t="s">
        <v>1004</v>
      </c>
      <c r="E486" s="217"/>
      <c r="F486" s="312">
        <v>1</v>
      </c>
      <c r="G486" s="468">
        <f>98.77</f>
        <v>98.77</v>
      </c>
      <c r="H486" s="469"/>
      <c r="I486" s="470"/>
      <c r="J486" s="99"/>
      <c r="K486" s="82">
        <f>G486</f>
        <v>98.77</v>
      </c>
      <c r="L486" s="82"/>
      <c r="M486" s="206"/>
      <c r="N486" s="86">
        <f t="shared" si="25"/>
        <v>0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5"/>
        <v>0</v>
      </c>
    </row>
    <row r="488" spans="2:14" ht="56.25" hidden="1" x14ac:dyDescent="0.25">
      <c r="B488" s="203" t="s">
        <v>372</v>
      </c>
      <c r="C488" s="211">
        <v>91784</v>
      </c>
      <c r="D488" s="205" t="s">
        <v>374</v>
      </c>
      <c r="E488" s="217" t="s">
        <v>37</v>
      </c>
      <c r="F488" s="312"/>
      <c r="G488" s="121"/>
      <c r="H488" s="70"/>
      <c r="I488" s="105"/>
      <c r="J488" s="99">
        <f>'BOLETIM DE MEDIÇÃO 12'!T139-'MEMORIAL DE CALCULO 10'!K488</f>
        <v>0</v>
      </c>
      <c r="K488" s="81">
        <f>K489</f>
        <v>62.17</v>
      </c>
      <c r="L488" s="82">
        <f t="shared" ref="L488:L547" si="26">J488+K488</f>
        <v>62.17</v>
      </c>
      <c r="M488" s="206">
        <v>62.17</v>
      </c>
      <c r="N488" s="86">
        <f t="shared" si="25"/>
        <v>0</v>
      </c>
    </row>
    <row r="489" spans="2:14" hidden="1" x14ac:dyDescent="0.25">
      <c r="B489" s="203"/>
      <c r="C489" s="211"/>
      <c r="D489" s="377" t="s">
        <v>1004</v>
      </c>
      <c r="E489" s="217"/>
      <c r="F489" s="312">
        <v>1</v>
      </c>
      <c r="G489" s="468">
        <f>62.17</f>
        <v>62.17</v>
      </c>
      <c r="H489" s="469"/>
      <c r="I489" s="470"/>
      <c r="J489" s="99"/>
      <c r="K489" s="82">
        <f>G489</f>
        <v>62.17</v>
      </c>
      <c r="L489" s="82"/>
      <c r="M489" s="206"/>
      <c r="N489" s="86">
        <f t="shared" si="25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5"/>
        <v>0</v>
      </c>
    </row>
    <row r="491" spans="2:14" ht="56.25" hidden="1" x14ac:dyDescent="0.25">
      <c r="B491" s="203" t="s">
        <v>375</v>
      </c>
      <c r="C491" s="211">
        <v>91786</v>
      </c>
      <c r="D491" s="205" t="s">
        <v>377</v>
      </c>
      <c r="E491" s="217" t="s">
        <v>37</v>
      </c>
      <c r="F491" s="312"/>
      <c r="G491" s="121"/>
      <c r="H491" s="70"/>
      <c r="I491" s="105"/>
      <c r="J491" s="99">
        <f>'BOLETIM DE MEDIÇÃO 12'!T140-'MEMORIAL DE CALCULO 10'!K491</f>
        <v>17.324999999999999</v>
      </c>
      <c r="K491" s="81">
        <f>K492</f>
        <v>7.4249999999999998</v>
      </c>
      <c r="L491" s="82">
        <f t="shared" si="26"/>
        <v>24.75</v>
      </c>
      <c r="M491" s="206">
        <v>24.75</v>
      </c>
      <c r="N491" s="86">
        <f t="shared" si="25"/>
        <v>0</v>
      </c>
    </row>
    <row r="492" spans="2:14" hidden="1" x14ac:dyDescent="0.25">
      <c r="B492" s="203"/>
      <c r="C492" s="211"/>
      <c r="D492" s="377" t="s">
        <v>984</v>
      </c>
      <c r="E492" s="217"/>
      <c r="F492" s="312">
        <v>1</v>
      </c>
      <c r="G492" s="468">
        <f>0.3*24.75</f>
        <v>7.4249999999999998</v>
      </c>
      <c r="H492" s="469"/>
      <c r="I492" s="470"/>
      <c r="J492" s="99"/>
      <c r="K492" s="82">
        <f>G492</f>
        <v>7.4249999999999998</v>
      </c>
      <c r="L492" s="82"/>
      <c r="M492" s="206"/>
      <c r="N492" s="86">
        <f t="shared" si="25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5"/>
        <v>0</v>
      </c>
    </row>
    <row r="494" spans="2:14" ht="56.25" hidden="1" x14ac:dyDescent="0.25">
      <c r="B494" s="203" t="s">
        <v>378</v>
      </c>
      <c r="C494" s="211">
        <v>91787</v>
      </c>
      <c r="D494" s="205" t="s">
        <v>380</v>
      </c>
      <c r="E494" s="217" t="s">
        <v>37</v>
      </c>
      <c r="F494" s="312"/>
      <c r="G494" s="121"/>
      <c r="H494" s="70"/>
      <c r="I494" s="105"/>
      <c r="J494" s="99">
        <f>'BOLETIM DE MEDIÇÃO 12'!T141-'MEMORIAL DE CALCULO 10'!K494</f>
        <v>18.144000000000002</v>
      </c>
      <c r="K494" s="81">
        <f>K495</f>
        <v>7.7759999999999998</v>
      </c>
      <c r="L494" s="82">
        <f t="shared" si="26"/>
        <v>25.92</v>
      </c>
      <c r="M494" s="206">
        <v>25.92</v>
      </c>
      <c r="N494" s="86">
        <f t="shared" si="25"/>
        <v>0</v>
      </c>
    </row>
    <row r="495" spans="2:14" hidden="1" x14ac:dyDescent="0.25">
      <c r="B495" s="203"/>
      <c r="C495" s="211"/>
      <c r="D495" s="377" t="s">
        <v>984</v>
      </c>
      <c r="E495" s="217"/>
      <c r="F495" s="312">
        <v>1</v>
      </c>
      <c r="G495" s="468">
        <f>0.3*25.92</f>
        <v>7.7759999999999998</v>
      </c>
      <c r="H495" s="469"/>
      <c r="I495" s="470"/>
      <c r="J495" s="99"/>
      <c r="K495" s="82">
        <f>G495</f>
        <v>7.7759999999999998</v>
      </c>
      <c r="L495" s="82"/>
      <c r="M495" s="206"/>
      <c r="N495" s="86">
        <f t="shared" si="25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5"/>
        <v>0</v>
      </c>
    </row>
    <row r="497" spans="2:14" ht="33.75" hidden="1" x14ac:dyDescent="0.25">
      <c r="B497" s="203" t="s">
        <v>381</v>
      </c>
      <c r="C497" s="211">
        <v>89987</v>
      </c>
      <c r="D497" s="205" t="s">
        <v>383</v>
      </c>
      <c r="E497" s="217" t="s">
        <v>166</v>
      </c>
      <c r="F497" s="312"/>
      <c r="G497" s="121"/>
      <c r="H497" s="70"/>
      <c r="I497" s="105"/>
      <c r="J497" s="99">
        <f>'BOLETIM DE MEDIÇÃO 12'!T142-'MEMORIAL DE CALCULO 10'!K497</f>
        <v>7</v>
      </c>
      <c r="K497" s="81">
        <f>K498</f>
        <v>3</v>
      </c>
      <c r="L497" s="82">
        <f t="shared" si="26"/>
        <v>10</v>
      </c>
      <c r="M497" s="206">
        <v>10</v>
      </c>
      <c r="N497" s="86">
        <f t="shared" si="25"/>
        <v>0</v>
      </c>
    </row>
    <row r="498" spans="2:14" hidden="1" x14ac:dyDescent="0.25">
      <c r="B498" s="203"/>
      <c r="C498" s="211"/>
      <c r="D498" s="377" t="s">
        <v>984</v>
      </c>
      <c r="E498" s="217"/>
      <c r="F498" s="312">
        <v>1</v>
      </c>
      <c r="G498" s="468">
        <f>0.3*10</f>
        <v>3</v>
      </c>
      <c r="H498" s="469"/>
      <c r="I498" s="470"/>
      <c r="J498" s="99"/>
      <c r="K498" s="82">
        <f>G498</f>
        <v>3</v>
      </c>
      <c r="L498" s="82"/>
      <c r="M498" s="206"/>
      <c r="N498" s="86">
        <f t="shared" si="25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25"/>
        <v>0</v>
      </c>
    </row>
    <row r="500" spans="2:14" ht="22.5" hidden="1" x14ac:dyDescent="0.25">
      <c r="B500" s="203" t="s">
        <v>384</v>
      </c>
      <c r="C500" s="211">
        <v>94490</v>
      </c>
      <c r="D500" s="205" t="s">
        <v>386</v>
      </c>
      <c r="E500" s="217" t="s">
        <v>166</v>
      </c>
      <c r="F500" s="312"/>
      <c r="G500" s="121"/>
      <c r="H500" s="70"/>
      <c r="I500" s="105"/>
      <c r="J500" s="99">
        <f>'BOLETIM DE MEDIÇÃO 12'!T143-'MEMORIAL DE CALCULO 10'!K500</f>
        <v>-1</v>
      </c>
      <c r="K500" s="81">
        <f>K501</f>
        <v>1</v>
      </c>
      <c r="L500" s="82">
        <f t="shared" si="26"/>
        <v>0</v>
      </c>
      <c r="M500" s="206">
        <v>2</v>
      </c>
      <c r="N500" s="86">
        <f t="shared" si="25"/>
        <v>2</v>
      </c>
    </row>
    <row r="501" spans="2:14" hidden="1" x14ac:dyDescent="0.25">
      <c r="B501" s="203"/>
      <c r="C501" s="211"/>
      <c r="D501" s="377" t="s">
        <v>983</v>
      </c>
      <c r="E501" s="217"/>
      <c r="F501" s="312">
        <v>1</v>
      </c>
      <c r="G501" s="468">
        <v>1</v>
      </c>
      <c r="H501" s="469"/>
      <c r="I501" s="470"/>
      <c r="J501" s="99"/>
      <c r="K501" s="82">
        <v>1</v>
      </c>
      <c r="L501" s="82"/>
      <c r="M501" s="206"/>
      <c r="N501" s="86">
        <f t="shared" si="25"/>
        <v>0</v>
      </c>
    </row>
    <row r="502" spans="2:14" hidden="1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>
        <f t="shared" si="25"/>
        <v>0</v>
      </c>
    </row>
    <row r="503" spans="2:14" ht="33.75" hidden="1" x14ac:dyDescent="0.25">
      <c r="B503" s="203" t="s">
        <v>387</v>
      </c>
      <c r="C503" s="211">
        <v>89985</v>
      </c>
      <c r="D503" s="205" t="s">
        <v>389</v>
      </c>
      <c r="E503" s="217" t="s">
        <v>166</v>
      </c>
      <c r="F503" s="312"/>
      <c r="G503" s="121"/>
      <c r="H503" s="70"/>
      <c r="I503" s="105"/>
      <c r="J503" s="99">
        <f>'BOLETIM DE MEDIÇÃO 12'!T144-'MEMORIAL DE CALCULO 10'!K503</f>
        <v>3</v>
      </c>
      <c r="K503" s="81">
        <f>K504</f>
        <v>3</v>
      </c>
      <c r="L503" s="82">
        <f t="shared" si="26"/>
        <v>6</v>
      </c>
      <c r="M503" s="206">
        <v>6</v>
      </c>
      <c r="N503" s="86">
        <f t="shared" si="25"/>
        <v>0</v>
      </c>
    </row>
    <row r="504" spans="2:14" hidden="1" x14ac:dyDescent="0.25">
      <c r="B504" s="203"/>
      <c r="C504" s="211"/>
      <c r="D504" s="377" t="s">
        <v>983</v>
      </c>
      <c r="E504" s="217"/>
      <c r="F504" s="312">
        <v>1</v>
      </c>
      <c r="G504" s="468">
        <v>3</v>
      </c>
      <c r="H504" s="469"/>
      <c r="I504" s="470"/>
      <c r="J504" s="99"/>
      <c r="K504" s="82">
        <f>G504</f>
        <v>3</v>
      </c>
      <c r="L504" s="82"/>
      <c r="M504" s="206"/>
      <c r="N504" s="86">
        <f t="shared" si="25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5"/>
        <v>0</v>
      </c>
    </row>
    <row r="506" spans="2:14" ht="33.75" hidden="1" x14ac:dyDescent="0.25">
      <c r="B506" s="203" t="s">
        <v>390</v>
      </c>
      <c r="C506" s="211">
        <v>102613</v>
      </c>
      <c r="D506" s="205" t="s">
        <v>392</v>
      </c>
      <c r="E506" s="217" t="s">
        <v>166</v>
      </c>
      <c r="F506" s="312"/>
      <c r="G506" s="121"/>
      <c r="H506" s="70"/>
      <c r="I506" s="105"/>
      <c r="J506" s="99">
        <f>'BOLETIM DE MEDIÇÃO 12'!T145-'MEMORIAL DE CALCULO 10'!K506</f>
        <v>2</v>
      </c>
      <c r="K506" s="82"/>
      <c r="L506" s="82">
        <f t="shared" si="26"/>
        <v>2</v>
      </c>
      <c r="M506" s="206">
        <v>2</v>
      </c>
      <c r="N506" s="86">
        <f t="shared" si="25"/>
        <v>0</v>
      </c>
    </row>
    <row r="507" spans="2:14" hidden="1" x14ac:dyDescent="0.25">
      <c r="B507" s="203"/>
      <c r="C507" s="211"/>
      <c r="D507" s="205"/>
      <c r="E507" s="217"/>
      <c r="F507" s="312"/>
      <c r="G507" s="121"/>
      <c r="H507" s="70"/>
      <c r="I507" s="105"/>
      <c r="J507" s="99"/>
      <c r="K507" s="82"/>
      <c r="L507" s="82"/>
      <c r="M507" s="206"/>
      <c r="N507" s="86">
        <f t="shared" si="25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25"/>
        <v>0</v>
      </c>
    </row>
    <row r="509" spans="2:14" ht="22.5" hidden="1" x14ac:dyDescent="0.25">
      <c r="B509" s="203" t="s">
        <v>393</v>
      </c>
      <c r="C509" s="211">
        <v>102609</v>
      </c>
      <c r="D509" s="205" t="s">
        <v>395</v>
      </c>
      <c r="E509" s="217" t="s">
        <v>166</v>
      </c>
      <c r="F509" s="312"/>
      <c r="G509" s="121"/>
      <c r="H509" s="70"/>
      <c r="I509" s="105"/>
      <c r="J509" s="99">
        <f>'BOLETIM DE MEDIÇÃO 12'!T146-'MEMORIAL DE CALCULO 10'!K509</f>
        <v>2</v>
      </c>
      <c r="K509" s="82"/>
      <c r="L509" s="82">
        <f t="shared" si="26"/>
        <v>2</v>
      </c>
      <c r="M509" s="206">
        <v>2</v>
      </c>
      <c r="N509" s="86">
        <f t="shared" si="25"/>
        <v>0</v>
      </c>
    </row>
    <row r="510" spans="2:14" hidden="1" x14ac:dyDescent="0.25">
      <c r="B510" s="203"/>
      <c r="C510" s="211"/>
      <c r="D510" s="205"/>
      <c r="E510" s="217"/>
      <c r="F510" s="312"/>
      <c r="G510" s="121"/>
      <c r="H510" s="70"/>
      <c r="I510" s="105"/>
      <c r="J510" s="99"/>
      <c r="K510" s="82"/>
      <c r="L510" s="82"/>
      <c r="M510" s="206"/>
      <c r="N510" s="86">
        <f t="shared" si="25"/>
        <v>0</v>
      </c>
    </row>
    <row r="511" spans="2:14" hidden="1" x14ac:dyDescent="0.25">
      <c r="B511" s="203"/>
      <c r="C511" s="211"/>
      <c r="D511" s="205"/>
      <c r="E511" s="217"/>
      <c r="F511" s="312"/>
      <c r="G511" s="121"/>
      <c r="H511" s="70"/>
      <c r="I511" s="105"/>
      <c r="J511" s="99"/>
      <c r="K511" s="82"/>
      <c r="L511" s="82"/>
      <c r="M511" s="206"/>
      <c r="N511" s="86">
        <f t="shared" si="25"/>
        <v>0</v>
      </c>
    </row>
    <row r="512" spans="2:14" ht="22.5" hidden="1" x14ac:dyDescent="0.25">
      <c r="B512" s="203" t="s">
        <v>396</v>
      </c>
      <c r="C512" s="211">
        <v>94796</v>
      </c>
      <c r="D512" s="205" t="s">
        <v>398</v>
      </c>
      <c r="E512" s="217" t="s">
        <v>166</v>
      </c>
      <c r="F512" s="312"/>
      <c r="G512" s="121"/>
      <c r="H512" s="70"/>
      <c r="I512" s="105"/>
      <c r="J512" s="99">
        <f>'BOLETIM DE MEDIÇÃO 12'!T147-'MEMORIAL DE CALCULO 10'!K512</f>
        <v>0</v>
      </c>
      <c r="K512" s="82"/>
      <c r="L512" s="82">
        <f t="shared" si="26"/>
        <v>0</v>
      </c>
      <c r="M512" s="206">
        <v>4</v>
      </c>
      <c r="N512" s="86">
        <f t="shared" si="25"/>
        <v>4</v>
      </c>
    </row>
    <row r="513" spans="2:14" hidden="1" x14ac:dyDescent="0.25">
      <c r="B513" s="203"/>
      <c r="C513" s="211"/>
      <c r="D513" s="205"/>
      <c r="E513" s="217"/>
      <c r="F513" s="312"/>
      <c r="G513" s="121"/>
      <c r="H513" s="70"/>
      <c r="I513" s="105"/>
      <c r="J513" s="99"/>
      <c r="K513" s="82"/>
      <c r="L513" s="82"/>
      <c r="M513" s="206"/>
      <c r="N513" s="86">
        <f t="shared" si="25"/>
        <v>0</v>
      </c>
    </row>
    <row r="514" spans="2:14" hidden="1" x14ac:dyDescent="0.25">
      <c r="B514" s="203"/>
      <c r="C514" s="211"/>
      <c r="D514" s="205"/>
      <c r="E514" s="217"/>
      <c r="F514" s="312"/>
      <c r="G514" s="121"/>
      <c r="H514" s="70"/>
      <c r="I514" s="105"/>
      <c r="J514" s="99"/>
      <c r="K514" s="82"/>
      <c r="L514" s="82"/>
      <c r="M514" s="206"/>
      <c r="N514" s="86">
        <f t="shared" si="25"/>
        <v>0</v>
      </c>
    </row>
    <row r="515" spans="2:14" ht="22.5" hidden="1" x14ac:dyDescent="0.25">
      <c r="B515" s="203" t="s">
        <v>399</v>
      </c>
      <c r="C515" s="211">
        <v>94491</v>
      </c>
      <c r="D515" s="205" t="s">
        <v>401</v>
      </c>
      <c r="E515" s="217" t="s">
        <v>166</v>
      </c>
      <c r="F515" s="312"/>
      <c r="G515" s="121"/>
      <c r="H515" s="70"/>
      <c r="I515" s="105"/>
      <c r="J515" s="99">
        <f>'BOLETIM DE MEDIÇÃO 12'!T148-'MEMORIAL DE CALCULO 10'!K515</f>
        <v>0</v>
      </c>
      <c r="K515" s="82"/>
      <c r="L515" s="82">
        <f t="shared" si="26"/>
        <v>0</v>
      </c>
      <c r="M515" s="206">
        <v>4</v>
      </c>
      <c r="N515" s="86">
        <f t="shared" si="25"/>
        <v>4</v>
      </c>
    </row>
    <row r="516" spans="2:14" hidden="1" x14ac:dyDescent="0.25">
      <c r="B516" s="203"/>
      <c r="C516" s="211"/>
      <c r="D516" s="205"/>
      <c r="E516" s="217"/>
      <c r="F516" s="312"/>
      <c r="G516" s="121"/>
      <c r="H516" s="70"/>
      <c r="I516" s="105"/>
      <c r="J516" s="99"/>
      <c r="K516" s="82"/>
      <c r="L516" s="82"/>
      <c r="M516" s="206"/>
      <c r="N516" s="86">
        <f t="shared" si="25"/>
        <v>0</v>
      </c>
    </row>
    <row r="517" spans="2:14" hidden="1" x14ac:dyDescent="0.25">
      <c r="B517" s="203"/>
      <c r="C517" s="211"/>
      <c r="D517" s="205"/>
      <c r="E517" s="217"/>
      <c r="F517" s="312"/>
      <c r="G517" s="121"/>
      <c r="H517" s="70"/>
      <c r="I517" s="105"/>
      <c r="J517" s="99"/>
      <c r="K517" s="82"/>
      <c r="L517" s="82"/>
      <c r="M517" s="206"/>
      <c r="N517" s="86">
        <f t="shared" si="25"/>
        <v>0</v>
      </c>
    </row>
    <row r="518" spans="2:14" ht="22.5" hidden="1" x14ac:dyDescent="0.25">
      <c r="B518" s="203" t="s">
        <v>402</v>
      </c>
      <c r="C518" s="211">
        <v>94492</v>
      </c>
      <c r="D518" s="205" t="s">
        <v>404</v>
      </c>
      <c r="E518" s="217" t="s">
        <v>166</v>
      </c>
      <c r="F518" s="312"/>
      <c r="G518" s="121"/>
      <c r="H518" s="70"/>
      <c r="I518" s="105"/>
      <c r="J518" s="99">
        <f>'BOLETIM DE MEDIÇÃO 12'!T149-'MEMORIAL DE CALCULO 10'!K518</f>
        <v>0</v>
      </c>
      <c r="K518" s="82"/>
      <c r="L518" s="82">
        <f t="shared" si="26"/>
        <v>0</v>
      </c>
      <c r="M518" s="206">
        <v>2</v>
      </c>
      <c r="N518" s="86">
        <f t="shared" si="25"/>
        <v>2</v>
      </c>
    </row>
    <row r="519" spans="2:14" hidden="1" x14ac:dyDescent="0.25">
      <c r="B519" s="203"/>
      <c r="C519" s="211"/>
      <c r="D519" s="205"/>
      <c r="E519" s="217"/>
      <c r="F519" s="312"/>
      <c r="G519" s="121"/>
      <c r="H519" s="70"/>
      <c r="I519" s="105"/>
      <c r="J519" s="99"/>
      <c r="K519" s="82"/>
      <c r="L519" s="82"/>
      <c r="M519" s="206"/>
      <c r="N519" s="86">
        <f t="shared" si="25"/>
        <v>0</v>
      </c>
    </row>
    <row r="520" spans="2:14" hidden="1" x14ac:dyDescent="0.25">
      <c r="B520" s="203"/>
      <c r="C520" s="211"/>
      <c r="D520" s="205"/>
      <c r="E520" s="217"/>
      <c r="F520" s="312"/>
      <c r="G520" s="121"/>
      <c r="H520" s="70"/>
      <c r="I520" s="105"/>
      <c r="J520" s="99"/>
      <c r="K520" s="82"/>
      <c r="L520" s="82"/>
      <c r="M520" s="206"/>
      <c r="N520" s="86">
        <f t="shared" si="25"/>
        <v>0</v>
      </c>
    </row>
    <row r="521" spans="2:14" ht="22.5" hidden="1" x14ac:dyDescent="0.25">
      <c r="B521" s="203" t="s">
        <v>405</v>
      </c>
      <c r="C521" s="211">
        <v>95675</v>
      </c>
      <c r="D521" s="205" t="s">
        <v>407</v>
      </c>
      <c r="E521" s="217" t="s">
        <v>166</v>
      </c>
      <c r="F521" s="312"/>
      <c r="G521" s="121"/>
      <c r="H521" s="70"/>
      <c r="I521" s="105"/>
      <c r="J521" s="99">
        <f>'BOLETIM DE MEDIÇÃO 12'!T150-'MEMORIAL DE CALCULO 10'!K521</f>
        <v>0</v>
      </c>
      <c r="K521" s="82"/>
      <c r="L521" s="82">
        <f t="shared" si="26"/>
        <v>0</v>
      </c>
      <c r="M521" s="206">
        <v>1</v>
      </c>
      <c r="N521" s="86">
        <f t="shared" si="25"/>
        <v>1</v>
      </c>
    </row>
    <row r="522" spans="2:14" hidden="1" x14ac:dyDescent="0.25">
      <c r="B522" s="203"/>
      <c r="C522" s="211"/>
      <c r="D522" s="205"/>
      <c r="E522" s="217"/>
      <c r="F522" s="312"/>
      <c r="G522" s="121"/>
      <c r="H522" s="70"/>
      <c r="I522" s="105"/>
      <c r="J522" s="99"/>
      <c r="K522" s="82"/>
      <c r="L522" s="82"/>
      <c r="M522" s="206"/>
      <c r="N522" s="86">
        <f t="shared" si="25"/>
        <v>0</v>
      </c>
    </row>
    <row r="523" spans="2:14" hidden="1" x14ac:dyDescent="0.25">
      <c r="B523" s="203"/>
      <c r="C523" s="211"/>
      <c r="D523" s="205"/>
      <c r="E523" s="217"/>
      <c r="F523" s="312"/>
      <c r="G523" s="121"/>
      <c r="H523" s="70"/>
      <c r="I523" s="105"/>
      <c r="J523" s="99"/>
      <c r="K523" s="82"/>
      <c r="L523" s="82"/>
      <c r="M523" s="206"/>
      <c r="N523" s="86">
        <f t="shared" si="25"/>
        <v>0</v>
      </c>
    </row>
    <row r="524" spans="2:14" ht="45" hidden="1" x14ac:dyDescent="0.25">
      <c r="B524" s="203" t="s">
        <v>408</v>
      </c>
      <c r="C524" s="211">
        <v>97902</v>
      </c>
      <c r="D524" s="205" t="s">
        <v>410</v>
      </c>
      <c r="E524" s="217" t="s">
        <v>166</v>
      </c>
      <c r="F524" s="312"/>
      <c r="G524" s="121"/>
      <c r="H524" s="70"/>
      <c r="I524" s="105"/>
      <c r="J524" s="99">
        <f>'BOLETIM DE MEDIÇÃO 12'!T151-'MEMORIAL DE CALCULO 10'!K524</f>
        <v>7</v>
      </c>
      <c r="K524" s="82"/>
      <c r="L524" s="82">
        <f t="shared" si="26"/>
        <v>7</v>
      </c>
      <c r="M524" s="206">
        <v>7</v>
      </c>
      <c r="N524" s="86">
        <f t="shared" si="25"/>
        <v>0</v>
      </c>
    </row>
    <row r="525" spans="2:14" hidden="1" x14ac:dyDescent="0.25">
      <c r="B525" s="203"/>
      <c r="C525" s="211"/>
      <c r="D525" s="205"/>
      <c r="E525" s="217"/>
      <c r="F525" s="312"/>
      <c r="G525" s="121"/>
      <c r="H525" s="70"/>
      <c r="I525" s="105"/>
      <c r="J525" s="99"/>
      <c r="K525" s="82"/>
      <c r="L525" s="82"/>
      <c r="M525" s="206"/>
      <c r="N525" s="86">
        <f t="shared" si="25"/>
        <v>0</v>
      </c>
    </row>
    <row r="526" spans="2:14" hidden="1" x14ac:dyDescent="0.25">
      <c r="B526" s="203"/>
      <c r="C526" s="211"/>
      <c r="D526" s="205"/>
      <c r="E526" s="217"/>
      <c r="F526" s="312"/>
      <c r="G526" s="121"/>
      <c r="H526" s="70"/>
      <c r="I526" s="105"/>
      <c r="J526" s="99"/>
      <c r="K526" s="82"/>
      <c r="L526" s="82"/>
      <c r="M526" s="206"/>
      <c r="N526" s="86">
        <f t="shared" si="25"/>
        <v>0</v>
      </c>
    </row>
    <row r="527" spans="2:14" ht="45" hidden="1" x14ac:dyDescent="0.25">
      <c r="B527" s="203" t="s">
        <v>411</v>
      </c>
      <c r="C527" s="211">
        <v>99258</v>
      </c>
      <c r="D527" s="205" t="s">
        <v>413</v>
      </c>
      <c r="E527" s="217" t="s">
        <v>166</v>
      </c>
      <c r="F527" s="312"/>
      <c r="G527" s="121"/>
      <c r="H527" s="70"/>
      <c r="I527" s="105"/>
      <c r="J527" s="99">
        <f>'BOLETIM DE MEDIÇÃO 12'!T152-'MEMORIAL DE CALCULO 10'!K527</f>
        <v>1</v>
      </c>
      <c r="K527" s="82"/>
      <c r="L527" s="82">
        <f t="shared" si="26"/>
        <v>1</v>
      </c>
      <c r="M527" s="206">
        <v>1</v>
      </c>
      <c r="N527" s="86">
        <f t="shared" si="25"/>
        <v>0</v>
      </c>
    </row>
    <row r="528" spans="2:14" hidden="1" x14ac:dyDescent="0.25">
      <c r="B528" s="203"/>
      <c r="C528" s="211"/>
      <c r="D528" s="205"/>
      <c r="E528" s="217"/>
      <c r="F528" s="312"/>
      <c r="G528" s="121"/>
      <c r="H528" s="70"/>
      <c r="I528" s="105"/>
      <c r="J528" s="99"/>
      <c r="K528" s="82"/>
      <c r="L528" s="82"/>
      <c r="M528" s="206"/>
      <c r="N528" s="86">
        <f t="shared" si="25"/>
        <v>0</v>
      </c>
    </row>
    <row r="529" spans="2:14" hidden="1" x14ac:dyDescent="0.25">
      <c r="B529" s="203"/>
      <c r="C529" s="211"/>
      <c r="D529" s="205"/>
      <c r="E529" s="217"/>
      <c r="F529" s="312"/>
      <c r="G529" s="121"/>
      <c r="H529" s="70"/>
      <c r="I529" s="105"/>
      <c r="J529" s="99"/>
      <c r="K529" s="82"/>
      <c r="L529" s="82"/>
      <c r="M529" s="206"/>
      <c r="N529" s="86">
        <f t="shared" si="25"/>
        <v>0</v>
      </c>
    </row>
    <row r="530" spans="2:14" ht="33.75" hidden="1" x14ac:dyDescent="0.25">
      <c r="B530" s="203" t="s">
        <v>414</v>
      </c>
      <c r="C530" s="211">
        <v>89482</v>
      </c>
      <c r="D530" s="205" t="s">
        <v>416</v>
      </c>
      <c r="E530" s="217" t="s">
        <v>166</v>
      </c>
      <c r="F530" s="312"/>
      <c r="G530" s="121"/>
      <c r="H530" s="70"/>
      <c r="I530" s="105"/>
      <c r="J530" s="99">
        <f>'BOLETIM DE MEDIÇÃO 12'!T153-'MEMORIAL DE CALCULO 10'!K530</f>
        <v>10</v>
      </c>
      <c r="K530" s="82"/>
      <c r="L530" s="82">
        <f t="shared" si="26"/>
        <v>10</v>
      </c>
      <c r="M530" s="206">
        <v>10</v>
      </c>
      <c r="N530" s="86">
        <f t="shared" si="25"/>
        <v>0</v>
      </c>
    </row>
    <row r="531" spans="2:14" hidden="1" x14ac:dyDescent="0.25">
      <c r="B531" s="203"/>
      <c r="C531" s="211"/>
      <c r="D531" s="205"/>
      <c r="E531" s="217"/>
      <c r="F531" s="312"/>
      <c r="G531" s="121"/>
      <c r="H531" s="70"/>
      <c r="I531" s="105"/>
      <c r="J531" s="99"/>
      <c r="K531" s="82"/>
      <c r="L531" s="82"/>
      <c r="M531" s="206"/>
      <c r="N531" s="86">
        <f t="shared" si="25"/>
        <v>0</v>
      </c>
    </row>
    <row r="532" spans="2:14" hidden="1" x14ac:dyDescent="0.25">
      <c r="B532" s="203"/>
      <c r="C532" s="211"/>
      <c r="D532" s="205"/>
      <c r="E532" s="217"/>
      <c r="F532" s="312"/>
      <c r="G532" s="121"/>
      <c r="H532" s="70"/>
      <c r="I532" s="105"/>
      <c r="J532" s="99"/>
      <c r="K532" s="82"/>
      <c r="L532" s="82"/>
      <c r="M532" s="206"/>
      <c r="N532" s="86">
        <f t="shared" si="25"/>
        <v>0</v>
      </c>
    </row>
    <row r="533" spans="2:14" ht="56.25" hidden="1" x14ac:dyDescent="0.25">
      <c r="B533" s="203" t="s">
        <v>417</v>
      </c>
      <c r="C533" s="211">
        <v>91792</v>
      </c>
      <c r="D533" s="205" t="s">
        <v>419</v>
      </c>
      <c r="E533" s="217" t="s">
        <v>37</v>
      </c>
      <c r="F533" s="312"/>
      <c r="G533" s="121"/>
      <c r="H533" s="70"/>
      <c r="I533" s="105"/>
      <c r="J533" s="99">
        <f>'BOLETIM DE MEDIÇÃO 12'!T154-'MEMORIAL DE CALCULO 10'!K533</f>
        <v>0</v>
      </c>
      <c r="K533" s="81">
        <f>K534</f>
        <v>38.85</v>
      </c>
      <c r="L533" s="82">
        <f t="shared" si="26"/>
        <v>38.85</v>
      </c>
      <c r="M533" s="206">
        <v>38.85</v>
      </c>
      <c r="N533" s="86">
        <f t="shared" si="25"/>
        <v>0</v>
      </c>
    </row>
    <row r="534" spans="2:14" hidden="1" x14ac:dyDescent="0.25">
      <c r="B534" s="203"/>
      <c r="C534" s="211"/>
      <c r="D534" s="377" t="s">
        <v>1004</v>
      </c>
      <c r="E534" s="217"/>
      <c r="F534" s="312">
        <v>1</v>
      </c>
      <c r="G534" s="468">
        <v>38.85</v>
      </c>
      <c r="H534" s="469"/>
      <c r="I534" s="470"/>
      <c r="J534" s="99"/>
      <c r="K534" s="82">
        <f>G534</f>
        <v>38.85</v>
      </c>
      <c r="L534" s="82"/>
      <c r="M534" s="206"/>
      <c r="N534" s="86"/>
    </row>
    <row r="535" spans="2:14" hidden="1" x14ac:dyDescent="0.25">
      <c r="B535" s="203"/>
      <c r="C535" s="211"/>
      <c r="D535" s="205"/>
      <c r="E535" s="217"/>
      <c r="F535" s="312"/>
      <c r="G535" s="121"/>
      <c r="H535" s="70"/>
      <c r="I535" s="105"/>
      <c r="J535" s="99"/>
      <c r="K535" s="82"/>
      <c r="L535" s="82"/>
      <c r="M535" s="206"/>
      <c r="N535" s="86"/>
    </row>
    <row r="536" spans="2:14" ht="56.25" hidden="1" x14ac:dyDescent="0.25">
      <c r="B536" s="203" t="s">
        <v>420</v>
      </c>
      <c r="C536" s="211">
        <v>91793</v>
      </c>
      <c r="D536" s="205" t="s">
        <v>422</v>
      </c>
      <c r="E536" s="217" t="s">
        <v>37</v>
      </c>
      <c r="F536" s="312"/>
      <c r="G536" s="121"/>
      <c r="H536" s="70"/>
      <c r="I536" s="105"/>
      <c r="J536" s="99">
        <f>'BOLETIM DE MEDIÇÃO 12'!T155-'MEMORIAL DE CALCULO 10'!K536</f>
        <v>0</v>
      </c>
      <c r="K536" s="81">
        <f>K537</f>
        <v>46.51</v>
      </c>
      <c r="L536" s="82">
        <f t="shared" si="26"/>
        <v>46.51</v>
      </c>
      <c r="M536" s="206">
        <v>46.51</v>
      </c>
      <c r="N536" s="86">
        <f t="shared" si="25"/>
        <v>0</v>
      </c>
    </row>
    <row r="537" spans="2:14" hidden="1" x14ac:dyDescent="0.25">
      <c r="B537" s="203"/>
      <c r="C537" s="211"/>
      <c r="D537" s="377" t="s">
        <v>1004</v>
      </c>
      <c r="E537" s="217"/>
      <c r="F537" s="312">
        <v>1</v>
      </c>
      <c r="G537" s="468">
        <v>46.51</v>
      </c>
      <c r="H537" s="469"/>
      <c r="I537" s="470"/>
      <c r="J537" s="99"/>
      <c r="K537" s="82">
        <f>G537</f>
        <v>46.51</v>
      </c>
      <c r="L537" s="82"/>
      <c r="M537" s="206"/>
      <c r="N537" s="86"/>
    </row>
    <row r="538" spans="2:14" hidden="1" x14ac:dyDescent="0.25">
      <c r="B538" s="203"/>
      <c r="C538" s="211"/>
      <c r="D538" s="205"/>
      <c r="E538" s="217"/>
      <c r="F538" s="312"/>
      <c r="G538" s="121"/>
      <c r="H538" s="70"/>
      <c r="I538" s="105"/>
      <c r="J538" s="99"/>
      <c r="K538" s="82"/>
      <c r="L538" s="82"/>
      <c r="M538" s="206"/>
      <c r="N538" s="86"/>
    </row>
    <row r="539" spans="2:14" ht="45" hidden="1" x14ac:dyDescent="0.25">
      <c r="B539" s="203" t="s">
        <v>423</v>
      </c>
      <c r="C539" s="211">
        <v>98107</v>
      </c>
      <c r="D539" s="205" t="s">
        <v>425</v>
      </c>
      <c r="E539" s="217" t="s">
        <v>166</v>
      </c>
      <c r="F539" s="312"/>
      <c r="G539" s="121"/>
      <c r="H539" s="70"/>
      <c r="I539" s="105"/>
      <c r="J539" s="99">
        <f>'BOLETIM DE MEDIÇÃO 12'!T156-'MEMORIAL DE CALCULO 10'!K539</f>
        <v>1</v>
      </c>
      <c r="K539" s="82"/>
      <c r="L539" s="82">
        <f t="shared" si="26"/>
        <v>1</v>
      </c>
      <c r="M539" s="206">
        <v>1</v>
      </c>
      <c r="N539" s="86">
        <f t="shared" si="25"/>
        <v>0</v>
      </c>
    </row>
    <row r="540" spans="2:14" hidden="1" x14ac:dyDescent="0.25">
      <c r="B540" s="203"/>
      <c r="C540" s="211"/>
      <c r="D540" s="205"/>
      <c r="E540" s="217"/>
      <c r="F540" s="312"/>
      <c r="G540" s="121"/>
      <c r="H540" s="70"/>
      <c r="I540" s="105"/>
      <c r="J540" s="99"/>
      <c r="K540" s="82"/>
      <c r="L540" s="82"/>
      <c r="M540" s="206"/>
      <c r="N540" s="86">
        <f t="shared" si="25"/>
        <v>0</v>
      </c>
    </row>
    <row r="541" spans="2:14" hidden="1" x14ac:dyDescent="0.25">
      <c r="B541" s="203"/>
      <c r="C541" s="211"/>
      <c r="D541" s="205"/>
      <c r="E541" s="217"/>
      <c r="F541" s="312"/>
      <c r="G541" s="121"/>
      <c r="H541" s="70"/>
      <c r="I541" s="105"/>
      <c r="J541" s="99"/>
      <c r="K541" s="82"/>
      <c r="L541" s="82"/>
      <c r="M541" s="206"/>
      <c r="N541" s="86">
        <f t="shared" si="25"/>
        <v>0</v>
      </c>
    </row>
    <row r="542" spans="2:14" ht="56.25" hidden="1" x14ac:dyDescent="0.25">
      <c r="B542" s="203" t="s">
        <v>426</v>
      </c>
      <c r="C542" s="211">
        <v>91795</v>
      </c>
      <c r="D542" s="205" t="s">
        <v>428</v>
      </c>
      <c r="E542" s="217" t="s">
        <v>37</v>
      </c>
      <c r="F542" s="312"/>
      <c r="G542" s="121"/>
      <c r="H542" s="70"/>
      <c r="I542" s="105"/>
      <c r="J542" s="99">
        <f>'BOLETIM DE MEDIÇÃO 12'!T157-'MEMORIAL DE CALCULO 10'!K542</f>
        <v>66.38000000000001</v>
      </c>
      <c r="K542" s="81">
        <f>K543</f>
        <v>66.385000000000005</v>
      </c>
      <c r="L542" s="82">
        <f t="shared" si="26"/>
        <v>132.76500000000001</v>
      </c>
      <c r="M542" s="206">
        <v>132.77000000000001</v>
      </c>
      <c r="N542" s="86">
        <f t="shared" si="25"/>
        <v>4.9999999999954525E-3</v>
      </c>
    </row>
    <row r="543" spans="2:14" hidden="1" x14ac:dyDescent="0.25">
      <c r="B543" s="203"/>
      <c r="C543" s="211"/>
      <c r="D543" s="377" t="s">
        <v>983</v>
      </c>
      <c r="E543" s="217"/>
      <c r="F543" s="312">
        <v>1</v>
      </c>
      <c r="G543" s="468">
        <f>0.5*132.77</f>
        <v>66.385000000000005</v>
      </c>
      <c r="H543" s="469"/>
      <c r="I543" s="470"/>
      <c r="J543" s="99"/>
      <c r="K543" s="82">
        <f>G543</f>
        <v>66.385000000000005</v>
      </c>
      <c r="L543" s="82"/>
      <c r="M543" s="206"/>
      <c r="N543" s="86"/>
    </row>
    <row r="544" spans="2:14" ht="45" hidden="1" x14ac:dyDescent="0.25">
      <c r="B544" s="203" t="s">
        <v>429</v>
      </c>
      <c r="C544" s="211">
        <v>99251</v>
      </c>
      <c r="D544" s="215" t="s">
        <v>431</v>
      </c>
      <c r="E544" s="217" t="s">
        <v>166</v>
      </c>
      <c r="F544" s="312"/>
      <c r="G544" s="121"/>
      <c r="H544" s="70"/>
      <c r="I544" s="105"/>
      <c r="J544" s="99">
        <f>'BOLETIM DE MEDIÇÃO 12'!T158-'MEMORIAL DE CALCULO 10'!K544</f>
        <v>0</v>
      </c>
      <c r="K544" s="82"/>
      <c r="L544" s="82">
        <f t="shared" si="26"/>
        <v>0</v>
      </c>
      <c r="M544" s="206">
        <v>2</v>
      </c>
      <c r="N544" s="86"/>
    </row>
    <row r="545" spans="2:14" hidden="1" x14ac:dyDescent="0.25">
      <c r="B545" s="203"/>
      <c r="C545" s="211"/>
      <c r="D545" s="215"/>
      <c r="E545" s="217"/>
      <c r="F545" s="312"/>
      <c r="G545" s="121"/>
      <c r="H545" s="70"/>
      <c r="I545" s="105"/>
      <c r="J545" s="99"/>
      <c r="K545" s="82"/>
      <c r="L545" s="82"/>
      <c r="M545" s="206"/>
      <c r="N545" s="86"/>
    </row>
    <row r="546" spans="2:14" hidden="1" x14ac:dyDescent="0.25">
      <c r="B546" s="203"/>
      <c r="C546" s="211"/>
      <c r="D546" s="215"/>
      <c r="E546" s="217"/>
      <c r="F546" s="312"/>
      <c r="G546" s="121"/>
      <c r="H546" s="70"/>
      <c r="I546" s="105"/>
      <c r="J546" s="99"/>
      <c r="K546" s="82"/>
      <c r="L546" s="82"/>
      <c r="M546" s="206"/>
      <c r="N546" s="86"/>
    </row>
    <row r="547" spans="2:14" ht="56.25" hidden="1" x14ac:dyDescent="0.25">
      <c r="B547" s="203" t="s">
        <v>432</v>
      </c>
      <c r="C547" s="211">
        <v>91790</v>
      </c>
      <c r="D547" s="215" t="s">
        <v>434</v>
      </c>
      <c r="E547" s="217" t="s">
        <v>37</v>
      </c>
      <c r="F547" s="312"/>
      <c r="G547" s="121"/>
      <c r="H547" s="70"/>
      <c r="I547" s="105"/>
      <c r="J547" s="99">
        <f>'BOLETIM DE MEDIÇÃO 12'!T159-'MEMORIAL DE CALCULO 10'!K547</f>
        <v>-12.902999999999999</v>
      </c>
      <c r="K547" s="81">
        <f>K548</f>
        <v>12.902999999999999</v>
      </c>
      <c r="L547" s="82">
        <f t="shared" si="26"/>
        <v>0</v>
      </c>
      <c r="M547" s="206">
        <v>43.01</v>
      </c>
      <c r="N547" s="86"/>
    </row>
    <row r="548" spans="2:14" hidden="1" x14ac:dyDescent="0.25">
      <c r="B548" s="50"/>
      <c r="C548" s="66"/>
      <c r="D548" s="377" t="s">
        <v>984</v>
      </c>
      <c r="E548" s="69"/>
      <c r="F548" s="312">
        <v>1</v>
      </c>
      <c r="G548" s="468">
        <f>0.3*43.01</f>
        <v>12.902999999999999</v>
      </c>
      <c r="H548" s="469"/>
      <c r="I548" s="470"/>
      <c r="J548" s="99"/>
      <c r="K548" s="82">
        <f>G548</f>
        <v>12.902999999999999</v>
      </c>
      <c r="L548" s="82"/>
      <c r="M548" s="82"/>
      <c r="N548" s="86"/>
    </row>
    <row r="549" spans="2:14" hidden="1" x14ac:dyDescent="0.25">
      <c r="B549" s="50"/>
      <c r="C549" s="66"/>
      <c r="D549" s="53"/>
      <c r="E549" s="69"/>
      <c r="F549" s="312"/>
      <c r="G549" s="121"/>
      <c r="H549" s="70"/>
      <c r="I549" s="105"/>
      <c r="J549" s="99"/>
      <c r="K549" s="82"/>
      <c r="L549" s="82"/>
      <c r="M549" s="82"/>
      <c r="N549" s="86"/>
    </row>
    <row r="550" spans="2:14" hidden="1" x14ac:dyDescent="0.25">
      <c r="B550" s="50"/>
      <c r="C550" s="66"/>
      <c r="D550" s="53"/>
      <c r="E550" s="69"/>
      <c r="F550" s="312"/>
      <c r="G550" s="121"/>
      <c r="H550" s="70"/>
      <c r="I550" s="105"/>
      <c r="J550" s="99"/>
      <c r="K550" s="82"/>
      <c r="L550" s="82"/>
      <c r="M550" s="82"/>
      <c r="N550" s="86"/>
    </row>
    <row r="551" spans="2:14" hidden="1" x14ac:dyDescent="0.25">
      <c r="B551" s="50"/>
      <c r="C551" s="66"/>
      <c r="D551" s="53"/>
      <c r="E551" s="69"/>
      <c r="F551" s="312"/>
      <c r="G551" s="121"/>
      <c r="H551" s="70"/>
      <c r="I551" s="105"/>
      <c r="J551" s="99"/>
      <c r="K551" s="82"/>
      <c r="L551" s="82"/>
      <c r="M551" s="82"/>
      <c r="N551" s="86"/>
    </row>
    <row r="552" spans="2:14" hidden="1" x14ac:dyDescent="0.25">
      <c r="B552" s="50"/>
      <c r="C552" s="66"/>
      <c r="D552" s="53"/>
      <c r="E552" s="69"/>
      <c r="F552" s="312"/>
      <c r="G552" s="121"/>
      <c r="H552" s="70"/>
      <c r="I552" s="105"/>
      <c r="J552" s="99"/>
      <c r="K552" s="82"/>
      <c r="L552" s="82"/>
      <c r="M552" s="82"/>
      <c r="N552" s="86"/>
    </row>
    <row r="553" spans="2:14" hidden="1" x14ac:dyDescent="0.25">
      <c r="B553" s="50"/>
      <c r="C553" s="66"/>
      <c r="D553" s="53"/>
      <c r="E553" s="69"/>
      <c r="F553" s="312"/>
      <c r="G553" s="121"/>
      <c r="H553" s="70"/>
      <c r="I553" s="105"/>
      <c r="J553" s="99"/>
      <c r="K553" s="82"/>
      <c r="L553" s="82"/>
      <c r="M553" s="82"/>
      <c r="N553" s="86"/>
    </row>
    <row r="554" spans="2:14" hidden="1" x14ac:dyDescent="0.25">
      <c r="B554" s="50"/>
      <c r="C554" s="66"/>
      <c r="D554" s="53"/>
      <c r="E554" s="69"/>
      <c r="F554" s="312"/>
      <c r="G554" s="121"/>
      <c r="H554" s="70"/>
      <c r="I554" s="105"/>
      <c r="J554" s="99"/>
      <c r="K554" s="82"/>
      <c r="L554" s="82"/>
      <c r="M554" s="82"/>
      <c r="N554" s="86"/>
    </row>
    <row r="555" spans="2:14" hidden="1" x14ac:dyDescent="0.25">
      <c r="B555" s="50"/>
      <c r="C555" s="66"/>
      <c r="D555" s="53"/>
      <c r="E555" s="69"/>
      <c r="F555" s="312"/>
      <c r="G555" s="121"/>
      <c r="H555" s="70"/>
      <c r="I555" s="105"/>
      <c r="J555" s="99"/>
      <c r="K555" s="82"/>
      <c r="L555" s="82"/>
      <c r="M555" s="82"/>
      <c r="N555" s="86"/>
    </row>
    <row r="556" spans="2:14" hidden="1" x14ac:dyDescent="0.25">
      <c r="B556" s="50"/>
      <c r="C556" s="66"/>
      <c r="D556" s="53"/>
      <c r="E556" s="69"/>
      <c r="F556" s="312"/>
      <c r="G556" s="121"/>
      <c r="H556" s="70"/>
      <c r="I556" s="105"/>
      <c r="J556" s="99"/>
      <c r="K556" s="82"/>
      <c r="L556" s="82"/>
      <c r="M556" s="82"/>
      <c r="N556" s="86"/>
    </row>
    <row r="557" spans="2:14" hidden="1" x14ac:dyDescent="0.25">
      <c r="B557" s="50"/>
      <c r="C557" s="66"/>
      <c r="D557" s="53"/>
      <c r="E557" s="69"/>
      <c r="F557" s="312"/>
      <c r="G557" s="121"/>
      <c r="H557" s="70"/>
      <c r="I557" s="105"/>
      <c r="J557" s="99"/>
      <c r="K557" s="82"/>
      <c r="L557" s="82"/>
      <c r="M557" s="82"/>
      <c r="N557" s="86"/>
    </row>
    <row r="558" spans="2:14" hidden="1" x14ac:dyDescent="0.25">
      <c r="B558" s="50"/>
      <c r="C558" s="66"/>
      <c r="D558" s="53"/>
      <c r="E558" s="69"/>
      <c r="F558" s="312"/>
      <c r="G558" s="121"/>
      <c r="H558" s="70"/>
      <c r="I558" s="105"/>
      <c r="J558" s="99"/>
      <c r="K558" s="82"/>
      <c r="L558" s="82"/>
      <c r="M558" s="82"/>
      <c r="N558" s="86"/>
    </row>
    <row r="559" spans="2:14" hidden="1" x14ac:dyDescent="0.25">
      <c r="B559" s="50"/>
      <c r="C559" s="66"/>
      <c r="D559" s="53"/>
      <c r="E559" s="69"/>
      <c r="F559" s="312"/>
      <c r="G559" s="121"/>
      <c r="H559" s="70"/>
      <c r="I559" s="105"/>
      <c r="J559" s="99"/>
      <c r="K559" s="82"/>
      <c r="L559" s="82"/>
      <c r="M559" s="82"/>
      <c r="N559" s="86"/>
    </row>
    <row r="560" spans="2:14" hidden="1" x14ac:dyDescent="0.25">
      <c r="B560" s="50"/>
      <c r="C560" s="66"/>
      <c r="D560" s="53"/>
      <c r="E560" s="69"/>
      <c r="F560" s="312"/>
      <c r="G560" s="121"/>
      <c r="H560" s="70"/>
      <c r="I560" s="105"/>
      <c r="J560" s="99"/>
      <c r="K560" s="82"/>
      <c r="L560" s="82"/>
      <c r="M560" s="82"/>
      <c r="N560" s="86"/>
    </row>
    <row r="561" spans="2:14" hidden="1" x14ac:dyDescent="0.25">
      <c r="B561" s="50"/>
      <c r="C561" s="66"/>
      <c r="D561" s="53"/>
      <c r="E561" s="69"/>
      <c r="F561" s="312"/>
      <c r="G561" s="121"/>
      <c r="H561" s="70"/>
      <c r="I561" s="105"/>
      <c r="J561" s="99"/>
      <c r="K561" s="82"/>
      <c r="L561" s="82"/>
      <c r="M561" s="82"/>
      <c r="N561" s="86"/>
    </row>
    <row r="562" spans="2:14" hidden="1" x14ac:dyDescent="0.25">
      <c r="B562" s="50"/>
      <c r="C562" s="66"/>
      <c r="D562" s="53"/>
      <c r="E562" s="69"/>
      <c r="F562" s="312"/>
      <c r="G562" s="121"/>
      <c r="H562" s="70"/>
      <c r="I562" s="105"/>
      <c r="J562" s="99"/>
      <c r="K562" s="82"/>
      <c r="L562" s="82"/>
      <c r="M562" s="82"/>
      <c r="N562" s="86"/>
    </row>
    <row r="563" spans="2:14" hidden="1" x14ac:dyDescent="0.25">
      <c r="B563" s="50"/>
      <c r="C563" s="66"/>
      <c r="D563" s="53"/>
      <c r="E563" s="69"/>
      <c r="F563" s="312"/>
      <c r="G563" s="121"/>
      <c r="H563" s="70"/>
      <c r="I563" s="105"/>
      <c r="J563" s="99"/>
      <c r="K563" s="82"/>
      <c r="L563" s="82"/>
      <c r="M563" s="82"/>
      <c r="N563" s="86"/>
    </row>
    <row r="564" spans="2:14" hidden="1" x14ac:dyDescent="0.25">
      <c r="B564" s="50"/>
      <c r="C564" s="66"/>
      <c r="D564" s="53"/>
      <c r="E564" s="69"/>
      <c r="F564" s="312"/>
      <c r="G564" s="121"/>
      <c r="H564" s="70"/>
      <c r="I564" s="105"/>
      <c r="J564" s="99"/>
      <c r="K564" s="82"/>
      <c r="L564" s="82"/>
      <c r="M564" s="82"/>
      <c r="N564" s="86"/>
    </row>
    <row r="565" spans="2:14" hidden="1" x14ac:dyDescent="0.25">
      <c r="B565" s="50"/>
      <c r="C565" s="66"/>
      <c r="D565" s="53"/>
      <c r="E565" s="69"/>
      <c r="F565" s="312"/>
      <c r="G565" s="121"/>
      <c r="H565" s="70"/>
      <c r="I565" s="105"/>
      <c r="J565" s="99"/>
      <c r="K565" s="82"/>
      <c r="L565" s="82"/>
      <c r="M565" s="82"/>
      <c r="N565" s="86"/>
    </row>
    <row r="566" spans="2:14" hidden="1" x14ac:dyDescent="0.25">
      <c r="B566" s="50"/>
      <c r="C566" s="66"/>
      <c r="D566" s="53"/>
      <c r="E566" s="69"/>
      <c r="F566" s="312"/>
      <c r="G566" s="121"/>
      <c r="H566" s="70"/>
      <c r="I566" s="105"/>
      <c r="J566" s="99"/>
      <c r="K566" s="82"/>
      <c r="L566" s="82"/>
      <c r="M566" s="82"/>
      <c r="N566" s="86"/>
    </row>
    <row r="567" spans="2:14" hidden="1" x14ac:dyDescent="0.25">
      <c r="B567" s="50"/>
      <c r="C567" s="66"/>
      <c r="D567" s="53"/>
      <c r="E567" s="69"/>
      <c r="F567" s="312"/>
      <c r="G567" s="121"/>
      <c r="H567" s="70"/>
      <c r="I567" s="105"/>
      <c r="J567" s="99"/>
      <c r="K567" s="82"/>
      <c r="L567" s="82"/>
      <c r="M567" s="82"/>
      <c r="N567" s="86"/>
    </row>
    <row r="568" spans="2:14" hidden="1" x14ac:dyDescent="0.25">
      <c r="B568" s="50"/>
      <c r="C568" s="66"/>
      <c r="D568" s="53"/>
      <c r="E568" s="69"/>
      <c r="F568" s="312"/>
      <c r="G568" s="121"/>
      <c r="H568" s="70"/>
      <c r="I568" s="105"/>
      <c r="J568" s="99"/>
      <c r="K568" s="82"/>
      <c r="L568" s="82"/>
      <c r="M568" s="82"/>
      <c r="N568" s="86"/>
    </row>
    <row r="569" spans="2:14" hidden="1" x14ac:dyDescent="0.25">
      <c r="B569" s="50"/>
      <c r="C569" s="66"/>
      <c r="D569" s="53"/>
      <c r="E569" s="69"/>
      <c r="F569" s="312"/>
      <c r="G569" s="121"/>
      <c r="H569" s="70"/>
      <c r="I569" s="105"/>
      <c r="J569" s="99"/>
      <c r="K569" s="82"/>
      <c r="L569" s="82"/>
      <c r="M569" s="82"/>
      <c r="N569" s="86"/>
    </row>
    <row r="570" spans="2:14" hidden="1" x14ac:dyDescent="0.25">
      <c r="B570" s="50"/>
      <c r="C570" s="66"/>
      <c r="D570" s="53"/>
      <c r="E570" s="69"/>
      <c r="F570" s="312"/>
      <c r="G570" s="121"/>
      <c r="H570" s="70"/>
      <c r="I570" s="105"/>
      <c r="J570" s="99"/>
      <c r="K570" s="82"/>
      <c r="L570" s="82"/>
      <c r="M570" s="82"/>
      <c r="N570" s="86"/>
    </row>
    <row r="571" spans="2:14" hidden="1" x14ac:dyDescent="0.25">
      <c r="B571" s="50"/>
      <c r="C571" s="66"/>
      <c r="D571" s="53"/>
      <c r="E571" s="69"/>
      <c r="F571" s="312"/>
      <c r="G571" s="121"/>
      <c r="H571" s="70"/>
      <c r="I571" s="105"/>
      <c r="J571" s="99"/>
      <c r="K571" s="82"/>
      <c r="L571" s="82"/>
      <c r="M571" s="82"/>
      <c r="N571" s="86"/>
    </row>
    <row r="572" spans="2:14" hidden="1" x14ac:dyDescent="0.25">
      <c r="B572" s="50"/>
      <c r="C572" s="66"/>
      <c r="D572" s="53"/>
      <c r="E572" s="69"/>
      <c r="F572" s="312"/>
      <c r="G572" s="121"/>
      <c r="H572" s="70"/>
      <c r="I572" s="105"/>
      <c r="J572" s="99"/>
      <c r="K572" s="82"/>
      <c r="L572" s="82"/>
      <c r="M572" s="82"/>
      <c r="N572" s="86"/>
    </row>
    <row r="573" spans="2:14" hidden="1" x14ac:dyDescent="0.25">
      <c r="B573" s="50"/>
      <c r="C573" s="66"/>
      <c r="D573" s="53"/>
      <c r="E573" s="69"/>
      <c r="F573" s="312"/>
      <c r="G573" s="121"/>
      <c r="H573" s="70"/>
      <c r="I573" s="105"/>
      <c r="J573" s="99"/>
      <c r="K573" s="82"/>
      <c r="L573" s="82"/>
      <c r="M573" s="82"/>
      <c r="N573" s="86"/>
    </row>
    <row r="574" spans="2:14" hidden="1" x14ac:dyDescent="0.25">
      <c r="B574" s="50"/>
      <c r="C574" s="66"/>
      <c r="D574" s="53"/>
      <c r="E574" s="69"/>
      <c r="F574" s="312"/>
      <c r="G574" s="121"/>
      <c r="H574" s="70"/>
      <c r="I574" s="105"/>
      <c r="J574" s="99"/>
      <c r="K574" s="82"/>
      <c r="L574" s="82"/>
      <c r="M574" s="82"/>
      <c r="N574" s="86"/>
    </row>
    <row r="575" spans="2:14" hidden="1" x14ac:dyDescent="0.25">
      <c r="B575" s="50"/>
      <c r="C575" s="66"/>
      <c r="D575" s="53"/>
      <c r="E575" s="69"/>
      <c r="F575" s="312"/>
      <c r="G575" s="121"/>
      <c r="H575" s="70"/>
      <c r="I575" s="105"/>
      <c r="J575" s="99"/>
      <c r="K575" s="82"/>
      <c r="L575" s="82"/>
      <c r="M575" s="82"/>
      <c r="N575" s="86"/>
    </row>
    <row r="576" spans="2:14" hidden="1" x14ac:dyDescent="0.25">
      <c r="B576" s="50"/>
      <c r="C576" s="66"/>
      <c r="D576" s="53"/>
      <c r="E576" s="69"/>
      <c r="F576" s="312"/>
      <c r="G576" s="121"/>
      <c r="H576" s="70"/>
      <c r="I576" s="105"/>
      <c r="J576" s="99"/>
      <c r="K576" s="82"/>
      <c r="L576" s="82"/>
      <c r="M576" s="82"/>
      <c r="N576" s="86"/>
    </row>
    <row r="577" spans="1:14" hidden="1" x14ac:dyDescent="0.25">
      <c r="B577" s="50"/>
      <c r="C577" s="66"/>
      <c r="D577" s="53"/>
      <c r="E577" s="69"/>
      <c r="F577" s="312"/>
      <c r="G577" s="121"/>
      <c r="H577" s="70"/>
      <c r="I577" s="105"/>
      <c r="J577" s="99"/>
      <c r="K577" s="82"/>
      <c r="L577" s="82"/>
      <c r="M577" s="82"/>
      <c r="N577" s="86"/>
    </row>
    <row r="578" spans="1:14" ht="14.45" hidden="1" customHeight="1" x14ac:dyDescent="0.25">
      <c r="B578" s="51">
        <v>1.1499999999999999</v>
      </c>
      <c r="C578" s="65" t="s">
        <v>474</v>
      </c>
      <c r="D578" s="53"/>
      <c r="E578" s="44"/>
      <c r="F578" s="130"/>
      <c r="G578" s="469"/>
      <c r="H578" s="469"/>
      <c r="I578" s="470"/>
      <c r="J578" s="99"/>
      <c r="K578" s="81"/>
      <c r="L578" s="82"/>
      <c r="M578" s="82"/>
      <c r="N578" s="86"/>
    </row>
    <row r="579" spans="1:14" ht="56.25" hidden="1" x14ac:dyDescent="0.25">
      <c r="A579" s="79"/>
      <c r="B579" s="50" t="s">
        <v>495</v>
      </c>
      <c r="C579" s="66">
        <v>87548</v>
      </c>
      <c r="D579" s="53" t="s">
        <v>154</v>
      </c>
      <c r="E579" s="44" t="s">
        <v>17</v>
      </c>
      <c r="F579" s="259"/>
      <c r="G579" s="121"/>
      <c r="H579" s="70"/>
      <c r="I579" s="105"/>
      <c r="J579" s="99">
        <f>'BOLETIM DE MEDIÇÃO 05'!O190-'MEMORIAL DE CALCULO 10'!K579</f>
        <v>6.2000000000011823E-2</v>
      </c>
      <c r="K579" s="351">
        <f>K580</f>
        <v>405.60400000000004</v>
      </c>
      <c r="L579" s="82">
        <f t="shared" ref="L579" si="27">J579+K579</f>
        <v>405.66600000000005</v>
      </c>
      <c r="M579" s="82">
        <f>'BOLETIM DE MEDIÇÃO 05'!G190</f>
        <v>811.27</v>
      </c>
      <c r="N579" s="86">
        <f t="shared" ref="N579" si="28">M579-L579</f>
        <v>405.60399999999993</v>
      </c>
    </row>
    <row r="580" spans="1:14" hidden="1" x14ac:dyDescent="0.25">
      <c r="A580" s="79"/>
      <c r="B580" s="50"/>
      <c r="C580" s="66"/>
      <c r="D580" s="344" t="s">
        <v>960</v>
      </c>
      <c r="E580" s="44"/>
      <c r="F580" s="130">
        <v>2</v>
      </c>
      <c r="G580" s="468">
        <f>65.42</f>
        <v>65.42</v>
      </c>
      <c r="H580" s="471"/>
      <c r="I580" s="105">
        <v>3.1</v>
      </c>
      <c r="J580" s="99"/>
      <c r="K580" s="351">
        <f>F580*G580*I580</f>
        <v>405.60400000000004</v>
      </c>
      <c r="L580" s="82"/>
      <c r="M580" s="82"/>
      <c r="N580" s="86"/>
    </row>
    <row r="581" spans="1:14" ht="14.45" hidden="1" customHeight="1" x14ac:dyDescent="0.25">
      <c r="A581" s="79"/>
      <c r="B581" s="266"/>
      <c r="C581" s="266"/>
      <c r="D581" s="255"/>
      <c r="E581" s="238"/>
      <c r="F581" s="261"/>
      <c r="G581" s="272"/>
      <c r="H581" s="273"/>
      <c r="I581" s="274"/>
      <c r="J581" s="255"/>
      <c r="K581" s="238"/>
      <c r="L581" s="238"/>
      <c r="M581" s="238"/>
      <c r="N581" s="258"/>
    </row>
    <row r="584" spans="1:14" ht="69.599999999999994" hidden="1" customHeight="1" x14ac:dyDescent="0.25">
      <c r="D584" s="278" t="s">
        <v>832</v>
      </c>
      <c r="E584" s="277" t="s">
        <v>41</v>
      </c>
      <c r="F584" s="279"/>
      <c r="G584" s="546" t="s">
        <v>836</v>
      </c>
      <c r="H584" s="547"/>
      <c r="I584" s="548"/>
      <c r="J584" s="279"/>
      <c r="K584" s="280">
        <f>SUM(K587:K591)</f>
        <v>16.472439999999999</v>
      </c>
      <c r="M584" s="282"/>
    </row>
    <row r="585" spans="1:14" ht="14.45" hidden="1" customHeight="1" x14ac:dyDescent="0.25">
      <c r="D585" s="239"/>
      <c r="E585" s="239"/>
      <c r="F585" s="239"/>
      <c r="G585" s="239"/>
      <c r="H585" s="239"/>
      <c r="I585" s="239"/>
      <c r="J585" s="239"/>
      <c r="K585" s="239"/>
    </row>
    <row r="586" spans="1:14" ht="36.6" hidden="1" customHeight="1" x14ac:dyDescent="0.25">
      <c r="D586" s="281"/>
      <c r="E586" s="239"/>
      <c r="F586" s="275" t="s">
        <v>556</v>
      </c>
      <c r="G586" s="276" t="s">
        <v>833</v>
      </c>
      <c r="H586" s="276" t="s">
        <v>834</v>
      </c>
      <c r="I586" s="276" t="s">
        <v>835</v>
      </c>
      <c r="J586" s="239"/>
      <c r="K586" s="239"/>
    </row>
    <row r="587" spans="1:14" ht="14.45" hidden="1" customHeight="1" x14ac:dyDescent="0.25">
      <c r="D587" s="288" t="s">
        <v>879</v>
      </c>
      <c r="E587" s="239"/>
      <c r="F587" s="245">
        <v>1</v>
      </c>
      <c r="G587" s="245">
        <v>12.5</v>
      </c>
      <c r="H587" s="245">
        <v>0.1</v>
      </c>
      <c r="I587" s="245">
        <v>0.36</v>
      </c>
      <c r="J587" s="277"/>
      <c r="K587" s="245">
        <f>((I587+H587/2)*G587)*0.2</f>
        <v>1.0250000000000001</v>
      </c>
    </row>
    <row r="588" spans="1:14" ht="20.45" hidden="1" customHeight="1" x14ac:dyDescent="0.25">
      <c r="D588" s="288" t="s">
        <v>876</v>
      </c>
      <c r="E588" s="239"/>
      <c r="F588" s="245">
        <v>1</v>
      </c>
      <c r="G588" s="245">
        <v>11.67</v>
      </c>
      <c r="H588" s="245">
        <v>0.36</v>
      </c>
      <c r="I588" s="245">
        <v>0.53</v>
      </c>
      <c r="J588" s="277"/>
      <c r="K588" s="245">
        <f t="shared" ref="K588:K591" si="29">((I588+H588/2)*G588)*0.2</f>
        <v>1.6571400000000001</v>
      </c>
    </row>
    <row r="589" spans="1:14" ht="20.45" hidden="1" customHeight="1" x14ac:dyDescent="0.25">
      <c r="D589" s="288" t="s">
        <v>880</v>
      </c>
      <c r="E589" s="239"/>
      <c r="F589" s="245">
        <v>1</v>
      </c>
      <c r="G589" s="245">
        <v>27.1</v>
      </c>
      <c r="H589" s="245">
        <v>0.53</v>
      </c>
      <c r="I589" s="245">
        <v>0.74</v>
      </c>
      <c r="J589" s="277"/>
      <c r="K589" s="245">
        <f t="shared" si="29"/>
        <v>5.4470999999999998</v>
      </c>
    </row>
    <row r="590" spans="1:14" ht="30.6" hidden="1" customHeight="1" x14ac:dyDescent="0.25">
      <c r="D590" s="288" t="s">
        <v>881</v>
      </c>
      <c r="E590" s="239"/>
      <c r="F590" s="245">
        <v>1</v>
      </c>
      <c r="G590" s="245">
        <v>33.9</v>
      </c>
      <c r="H590" s="245">
        <v>0.74</v>
      </c>
      <c r="I590" s="245">
        <v>0.61</v>
      </c>
      <c r="J590" s="277"/>
      <c r="K590" s="245">
        <f t="shared" si="29"/>
        <v>6.644400000000001</v>
      </c>
    </row>
    <row r="591" spans="1:14" ht="20.45" hidden="1" customHeight="1" x14ac:dyDescent="0.25">
      <c r="D591" s="288" t="s">
        <v>882</v>
      </c>
      <c r="E591" s="239"/>
      <c r="F591" s="245">
        <v>1</v>
      </c>
      <c r="G591" s="245">
        <v>12.4</v>
      </c>
      <c r="H591" s="245">
        <v>0.61</v>
      </c>
      <c r="I591" s="245">
        <v>0.38</v>
      </c>
      <c r="J591" s="277"/>
      <c r="K591" s="245">
        <f t="shared" si="29"/>
        <v>1.6988000000000003</v>
      </c>
    </row>
    <row r="594" spans="7:7" x14ac:dyDescent="0.25">
      <c r="G594" s="330"/>
    </row>
  </sheetData>
  <mergeCells count="263">
    <mergeCell ref="G386:H386"/>
    <mergeCell ref="G387:H387"/>
    <mergeCell ref="G388:H388"/>
    <mergeCell ref="G389:H389"/>
    <mergeCell ref="G390:H390"/>
    <mergeCell ref="G391:H391"/>
    <mergeCell ref="G380:H380"/>
    <mergeCell ref="G381:H381"/>
    <mergeCell ref="G316:I316"/>
    <mergeCell ref="G336:H336"/>
    <mergeCell ref="G337:H337"/>
    <mergeCell ref="G338:H338"/>
    <mergeCell ref="G339:H339"/>
    <mergeCell ref="G340:H340"/>
    <mergeCell ref="G341:I341"/>
    <mergeCell ref="G330:H330"/>
    <mergeCell ref="G331:H331"/>
    <mergeCell ref="G332:H332"/>
    <mergeCell ref="G333:H333"/>
    <mergeCell ref="G334:H334"/>
    <mergeCell ref="G335:H335"/>
    <mergeCell ref="G382:H382"/>
    <mergeCell ref="G383:H383"/>
    <mergeCell ref="G384:H384"/>
    <mergeCell ref="G537:I537"/>
    <mergeCell ref="G543:I543"/>
    <mergeCell ref="G548:I548"/>
    <mergeCell ref="G578:I578"/>
    <mergeCell ref="G580:H580"/>
    <mergeCell ref="G584:I584"/>
    <mergeCell ref="G492:I492"/>
    <mergeCell ref="G495:I495"/>
    <mergeCell ref="G498:I498"/>
    <mergeCell ref="G501:I501"/>
    <mergeCell ref="G504:I504"/>
    <mergeCell ref="G534:I534"/>
    <mergeCell ref="G481:I481"/>
    <mergeCell ref="G482:I482"/>
    <mergeCell ref="G483:I483"/>
    <mergeCell ref="C484:D484"/>
    <mergeCell ref="G486:I486"/>
    <mergeCell ref="G489:I489"/>
    <mergeCell ref="G469:I469"/>
    <mergeCell ref="G471:I471"/>
    <mergeCell ref="G473:I473"/>
    <mergeCell ref="G477:I477"/>
    <mergeCell ref="G479:I479"/>
    <mergeCell ref="G480:I480"/>
    <mergeCell ref="G447:I447"/>
    <mergeCell ref="G451:I451"/>
    <mergeCell ref="G454:I454"/>
    <mergeCell ref="G457:I457"/>
    <mergeCell ref="G461:I461"/>
    <mergeCell ref="G463:I463"/>
    <mergeCell ref="G435:I435"/>
    <mergeCell ref="G437:I437"/>
    <mergeCell ref="G439:I439"/>
    <mergeCell ref="G441:I441"/>
    <mergeCell ref="G443:I443"/>
    <mergeCell ref="G445:I445"/>
    <mergeCell ref="G423:I423"/>
    <mergeCell ref="G425:I425"/>
    <mergeCell ref="G427:I427"/>
    <mergeCell ref="G429:I429"/>
    <mergeCell ref="G431:I431"/>
    <mergeCell ref="G433:I433"/>
    <mergeCell ref="G392:H392"/>
    <mergeCell ref="G412:H412"/>
    <mergeCell ref="G417:I417"/>
    <mergeCell ref="G419:I419"/>
    <mergeCell ref="G420:I420"/>
    <mergeCell ref="G422:I422"/>
    <mergeCell ref="G394:H394"/>
    <mergeCell ref="G395:H395"/>
    <mergeCell ref="G396:H396"/>
    <mergeCell ref="G397:H397"/>
    <mergeCell ref="G404:I404"/>
    <mergeCell ref="G398:H398"/>
    <mergeCell ref="G399:H399"/>
    <mergeCell ref="G400:H400"/>
    <mergeCell ref="G401:H401"/>
    <mergeCell ref="G403:I403"/>
    <mergeCell ref="G393:H393"/>
    <mergeCell ref="G385:H385"/>
    <mergeCell ref="G374:H374"/>
    <mergeCell ref="G375:H375"/>
    <mergeCell ref="G376:H376"/>
    <mergeCell ref="G377:H377"/>
    <mergeCell ref="G378:H378"/>
    <mergeCell ref="G379:H379"/>
    <mergeCell ref="G371:H371"/>
    <mergeCell ref="G372:H372"/>
    <mergeCell ref="G373:H373"/>
    <mergeCell ref="G354:I354"/>
    <mergeCell ref="G355:I355"/>
    <mergeCell ref="G348:H348"/>
    <mergeCell ref="G349:H349"/>
    <mergeCell ref="G350:H350"/>
    <mergeCell ref="G351:H351"/>
    <mergeCell ref="G352:I352"/>
    <mergeCell ref="G353:I353"/>
    <mergeCell ref="G343:I343"/>
    <mergeCell ref="G344:H344"/>
    <mergeCell ref="G345:H345"/>
    <mergeCell ref="G346:H346"/>
    <mergeCell ref="G347:H347"/>
    <mergeCell ref="G315:I315"/>
    <mergeCell ref="G326:H326"/>
    <mergeCell ref="G327:H327"/>
    <mergeCell ref="G328:H328"/>
    <mergeCell ref="G329:H329"/>
    <mergeCell ref="G317:H317"/>
    <mergeCell ref="G318:H318"/>
    <mergeCell ref="G319:H319"/>
    <mergeCell ref="G320:H320"/>
    <mergeCell ref="G321:H321"/>
    <mergeCell ref="G322:H322"/>
    <mergeCell ref="G323:H323"/>
    <mergeCell ref="G324:H324"/>
    <mergeCell ref="G325:H325"/>
    <mergeCell ref="G308:H308"/>
    <mergeCell ref="G309:H309"/>
    <mergeCell ref="G310:H310"/>
    <mergeCell ref="G311:H311"/>
    <mergeCell ref="G312:H312"/>
    <mergeCell ref="G313:H313"/>
    <mergeCell ref="G302:H302"/>
    <mergeCell ref="G303:H303"/>
    <mergeCell ref="G304:H304"/>
    <mergeCell ref="G305:H305"/>
    <mergeCell ref="G306:I306"/>
    <mergeCell ref="G307:H307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H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0:I270"/>
    <mergeCell ref="G273:I273"/>
    <mergeCell ref="G274:I274"/>
    <mergeCell ref="G275:H275"/>
    <mergeCell ref="G276:H276"/>
    <mergeCell ref="G277:H277"/>
    <mergeCell ref="G271:I271"/>
    <mergeCell ref="G272:I272"/>
    <mergeCell ref="G264:I264"/>
    <mergeCell ref="G265:I265"/>
    <mergeCell ref="G269:I269"/>
    <mergeCell ref="G256:I256"/>
    <mergeCell ref="G257:I257"/>
    <mergeCell ref="G250:H250"/>
    <mergeCell ref="G251:H251"/>
    <mergeCell ref="G252:H252"/>
    <mergeCell ref="G253:H253"/>
    <mergeCell ref="G254:H254"/>
    <mergeCell ref="G255:H255"/>
    <mergeCell ref="G244:H244"/>
    <mergeCell ref="G245:H245"/>
    <mergeCell ref="G246:H246"/>
    <mergeCell ref="G247:H247"/>
    <mergeCell ref="G248:H248"/>
    <mergeCell ref="G249:H249"/>
    <mergeCell ref="G238:H238"/>
    <mergeCell ref="G239:H239"/>
    <mergeCell ref="G240:H240"/>
    <mergeCell ref="G241:H241"/>
    <mergeCell ref="G242:H242"/>
    <mergeCell ref="G243:H243"/>
    <mergeCell ref="G232:H232"/>
    <mergeCell ref="G233:H233"/>
    <mergeCell ref="G234:H234"/>
    <mergeCell ref="G235:H235"/>
    <mergeCell ref="G236:H236"/>
    <mergeCell ref="G237:H237"/>
    <mergeCell ref="G216:I216"/>
    <mergeCell ref="G217:I217"/>
    <mergeCell ref="G226:H226"/>
    <mergeCell ref="G227:H227"/>
    <mergeCell ref="G228:H228"/>
    <mergeCell ref="G229:H229"/>
    <mergeCell ref="G230:H230"/>
    <mergeCell ref="G231:H231"/>
    <mergeCell ref="G225:H225"/>
    <mergeCell ref="G208:I208"/>
    <mergeCell ref="G104:H104"/>
    <mergeCell ref="G105:H105"/>
    <mergeCell ref="G106:H106"/>
    <mergeCell ref="G107:H107"/>
    <mergeCell ref="G108:I108"/>
    <mergeCell ref="G207:I207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63272-7841-404C-8516-01C20D14AC84}">
  <sheetPr>
    <pageSetUpPr fitToPage="1"/>
  </sheetPr>
  <dimension ref="A1:U562"/>
  <sheetViews>
    <sheetView zoomScale="91" zoomScaleNormal="205" workbookViewId="0">
      <selection activeCell="A401" sqref="A401:XFD401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3" t="s">
        <v>1014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f>'BOLETIM DE MEDIÇÃO 12'!B8:C8</f>
        <v>45985</v>
      </c>
      <c r="C8" s="498"/>
      <c r="D8" s="23" t="str">
        <f>'BOLETIM DE MEDIÇÃO 12'!D8</f>
        <v>27/09/2025 a 24/11/2025</v>
      </c>
      <c r="E8" s="499">
        <f>'BOLETIM DE MEDIÇÃO 12'!E8</f>
        <v>42245.579999999994</v>
      </c>
      <c r="F8" s="500"/>
      <c r="G8" s="501"/>
      <c r="H8" s="502">
        <f>'BOLETIM DE MEDIÇÃO 12'!P8</f>
        <v>815893.51710544969</v>
      </c>
      <c r="I8" s="503"/>
      <c r="J8" s="504" t="s">
        <v>1006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09)'!K14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09)'!K15</f>
        <v>2.25</v>
      </c>
      <c r="K15" s="81">
        <f>F15*G15*H15</f>
        <v>2.75</v>
      </c>
      <c r="L15" s="82">
        <f t="shared" ref="L15:L421" si="0">J15+K15</f>
        <v>5</v>
      </c>
      <c r="M15" s="82">
        <f>'BOLETIM DE MEDIÇÃO 05'!G15</f>
        <v>5</v>
      </c>
      <c r="N15" s="86">
        <f t="shared" ref="N15:N421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09)'!K16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09)'!K17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09)'!K19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09)'!K21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09)'!K24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09)'!K25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0">
        <v>1</v>
      </c>
      <c r="G70" s="525">
        <f>43.05</f>
        <v>43.05</v>
      </c>
      <c r="H70" s="526"/>
      <c r="I70" s="527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1"/>
      <c r="G71" s="528"/>
      <c r="H71" s="529"/>
      <c r="I71" s="530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22" t="s">
        <v>883</v>
      </c>
      <c r="H72" s="523"/>
      <c r="I72" s="524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20" t="s">
        <v>838</v>
      </c>
      <c r="H73" s="521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20">
        <v>9</v>
      </c>
      <c r="H74" s="521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20">
        <v>5</v>
      </c>
      <c r="H75" s="521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20">
        <f xml:space="preserve"> (13.03 * 2.7)</f>
        <v>35.180999999999997</v>
      </c>
      <c r="H76" s="521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20">
        <v>3</v>
      </c>
      <c r="H77" s="521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20">
        <v>7</v>
      </c>
      <c r="H78" s="521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20">
        <v>21</v>
      </c>
      <c r="H79" s="521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20">
        <v>27</v>
      </c>
      <c r="H80" s="521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20">
        <v>26</v>
      </c>
      <c r="H81" s="521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20">
        <v>1.6</v>
      </c>
      <c r="H82" s="521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20">
        <v>1.6</v>
      </c>
      <c r="H83" s="521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20">
        <v>45</v>
      </c>
      <c r="H84" s="521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20">
        <v>19</v>
      </c>
      <c r="H85" s="521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20">
        <v>19</v>
      </c>
      <c r="H86" s="521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20">
        <v>5</v>
      </c>
      <c r="H87" s="521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20">
        <v>14</v>
      </c>
      <c r="H88" s="521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31">
        <v>36</v>
      </c>
      <c r="H89" s="532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31">
        <v>46</v>
      </c>
      <c r="H90" s="532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20">
        <v>41</v>
      </c>
      <c r="H91" s="521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20">
        <v>27</v>
      </c>
      <c r="H92" s="521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20">
        <v>53</v>
      </c>
      <c r="H93" s="521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20">
        <f xml:space="preserve"> (2.65*1.8)</f>
        <v>4.7699999999999996</v>
      </c>
      <c r="H94" s="521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20">
        <v>30</v>
      </c>
      <c r="H95" s="521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20">
        <v>30</v>
      </c>
      <c r="H96" s="521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20">
        <v>14</v>
      </c>
      <c r="H97" s="521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20">
        <v>14</v>
      </c>
      <c r="H98" s="521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20">
        <v>20</v>
      </c>
      <c r="H99" s="521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20">
        <v>3</v>
      </c>
      <c r="H100" s="521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20">
        <v>4</v>
      </c>
      <c r="H101" s="521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20">
        <v>12</v>
      </c>
      <c r="H102" s="521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20">
        <v>20</v>
      </c>
      <c r="H103" s="521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20">
        <v>4</v>
      </c>
      <c r="H104" s="521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20">
        <v>5</v>
      </c>
      <c r="H105" s="521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20">
        <f>1184.23-SUM(G74:H105)</f>
        <v>582.07900000000006</v>
      </c>
      <c r="H106" s="521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20"/>
      <c r="H107" s="521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09" t="s">
        <v>652</v>
      </c>
      <c r="H108" s="512"/>
      <c r="I108" s="51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09)'!K154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09)'!K163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6" t="s">
        <v>831</v>
      </c>
      <c r="H172" s="507"/>
      <c r="I172" s="508"/>
      <c r="J172" s="99">
        <f>'BOLETIM DE MEDIÇÃO 05'!O29-'MEMORIAL DE CALCULO 09)'!K172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09">
        <v>492.78</v>
      </c>
      <c r="H173" s="512"/>
      <c r="I173" s="51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09">
        <f>(2*12)+(2*3.79)+(2*8.94)+(2*6.27)+ 1.39+0.99 +(2*1.85)+(2*1.7)+ (2*1.35)</f>
        <v>74.180000000000007</v>
      </c>
      <c r="H174" s="510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09">
        <f>(2*10.92)+(2*10.92)+ 1.3 + 1.1</f>
        <v>46.08</v>
      </c>
      <c r="H175" s="510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09">
        <f>(2*1.87)+(2*1.87)</f>
        <v>7.48</v>
      </c>
      <c r="H176" s="510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09">
        <f>(2*6.55)+(2*6.3)+1.75+1.35+1.19</f>
        <v>29.990000000000002</v>
      </c>
      <c r="H177" s="510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09">
        <f>(2*8.39)+(2*1.7)+ 1.1+ 3.13 + (2*5.24)+ (2*3.11)</f>
        <v>41.11</v>
      </c>
      <c r="H178" s="510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09"/>
      <c r="H179" s="510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09"/>
      <c r="H180" s="510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09"/>
      <c r="H181" s="510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09"/>
      <c r="H182" s="510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09"/>
      <c r="H183" s="510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09"/>
      <c r="H184" s="510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09"/>
      <c r="H185" s="510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09"/>
      <c r="H186" s="510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09"/>
      <c r="H187" s="510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09"/>
      <c r="H188" s="510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09"/>
      <c r="H189" s="510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09"/>
      <c r="H190" s="510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09"/>
      <c r="H191" s="510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09"/>
      <c r="H192" s="510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09"/>
      <c r="H193" s="510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09"/>
      <c r="H194" s="510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09"/>
      <c r="H195" s="510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09"/>
      <c r="H196" s="510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09"/>
      <c r="H197" s="510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09"/>
      <c r="H198" s="510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09"/>
      <c r="H199" s="510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6">
        <f xml:space="preserve"> (2*1.31) + (2*1.51) + (2*4.98)</f>
        <v>15.600000000000001</v>
      </c>
      <c r="H201" s="511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6">
        <f xml:space="preserve"> (3*3.37) + (1.37) + (2*3.47)</f>
        <v>18.420000000000002</v>
      </c>
      <c r="H202" s="511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6">
        <f xml:space="preserve"> (1.87) + (2*3.62)</f>
        <v>9.11</v>
      </c>
      <c r="H203" s="511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6">
        <f xml:space="preserve"> (4*0.88) + (2*3.36) + (2*5.03)</f>
        <v>20.3</v>
      </c>
      <c r="H204" s="511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6">
        <f xml:space="preserve"> (2*3.18) + (2*3.18)</f>
        <v>12.72</v>
      </c>
      <c r="H205" s="511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6">
        <f xml:space="preserve"> (4*2.15)</f>
        <v>8.6</v>
      </c>
      <c r="H206" s="511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6">
        <f xml:space="preserve"> (4*6.99)</f>
        <v>27.96</v>
      </c>
      <c r="H207" s="511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6" t="s">
        <v>831</v>
      </c>
      <c r="H208" s="507"/>
      <c r="I208" s="508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6"/>
      <c r="H209" s="507"/>
      <c r="I209" s="508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09" t="s">
        <v>679</v>
      </c>
      <c r="H217" s="510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6" t="s">
        <v>680</v>
      </c>
      <c r="H218" s="511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6" t="s">
        <v>681</v>
      </c>
      <c r="H219" s="511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6" t="s">
        <v>682</v>
      </c>
      <c r="H220" s="511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6" t="s">
        <v>684</v>
      </c>
      <c r="H221" s="511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6" t="s">
        <v>683</v>
      </c>
      <c r="H222" s="511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6" t="s">
        <v>685</v>
      </c>
      <c r="H223" s="511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09" t="s">
        <v>686</v>
      </c>
      <c r="H224" s="510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6" t="s">
        <v>687</v>
      </c>
      <c r="H225" s="511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6" t="s">
        <v>688</v>
      </c>
      <c r="H226" s="511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09" t="s">
        <v>689</v>
      </c>
      <c r="H227" s="510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6" t="s">
        <v>690</v>
      </c>
      <c r="H228" s="511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09" t="s">
        <v>691</v>
      </c>
      <c r="H229" s="510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6" t="s">
        <v>692</v>
      </c>
      <c r="H230" s="511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6" t="s">
        <v>693</v>
      </c>
      <c r="H231" s="511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09" t="s">
        <v>694</v>
      </c>
      <c r="H232" s="510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6" t="s">
        <v>695</v>
      </c>
      <c r="H233" s="511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6" t="s">
        <v>696</v>
      </c>
      <c r="H234" s="511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6" t="s">
        <v>697</v>
      </c>
      <c r="H235" s="511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6" t="s">
        <v>698</v>
      </c>
      <c r="H236" s="511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6" t="s">
        <v>699</v>
      </c>
      <c r="H237" s="511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6" t="s">
        <v>700</v>
      </c>
      <c r="H238" s="511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6" t="s">
        <v>701</v>
      </c>
      <c r="H239" s="511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09" t="s">
        <v>702</v>
      </c>
      <c r="H240" s="510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6" t="s">
        <v>704</v>
      </c>
      <c r="H241" s="511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6" t="s">
        <v>703</v>
      </c>
      <c r="H242" s="511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6" t="s">
        <v>703</v>
      </c>
      <c r="H243" s="511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6" t="s">
        <v>705</v>
      </c>
      <c r="H244" s="511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6" t="s">
        <v>704</v>
      </c>
      <c r="H245" s="511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6" t="s">
        <v>705</v>
      </c>
      <c r="H246" s="511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6" t="s">
        <v>704</v>
      </c>
      <c r="H247" s="511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6">
        <v>9.6</v>
      </c>
      <c r="H248" s="507"/>
      <c r="I248" s="508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6">
        <v>12.75</v>
      </c>
      <c r="H249" s="507"/>
      <c r="I249" s="508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36" t="s">
        <v>874</v>
      </c>
      <c r="H257" s="537"/>
      <c r="I257" s="538"/>
      <c r="J257" s="99">
        <f>'BOLETIM DE MEDIÇÃO 05'!O31-'MEMORIAL DE CALCULO 09)'!K257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6"/>
      <c r="H258" s="507"/>
      <c r="I258" s="508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6">
        <v>9.6</v>
      </c>
      <c r="H259" s="507"/>
      <c r="I259" s="508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6" t="s">
        <v>831</v>
      </c>
      <c r="H260" s="507"/>
      <c r="I260" s="508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6">
        <f>G249</f>
        <v>12.75</v>
      </c>
      <c r="H261" s="507"/>
      <c r="I261" s="508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6" t="s">
        <v>831</v>
      </c>
      <c r="H262" s="507"/>
      <c r="I262" s="508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09" t="s">
        <v>647</v>
      </c>
      <c r="H263" s="510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6">
        <f xml:space="preserve"> ((0.59*(1.85/0.1)) * 2)</f>
        <v>21.83</v>
      </c>
      <c r="H264" s="511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6">
        <f>(0.69*(1.87/0.1)) + (0.79*(1.87/0.1))</f>
        <v>27.675999999999998</v>
      </c>
      <c r="H265" s="511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6">
        <f>((0.69*(1.9/0.1))*3) + ((0.59*(1.87/0.1))*2)</f>
        <v>61.395999999999987</v>
      </c>
      <c r="H266" s="511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6">
        <f>((0.69*(1.92/0.1))*1) + ((0.59*(1.92/0.1))*2)</f>
        <v>35.903999999999996</v>
      </c>
      <c r="H267" s="511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6">
        <f>((0.79*(1.94/0.1))*3)</f>
        <v>45.977999999999994</v>
      </c>
      <c r="H268" s="511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6">
        <f>((0.69*(1.96/0.1))*3) + ((0.59*(1.96/0.1))*2)</f>
        <v>63.699999999999989</v>
      </c>
      <c r="H269" s="511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6">
        <f>((0.59*(1.95/0.1))*2) + ((0.69*(1.95/0.1))*3) +((0.79*(1.95/0.1))*1)</f>
        <v>78.78</v>
      </c>
      <c r="H270" s="511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6">
        <f>((0.59*(1.97/0.1))*1)  +((0.79*(1.97/0.1))*2)</f>
        <v>42.749000000000002</v>
      </c>
      <c r="H271" s="511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6">
        <f>((0.59*(1.9/0.1))*3)</f>
        <v>33.629999999999995</v>
      </c>
      <c r="H272" s="511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6">
        <f>((0.69*(1.86/0.1))*1) + ((0.69*(1.86/0.1))*1) + ((0.89*(1.86/0.1))*1)</f>
        <v>42.222000000000001</v>
      </c>
      <c r="H273" s="511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6">
        <f>((0.69*(1.87/0.1))*3)</f>
        <v>38.708999999999996</v>
      </c>
      <c r="H274" s="511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6">
        <f>((0.69*(1.9/0.1))*1) + ((0.79*(1.9/0.1))*2) + ((0.59*(1.9/0.1))*1)</f>
        <v>54.339999999999989</v>
      </c>
      <c r="H275" s="511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6">
        <f>((0.79*(1.91/0.1))*1) +((0.59*(1.91/0.1))*1)</f>
        <v>26.357999999999997</v>
      </c>
      <c r="H276" s="511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6">
        <f>((0.79*(1.94/0.1))*1) +((0.59*(1.94/0.1))*5)</f>
        <v>72.555999999999983</v>
      </c>
      <c r="H277" s="511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6">
        <f>((0.69*(1.92/0.1))*2) + ((0.69*(1.92/0.1))*1)</f>
        <v>39.744</v>
      </c>
      <c r="H278" s="511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6">
        <f>((0.59*(1.93/0.1))*2) + ((0.79*(1.93/0.1))*1)</f>
        <v>38.020999999999994</v>
      </c>
      <c r="H279" s="511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6">
        <f>((0.59*(1.87/0.1))*2) + ((0.69*(1.87/0.1))*2)</f>
        <v>47.872</v>
      </c>
      <c r="H280" s="511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6">
        <f>((0.59*(1.88/0.1))*3) + ((0.69*(1.88/0.1))*1)</f>
        <v>46.24799999999999</v>
      </c>
      <c r="H281" s="511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6">
        <f>((0.79*(1.9/0.1))*1) + ((0.69*(1.9/0.1))*3)</f>
        <v>54.339999999999982</v>
      </c>
      <c r="H282" s="511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6">
        <f>((0.59*(1.9/0.1))*1)</f>
        <v>11.209999999999997</v>
      </c>
      <c r="H283" s="511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6">
        <f>((0.69*(1.87/0.1))*1) + ((0.59*(1.87/0.1))*1)</f>
        <v>23.936</v>
      </c>
      <c r="H284" s="511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6">
        <f>((0.69*(2/0.1))*1) + ((0.59*(2/0.1))*2)</f>
        <v>37.4</v>
      </c>
      <c r="H285" s="511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6">
        <f>((0.69*(2.01/0.1))*1) + ((0.59*(2.01/0.1))*5) + ((0.79*(2.01/0.1))*1)</f>
        <v>89.042999999999992</v>
      </c>
      <c r="H286" s="511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6">
        <f>(((1.39+0.47+0.47))*(1.86/0.15))</f>
        <v>28.892000000000003</v>
      </c>
      <c r="H287" s="511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6">
        <f>(((1.09+0.022))*(1.87/0.15))</f>
        <v>13.862933333333336</v>
      </c>
      <c r="H288" s="511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6">
        <f>(((1.09+0.022))*(1.89/0.15))</f>
        <v>14.011200000000001</v>
      </c>
      <c r="H289" s="511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6">
        <f>(((0.59))*(1.9/0.15))</f>
        <v>7.4733333333333327</v>
      </c>
      <c r="H290" s="511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6">
        <f>(((0.59))*(1.92/0.15))</f>
        <v>7.5519999999999996</v>
      </c>
      <c r="H291" s="511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6">
        <f>(((0.59))*(1.9/0.15))</f>
        <v>7.4733333333333327</v>
      </c>
      <c r="H292" s="511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6">
        <f>(((0.69))*(1.98/0.15))</f>
        <v>9.1080000000000005</v>
      </c>
      <c r="H293" s="511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09">
        <v>210.13</v>
      </c>
      <c r="H294" s="512"/>
      <c r="I294" s="51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6">
        <f xml:space="preserve"> (2*2.51) + (40*0.59)</f>
        <v>28.619999999999997</v>
      </c>
      <c r="H295" s="511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6">
        <f xml:space="preserve"> (19*0.79)</f>
        <v>15.010000000000002</v>
      </c>
      <c r="H296" s="511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6">
        <f xml:space="preserve"> (21*0.79)</f>
        <v>16.59</v>
      </c>
      <c r="H297" s="511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6">
        <f xml:space="preserve"> (2*3.86) + (29*0.79)</f>
        <v>30.63</v>
      </c>
      <c r="H298" s="511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6">
        <f xml:space="preserve"> (22*0.59)</f>
        <v>12.979999999999999</v>
      </c>
      <c r="H299" s="511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6">
        <f xml:space="preserve"> (14*0.059)</f>
        <v>0.82599999999999996</v>
      </c>
      <c r="H300" s="511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6">
        <f xml:space="preserve"> (59*0.59)</f>
        <v>34.809999999999995</v>
      </c>
      <c r="H301" s="511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09)'!K302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6">
        <v>295</v>
      </c>
      <c r="H303" s="507"/>
      <c r="I303" s="508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09" t="s">
        <v>628</v>
      </c>
      <c r="H306" s="510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6">
        <f xml:space="preserve"> (4*(0.2+0.25+1.85+0.33)) * 2</f>
        <v>21.040000000000003</v>
      </c>
      <c r="H307" s="511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6">
        <f xml:space="preserve"> ((4*(0.2+0.25+1.87+0.33)) * 2)</f>
        <v>21.200000000000003</v>
      </c>
      <c r="H308" s="511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6">
        <f xml:space="preserve"> (4*(0.2+0.25+1.9+0.33)) * 5</f>
        <v>53.6</v>
      </c>
      <c r="H309" s="511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6">
        <f xml:space="preserve"> (4*(0.2+0.25+1.92+0.33)) *3</f>
        <v>32.400000000000006</v>
      </c>
      <c r="H310" s="511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6">
        <f xml:space="preserve"> (4*(0.2+0.25+1.94+0.33)) * 3</f>
        <v>32.64</v>
      </c>
      <c r="H311" s="511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6">
        <f xml:space="preserve"> (4*(0.2+0.25+1.96+0.33)) * 5</f>
        <v>54.800000000000004</v>
      </c>
      <c r="H312" s="511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6">
        <f xml:space="preserve"> (4*(0.2+0.25+1.95+0.33)) * 6</f>
        <v>65.52</v>
      </c>
      <c r="H313" s="511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6">
        <f xml:space="preserve"> (4*(0.2+0.25+1.97+0.33)) * 3</f>
        <v>33</v>
      </c>
      <c r="H314" s="511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6">
        <f xml:space="preserve"> (4*(0.2+0.25+1.9+0.33)) * 3</f>
        <v>32.160000000000004</v>
      </c>
      <c r="H315" s="511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6">
        <f xml:space="preserve"> ((4*(0.2+0.25+1.86+0.33)) * 3)</f>
        <v>31.68</v>
      </c>
      <c r="H316" s="511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6">
        <f xml:space="preserve"> ((4*(0.2+0.25+1.87+0.33)) * 3)</f>
        <v>31.800000000000004</v>
      </c>
      <c r="H317" s="511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6">
        <f xml:space="preserve"> ((4*(0.2+0.25+1.9+0.33)) * 4)</f>
        <v>42.88</v>
      </c>
      <c r="H318" s="511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6">
        <f xml:space="preserve"> ((4*(0.2+0.25+1.91+0.33)) * 2)</f>
        <v>21.52</v>
      </c>
      <c r="H319" s="511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6">
        <f xml:space="preserve"> ((4*(0.2+0.25+1.94+0.33)) * 6)</f>
        <v>65.28</v>
      </c>
      <c r="H320" s="511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6">
        <f xml:space="preserve"> ((4*(0.2+0.25+1.92+0.33)) *3)</f>
        <v>32.400000000000006</v>
      </c>
      <c r="H321" s="511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6">
        <f xml:space="preserve"> ((4*(0.2+0.25+1.93+0.33)) *3)</f>
        <v>32.519999999999996</v>
      </c>
      <c r="H322" s="511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6">
        <f xml:space="preserve"> ((4*(0.2+0.25+1.87+0.33)) *4)</f>
        <v>42.400000000000006</v>
      </c>
      <c r="H323" s="511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6">
        <f xml:space="preserve"> ((4*(0.2+0.25+1.88+0.33)) *4)</f>
        <v>42.56</v>
      </c>
      <c r="H324" s="511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6">
        <f xml:space="preserve"> ((4*(0.2+0.25+1.9+0.33)) *4)</f>
        <v>42.88</v>
      </c>
      <c r="H325" s="511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6">
        <f>((4*(0.2+0.25+1.9+0.33))) + ((8*(0.2+0.25+1.9)))</f>
        <v>29.520000000000003</v>
      </c>
      <c r="H326" s="511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6">
        <f xml:space="preserve"> ((4*(0.2+0.25+1.97+0.33)) *2)</f>
        <v>22</v>
      </c>
      <c r="H327" s="511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6">
        <f xml:space="preserve"> ((4*(0.2+0.25+2+0.33)) *3)</f>
        <v>33.36</v>
      </c>
      <c r="H328" s="511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6">
        <f xml:space="preserve"> ((4*(0.2+0.25+2.01+0.33)) *7)</f>
        <v>78.12</v>
      </c>
      <c r="H329" s="511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6" t="s">
        <v>831</v>
      </c>
      <c r="H330" s="507"/>
      <c r="I330" s="508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09" t="s">
        <v>628</v>
      </c>
      <c r="H331" s="510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6">
        <f>((8*(0.2+0.25+1.86+0.42)))</f>
        <v>21.84</v>
      </c>
      <c r="H332" s="511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6">
        <f>((6*(0.2+0.25+1.87+0.42)))</f>
        <v>16.440000000000001</v>
      </c>
      <c r="H333" s="511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6">
        <f>((6*(0.2+0.25+1.89+0.42)))</f>
        <v>16.559999999999999</v>
      </c>
      <c r="H334" s="511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6">
        <f>((4*(0.2+0.25+1.9+0.42)))</f>
        <v>11.08</v>
      </c>
      <c r="H335" s="511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6">
        <f>((4*(0.2+0.25+1.92+0.42)))</f>
        <v>11.16</v>
      </c>
      <c r="H336" s="511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6">
        <f>((4*(0.2+0.25+1.9+0.42)))</f>
        <v>11.08</v>
      </c>
      <c r="H337" s="511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6">
        <f>((4*(0.2+0.25+1.98+0.42)))+(2*(0.2+0.25+1.98))</f>
        <v>16.260000000000002</v>
      </c>
      <c r="H338" s="511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09">
        <v>52.34</v>
      </c>
      <c r="H339" s="512"/>
      <c r="I339" s="51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6"/>
      <c r="H340" s="507"/>
      <c r="I340" s="508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6">
        <v>223.49</v>
      </c>
      <c r="H341" s="507"/>
      <c r="I341" s="508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09" t="s">
        <v>706</v>
      </c>
      <c r="H350" s="510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6">
        <f xml:space="preserve"> ((0.15+0.25)*2) *2</f>
        <v>1.6</v>
      </c>
      <c r="H351" s="511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6">
        <f xml:space="preserve"> ((0.2+0.25)*2) + ((0.2+0.3)*2)</f>
        <v>1.9</v>
      </c>
      <c r="H352" s="511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6">
        <f xml:space="preserve"> ((0.2+0.25)*2*3) + ((0.2+0.2)*2*1) + ((0.15+0.2)*2*1)</f>
        <v>4.2</v>
      </c>
      <c r="H353" s="511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6">
        <f xml:space="preserve"> ((0.2+0.25)*2*1) + ((0.15+0.25)*2*2)</f>
        <v>2.5</v>
      </c>
      <c r="H354" s="511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6">
        <f xml:space="preserve"> ((0.15+0.3)*2*3)</f>
        <v>2.6999999999999997</v>
      </c>
      <c r="H355" s="511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6">
        <f xml:space="preserve"> ((0.2+0.25)*2*3) + ((0.15+0.25)*2*2)</f>
        <v>4.3000000000000007</v>
      </c>
      <c r="H356" s="511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6">
        <f xml:space="preserve"> ((0.2+0.25)*2*3) + ((0.15+0.25)*2*2) +  ((0.2+0.3)*2*1)</f>
        <v>5.3000000000000007</v>
      </c>
      <c r="H357" s="511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6">
        <f xml:space="preserve"> ((0.2+0.25)*2*2) + ((0.15+0.25)*2*1)</f>
        <v>2.6</v>
      </c>
      <c r="H358" s="511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6">
        <f>((0.15+0.25)*2*3)</f>
        <v>2.4000000000000004</v>
      </c>
      <c r="H359" s="511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6">
        <f xml:space="preserve"> ((0.2+0.25)*2*1) + ((0.15+0.25)*2*1) +  ((0.2+0.35)*2*1)</f>
        <v>2.8000000000000003</v>
      </c>
      <c r="H360" s="511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6">
        <f xml:space="preserve"> ((0.2+0.25)*2*1) + ((0.15+0.3)*2*2)</f>
        <v>2.6999999999999997</v>
      </c>
      <c r="H361" s="511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6">
        <f xml:space="preserve"> ((0.2+0.3)*2*1) + ((0.15+0.3)*2*1) +  ((0.15+0.25)*2*1) + ((0.15+0.35)*2*1)</f>
        <v>3.7</v>
      </c>
      <c r="H362" s="511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6">
        <f xml:space="preserve"> ((0.15+0.25)*2*1) + ((0.2+0.3)*2*1)</f>
        <v>1.8</v>
      </c>
      <c r="H363" s="511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6">
        <f xml:space="preserve"> ((0.15+0.25)*2*5) + ((0.25+0.25)*2*1)</f>
        <v>5</v>
      </c>
      <c r="H364" s="511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6">
        <f xml:space="preserve"> ((0.2+0.25)*2*1) + ((0.15+0.25)*2*1) +  ((0.25+0.25)*2*1)</f>
        <v>2.7</v>
      </c>
      <c r="H365" s="511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6">
        <f xml:space="preserve"> ((0.15+0.25)*2*2) + ((0.25+0.25)*2*1)</f>
        <v>2.6</v>
      </c>
      <c r="H366" s="511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6">
        <f xml:space="preserve"> ((0.15+0.25)*2*2) + ((0.2+0.25)*2*2)</f>
        <v>3.4000000000000004</v>
      </c>
      <c r="H367" s="511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6">
        <f xml:space="preserve"> ((0.15+0.25)*2*3) + ((0.2+0.25)*2*1)</f>
        <v>3.3000000000000003</v>
      </c>
      <c r="H368" s="511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6">
        <f>((0.2+0.25)*2*3) + ((0.25+0.25)*2*1)</f>
        <v>3.7</v>
      </c>
      <c r="H369" s="511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6">
        <f>((0.2+0.2)*2*1)</f>
        <v>0.8</v>
      </c>
      <c r="H370" s="511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6">
        <f>((0.2+0.25)*2*1) + ((0.15+0.25)*2*1)</f>
        <v>1.7000000000000002</v>
      </c>
      <c r="H371" s="511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6">
        <f>((0.2+0.25)*2*1) + ((0.15+0.25)*2*2)</f>
        <v>2.5</v>
      </c>
      <c r="H372" s="511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6">
        <f xml:space="preserve"> ((0.2+0.3)*2*1) + ((0.15+0.25)*2*5) +  ((0.25+0.25)*2*1)</f>
        <v>6</v>
      </c>
      <c r="H373" s="511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6">
        <f>((0.15+0.3)*2*1)</f>
        <v>0.89999999999999991</v>
      </c>
      <c r="H374" s="511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6">
        <f>((0.15+0.5)*2*1)</f>
        <v>1.3</v>
      </c>
      <c r="H375" s="511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6">
        <f>((0.15+0.5)*2*1)</f>
        <v>1.3</v>
      </c>
      <c r="H376" s="511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6">
        <f>((0.15+0.25)*2*1)</f>
        <v>0.8</v>
      </c>
      <c r="H377" s="511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6">
        <f t="shared" ref="G378" si="18">((0.15+0.3)*2*1)</f>
        <v>0.89999999999999991</v>
      </c>
      <c r="H378" s="511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6">
        <f>((0.15+0.25)*2*1)</f>
        <v>0.8</v>
      </c>
      <c r="H379" s="511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6">
        <f>((0.15+0.3)*2*1)</f>
        <v>0.89999999999999991</v>
      </c>
      <c r="H380" s="511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09)'!K381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s="167" customFormat="1" ht="48.6" customHeight="1" x14ac:dyDescent="0.25">
      <c r="B384" s="203" t="s">
        <v>92</v>
      </c>
      <c r="C384" s="211">
        <v>92443</v>
      </c>
      <c r="D384" s="205" t="s">
        <v>94</v>
      </c>
      <c r="E384" s="206" t="s">
        <v>17</v>
      </c>
      <c r="F384" s="94">
        <v>1</v>
      </c>
      <c r="G384" s="104"/>
      <c r="H384" s="92"/>
      <c r="I384" s="105"/>
      <c r="J384" s="99">
        <f>'BOLETIM DE MEDIÇÃO 12'!T40-K384</f>
        <v>402.14</v>
      </c>
      <c r="K384" s="81">
        <f>G385</f>
        <v>8.8404000000000007</v>
      </c>
      <c r="L384" s="82">
        <f>J384+K384</f>
        <v>410.98039999999997</v>
      </c>
      <c r="M384" s="82">
        <f>'BOLETIM DE MEDIÇÃO 12'!G40</f>
        <v>410.98</v>
      </c>
      <c r="N384" s="86">
        <f>M384-L384</f>
        <v>-3.999999999564352E-4</v>
      </c>
    </row>
    <row r="385" spans="2:14" ht="14.45" customHeight="1" x14ac:dyDescent="0.25">
      <c r="B385" s="56"/>
      <c r="C385" s="60"/>
      <c r="D385" s="413" t="s">
        <v>1008</v>
      </c>
      <c r="E385" s="64"/>
      <c r="F385" s="94">
        <v>1</v>
      </c>
      <c r="G385" s="506">
        <v>8.8404000000000007</v>
      </c>
      <c r="H385" s="507"/>
      <c r="I385" s="508"/>
      <c r="J385" s="99"/>
      <c r="K385" s="82"/>
      <c r="L385" s="82"/>
      <c r="M385" s="82"/>
      <c r="N385" s="86"/>
    </row>
    <row r="386" spans="2:14" ht="40.15" customHeight="1" x14ac:dyDescent="0.25">
      <c r="B386" s="247" t="s">
        <v>95</v>
      </c>
      <c r="C386" s="248">
        <v>92480</v>
      </c>
      <c r="D386" s="402" t="s">
        <v>97</v>
      </c>
      <c r="E386" s="242" t="s">
        <v>17</v>
      </c>
      <c r="F386" s="243"/>
      <c r="G386" s="244"/>
      <c r="H386" s="403"/>
      <c r="I386" s="246"/>
      <c r="J386" s="249">
        <f>'BOLETIM DE MEDIÇÃO 12'!T41-'MEMORIAL DE CALCULO 09)'!K386</f>
        <v>331.92200000000003</v>
      </c>
      <c r="K386" s="250">
        <f>K387+K388</f>
        <v>107.89619999999999</v>
      </c>
      <c r="L386" s="251">
        <f t="shared" si="0"/>
        <v>439.81820000000005</v>
      </c>
      <c r="M386" s="251">
        <f>'BOLETIM DE MEDIÇÃO 05'!G41</f>
        <v>435.33</v>
      </c>
      <c r="N386" s="252">
        <f t="shared" si="1"/>
        <v>-4.488200000000063</v>
      </c>
    </row>
    <row r="387" spans="2:14" ht="18" customHeight="1" x14ac:dyDescent="0.25">
      <c r="B387" s="247"/>
      <c r="C387" s="404"/>
      <c r="D387" s="412" t="s">
        <v>1010</v>
      </c>
      <c r="E387" s="242"/>
      <c r="F387" s="243">
        <v>1</v>
      </c>
      <c r="G387" s="520">
        <v>92.376199999999997</v>
      </c>
      <c r="H387" s="590"/>
      <c r="I387" s="585"/>
      <c r="J387" s="249"/>
      <c r="K387" s="251">
        <f>G387</f>
        <v>92.376199999999997</v>
      </c>
      <c r="L387" s="251"/>
      <c r="M387" s="251"/>
      <c r="N387" s="252"/>
    </row>
    <row r="388" spans="2:14" ht="18" customHeight="1" x14ac:dyDescent="0.25">
      <c r="B388" s="247"/>
      <c r="C388" s="404"/>
      <c r="D388" s="412" t="s">
        <v>1009</v>
      </c>
      <c r="E388" s="242"/>
      <c r="F388" s="243">
        <v>1</v>
      </c>
      <c r="G388" s="520">
        <v>15.52</v>
      </c>
      <c r="H388" s="584"/>
      <c r="I388" s="585"/>
      <c r="J388" s="249"/>
      <c r="K388" s="251">
        <f>G388</f>
        <v>15.52</v>
      </c>
      <c r="L388" s="251"/>
      <c r="M388" s="251"/>
      <c r="N388" s="252"/>
    </row>
    <row r="389" spans="2:14" ht="24.6" customHeight="1" x14ac:dyDescent="0.25">
      <c r="B389" s="247" t="s">
        <v>98</v>
      </c>
      <c r="C389" s="248">
        <v>92267</v>
      </c>
      <c r="D389" s="402" t="s">
        <v>100</v>
      </c>
      <c r="E389" s="242"/>
      <c r="F389" s="243"/>
      <c r="G389" s="394"/>
      <c r="H389" s="242"/>
      <c r="I389" s="406"/>
      <c r="J389" s="249">
        <f>'BOLETIM DE MEDIÇÃO 12'!T42-'MEMORIAL DE CALCULO 09)'!K389</f>
        <v>72.858649999999997</v>
      </c>
      <c r="K389" s="250">
        <f>K390+K391</f>
        <v>57.966300000000004</v>
      </c>
      <c r="L389" s="251">
        <f>J389+K389</f>
        <v>130.82495</v>
      </c>
      <c r="M389" s="251">
        <f>'BOLETIM DE MEDIÇÃO 12'!G42</f>
        <v>130.82</v>
      </c>
      <c r="N389" s="252">
        <f>M389-L389</f>
        <v>-4.9500000000080036E-3</v>
      </c>
    </row>
    <row r="390" spans="2:14" ht="18" customHeight="1" x14ac:dyDescent="0.25">
      <c r="B390" s="247"/>
      <c r="C390" s="404"/>
      <c r="D390" s="412" t="s">
        <v>1011</v>
      </c>
      <c r="E390" s="242"/>
      <c r="F390" s="243">
        <v>1</v>
      </c>
      <c r="G390" s="520">
        <f>0.4*88.64</f>
        <v>35.456000000000003</v>
      </c>
      <c r="H390" s="591"/>
      <c r="I390" s="585"/>
      <c r="J390" s="249"/>
      <c r="K390" s="251">
        <f>G390</f>
        <v>35.456000000000003</v>
      </c>
      <c r="L390" s="251"/>
      <c r="M390" s="251"/>
      <c r="N390" s="252"/>
    </row>
    <row r="391" spans="2:14" ht="18" customHeight="1" x14ac:dyDescent="0.25">
      <c r="B391" s="247"/>
      <c r="C391" s="404"/>
      <c r="D391" s="412" t="s">
        <v>1012</v>
      </c>
      <c r="E391" s="242"/>
      <c r="F391" s="243">
        <v>1</v>
      </c>
      <c r="G391" s="520">
        <v>22.510300000000001</v>
      </c>
      <c r="H391" s="584"/>
      <c r="I391" s="585"/>
      <c r="J391" s="249"/>
      <c r="K391" s="251">
        <f>G391</f>
        <v>22.510300000000001</v>
      </c>
      <c r="L391" s="251"/>
      <c r="M391" s="251"/>
      <c r="N391" s="252"/>
    </row>
    <row r="392" spans="2:14" s="167" customFormat="1" ht="30.6" customHeight="1" x14ac:dyDescent="0.25">
      <c r="B392" s="49" t="s">
        <v>101</v>
      </c>
      <c r="C392" s="57">
        <v>92759</v>
      </c>
      <c r="D392" s="52" t="s">
        <v>103</v>
      </c>
      <c r="E392" s="64" t="s">
        <v>62</v>
      </c>
      <c r="F392" s="94"/>
      <c r="G392" s="104"/>
      <c r="H392" s="64"/>
      <c r="I392" s="105"/>
      <c r="J392" s="99">
        <f>'BOLETIM DE MEDIÇÃO 12'!T43-K392</f>
        <v>905.6037799999998</v>
      </c>
      <c r="K392" s="81">
        <f>K393</f>
        <v>130.6009</v>
      </c>
      <c r="L392" s="82">
        <f t="shared" si="0"/>
        <v>1036.2046799999998</v>
      </c>
      <c r="M392" s="82">
        <f>'BOLETIM DE MEDIÇÃO 05'!G43</f>
        <v>1027.8</v>
      </c>
      <c r="N392" s="86">
        <f t="shared" si="1"/>
        <v>-8.4046799999998711</v>
      </c>
    </row>
    <row r="393" spans="2:14" s="167" customFormat="1" ht="19.899999999999999" customHeight="1" x14ac:dyDescent="0.25">
      <c r="B393" s="49"/>
      <c r="C393" s="57"/>
      <c r="D393" s="344" t="s">
        <v>1013</v>
      </c>
      <c r="E393" s="64"/>
      <c r="F393" s="94">
        <v>1</v>
      </c>
      <c r="G393" s="506">
        <v>130.6009</v>
      </c>
      <c r="H393" s="507"/>
      <c r="I393" s="508"/>
      <c r="J393" s="99"/>
      <c r="K393" s="82">
        <f>F393*G393</f>
        <v>130.6009</v>
      </c>
      <c r="L393" s="82"/>
      <c r="M393" s="82"/>
      <c r="N393" s="86"/>
    </row>
    <row r="394" spans="2:14" s="167" customFormat="1" ht="33.6" hidden="1" customHeight="1" x14ac:dyDescent="0.25">
      <c r="B394" s="49" t="s">
        <v>104</v>
      </c>
      <c r="C394" s="57">
        <v>92760</v>
      </c>
      <c r="D394" s="52" t="s">
        <v>106</v>
      </c>
      <c r="E394" s="64" t="s">
        <v>62</v>
      </c>
      <c r="F394" s="94"/>
      <c r="G394" s="104"/>
      <c r="H394" s="64"/>
      <c r="I394" s="105"/>
      <c r="J394" s="99">
        <f>'BOLETIM DE MEDIÇÃO 05'!O44-'MEMORIAL DE CALCULO 09)'!K394</f>
        <v>7.82</v>
      </c>
      <c r="K394" s="82">
        <f>K395</f>
        <v>15.64</v>
      </c>
      <c r="L394" s="82">
        <f t="shared" ref="L394" si="19">J394+K394</f>
        <v>23.46</v>
      </c>
      <c r="M394" s="82">
        <f>'BOLETIM DE MEDIÇÃO 05'!G44</f>
        <v>39.1</v>
      </c>
      <c r="N394" s="86">
        <f t="shared" ref="N394" si="20">M394-L394</f>
        <v>15.64</v>
      </c>
    </row>
    <row r="395" spans="2:14" s="167" customFormat="1" ht="22.9" hidden="1" customHeight="1" x14ac:dyDescent="0.25">
      <c r="B395" s="49"/>
      <c r="C395" s="57"/>
      <c r="D395" s="294" t="s">
        <v>964</v>
      </c>
      <c r="E395" s="64"/>
      <c r="F395" s="94">
        <v>1</v>
      </c>
      <c r="G395" s="468">
        <f>0.4*39.1</f>
        <v>15.64</v>
      </c>
      <c r="H395" s="469"/>
      <c r="I395" s="470"/>
      <c r="J395" s="99"/>
      <c r="K395" s="82">
        <f>F395*G395</f>
        <v>15.64</v>
      </c>
      <c r="L395" s="82"/>
      <c r="M395" s="82"/>
      <c r="N395" s="86"/>
    </row>
    <row r="396" spans="2:14" s="167" customFormat="1" ht="30.6" customHeight="1" x14ac:dyDescent="0.25">
      <c r="B396" s="49" t="s">
        <v>107</v>
      </c>
      <c r="C396" s="57">
        <v>92761</v>
      </c>
      <c r="D396" s="52" t="s">
        <v>109</v>
      </c>
      <c r="E396" s="64" t="s">
        <v>62</v>
      </c>
      <c r="F396" s="94"/>
      <c r="G396" s="104"/>
      <c r="H396" s="64"/>
      <c r="I396" s="105"/>
      <c r="J396" s="99">
        <f>'BOLETIM DE MEDIÇÃO 12'!T45-K396</f>
        <v>852.63999999999987</v>
      </c>
      <c r="K396" s="81">
        <f>K397</f>
        <v>168.64</v>
      </c>
      <c r="L396" s="82">
        <f t="shared" si="0"/>
        <v>1021.2799999999999</v>
      </c>
      <c r="M396" s="82">
        <f>'BOLETIM DE MEDIÇÃO 05'!G45</f>
        <v>1000</v>
      </c>
      <c r="N396" s="86">
        <f t="shared" si="1"/>
        <v>-21.279999999999859</v>
      </c>
    </row>
    <row r="397" spans="2:14" s="167" customFormat="1" ht="22.9" customHeight="1" x14ac:dyDescent="0.25">
      <c r="B397" s="49"/>
      <c r="C397" s="57"/>
      <c r="D397" s="344" t="s">
        <v>1013</v>
      </c>
      <c r="E397" s="64"/>
      <c r="F397" s="94">
        <v>1</v>
      </c>
      <c r="G397" s="506">
        <v>168.64</v>
      </c>
      <c r="H397" s="507"/>
      <c r="I397" s="508"/>
      <c r="J397" s="99"/>
      <c r="K397" s="82">
        <f>F397*G397</f>
        <v>168.64</v>
      </c>
      <c r="L397" s="82"/>
      <c r="M397" s="82"/>
      <c r="N397" s="86"/>
    </row>
    <row r="398" spans="2:14" s="167" customFormat="1" ht="30.6" customHeight="1" x14ac:dyDescent="0.25">
      <c r="B398" s="49" t="s">
        <v>110</v>
      </c>
      <c r="C398" s="57">
        <v>92762</v>
      </c>
      <c r="D398" s="52" t="s">
        <v>112</v>
      </c>
      <c r="E398" s="64" t="s">
        <v>62</v>
      </c>
      <c r="F398" s="94"/>
      <c r="G398" s="104"/>
      <c r="H398" s="64"/>
      <c r="I398" s="105"/>
      <c r="J398" s="99">
        <f>'BOLETIM DE MEDIÇÃO 12'!T46-K398</f>
        <v>1303.8771200000001</v>
      </c>
      <c r="K398" s="81">
        <f>K399</f>
        <v>11.700799999999999</v>
      </c>
      <c r="L398" s="82">
        <f t="shared" si="0"/>
        <v>1315.5779200000002</v>
      </c>
      <c r="M398" s="82">
        <f>'BOLETIM DE MEDIÇÃO 05'!G46</f>
        <v>1306.0999999999999</v>
      </c>
      <c r="N398" s="86">
        <f t="shared" si="1"/>
        <v>-9.4779200000002675</v>
      </c>
    </row>
    <row r="399" spans="2:14" s="167" customFormat="1" ht="19.899999999999999" customHeight="1" x14ac:dyDescent="0.25">
      <c r="B399" s="49"/>
      <c r="C399" s="57"/>
      <c r="D399" s="344" t="s">
        <v>1013</v>
      </c>
      <c r="E399" s="64"/>
      <c r="F399" s="105">
        <v>1</v>
      </c>
      <c r="G399" s="506">
        <v>11.700799999999999</v>
      </c>
      <c r="H399" s="507"/>
      <c r="I399" s="508"/>
      <c r="J399" s="99"/>
      <c r="K399" s="82">
        <f>F399*G399</f>
        <v>11.700799999999999</v>
      </c>
      <c r="L399" s="82"/>
      <c r="M399" s="82"/>
      <c r="N399" s="86"/>
    </row>
    <row r="400" spans="2:14" s="167" customFormat="1" ht="19.899999999999999" customHeight="1" x14ac:dyDescent="0.25">
      <c r="B400" s="203" t="s">
        <v>113</v>
      </c>
      <c r="C400" s="211">
        <v>92763</v>
      </c>
      <c r="D400" s="205" t="s">
        <v>115</v>
      </c>
      <c r="E400" s="206" t="s">
        <v>62</v>
      </c>
      <c r="F400" s="105"/>
      <c r="G400" s="374"/>
      <c r="H400" s="374"/>
      <c r="I400" s="318"/>
      <c r="J400" s="99">
        <f>'BOLETIM DE MEDIÇÃO 12'!T47-K400</f>
        <v>161.6</v>
      </c>
      <c r="K400" s="81">
        <f>K401</f>
        <v>6.6020000000000003</v>
      </c>
      <c r="L400" s="82">
        <f>J400+K400</f>
        <v>168.202</v>
      </c>
      <c r="M400" s="82">
        <f>'BOLETIM DE MEDIÇÃO 12'!G47</f>
        <v>168.2</v>
      </c>
      <c r="N400" s="86">
        <f t="shared" si="1"/>
        <v>-2.0000000000095497E-3</v>
      </c>
    </row>
    <row r="401" spans="2:15" s="167" customFormat="1" ht="19.899999999999999" customHeight="1" x14ac:dyDescent="0.25">
      <c r="B401" s="203"/>
      <c r="C401" s="211"/>
      <c r="D401" s="205" t="s">
        <v>1008</v>
      </c>
      <c r="E401" s="206"/>
      <c r="F401" s="105">
        <v>1</v>
      </c>
      <c r="G401" s="506">
        <v>6.6020000000000003</v>
      </c>
      <c r="H401" s="507"/>
      <c r="I401" s="508"/>
      <c r="J401" s="99"/>
      <c r="K401" s="82">
        <f>G401</f>
        <v>6.6020000000000003</v>
      </c>
      <c r="L401" s="82"/>
      <c r="M401" s="82"/>
      <c r="N401" s="86"/>
    </row>
    <row r="402" spans="2:15" s="167" customFormat="1" ht="33.75" x14ac:dyDescent="0.25">
      <c r="B402" s="49" t="s">
        <v>116</v>
      </c>
      <c r="C402" s="57">
        <v>92768</v>
      </c>
      <c r="D402" s="52" t="s">
        <v>118</v>
      </c>
      <c r="E402" s="64" t="s">
        <v>62</v>
      </c>
      <c r="F402" s="105"/>
      <c r="G402" s="99"/>
      <c r="H402" s="64"/>
      <c r="I402" s="105"/>
      <c r="J402" s="99">
        <f>'BOLETIM DE MEDIÇÃO 12'!T48-'MEMORIAL DE CALCULO 09)'!K402</f>
        <v>177.17999999999998</v>
      </c>
      <c r="K402" s="81">
        <f>K403</f>
        <v>28.2</v>
      </c>
      <c r="L402" s="82">
        <f t="shared" si="0"/>
        <v>205.37999999999997</v>
      </c>
      <c r="M402" s="82">
        <f>'BOLETIM DE MEDIÇÃO 05'!G48</f>
        <v>158.69999999999999</v>
      </c>
      <c r="N402" s="86">
        <f t="shared" si="1"/>
        <v>-46.679999999999978</v>
      </c>
    </row>
    <row r="403" spans="2:15" s="167" customFormat="1" x14ac:dyDescent="0.25">
      <c r="B403" s="49"/>
      <c r="C403" s="57"/>
      <c r="D403" s="411" t="s">
        <v>969</v>
      </c>
      <c r="E403" s="64"/>
      <c r="F403" s="105">
        <v>1</v>
      </c>
      <c r="G403" s="506">
        <v>28.2</v>
      </c>
      <c r="H403" s="507"/>
      <c r="I403" s="508"/>
      <c r="J403" s="99"/>
      <c r="K403" s="82">
        <f>F403*G403</f>
        <v>28.2</v>
      </c>
      <c r="L403" s="82"/>
      <c r="M403" s="82"/>
      <c r="N403" s="86"/>
    </row>
    <row r="404" spans="2:15" s="167" customFormat="1" ht="33.75" x14ac:dyDescent="0.25">
      <c r="B404" s="49" t="s">
        <v>119</v>
      </c>
      <c r="C404" s="57">
        <v>92769</v>
      </c>
      <c r="D404" s="52" t="s">
        <v>121</v>
      </c>
      <c r="E404" s="64" t="s">
        <v>62</v>
      </c>
      <c r="F404" s="105"/>
      <c r="G404" s="99"/>
      <c r="H404" s="64"/>
      <c r="I404" s="105"/>
      <c r="J404" s="99">
        <f>'BOLETIM DE MEDIÇÃO 12'!T49-'MEMORIAL DE CALCULO 09)'!K404</f>
        <v>165.83199999999999</v>
      </c>
      <c r="K404" s="81">
        <f>K405</f>
        <v>12.9002</v>
      </c>
      <c r="L404" s="82">
        <f t="shared" si="0"/>
        <v>178.73220000000001</v>
      </c>
      <c r="M404" s="82">
        <f>'BOLETIM DE MEDIÇÃO 05'!G49</f>
        <v>170.5</v>
      </c>
      <c r="N404" s="86">
        <f t="shared" si="1"/>
        <v>-8.232200000000006</v>
      </c>
    </row>
    <row r="405" spans="2:15" s="167" customFormat="1" x14ac:dyDescent="0.25">
      <c r="B405" s="49"/>
      <c r="C405" s="57"/>
      <c r="D405" s="411" t="s">
        <v>969</v>
      </c>
      <c r="E405" s="64"/>
      <c r="F405" s="105">
        <v>1</v>
      </c>
      <c r="G405" s="506">
        <v>12.9002</v>
      </c>
      <c r="H405" s="507"/>
      <c r="I405" s="508"/>
      <c r="J405" s="99"/>
      <c r="K405" s="82">
        <f>F405*G405</f>
        <v>12.9002</v>
      </c>
      <c r="L405" s="82"/>
      <c r="M405" s="82"/>
      <c r="N405" s="86"/>
    </row>
    <row r="406" spans="2:15" s="167" customFormat="1" ht="33.75" x14ac:dyDescent="0.25">
      <c r="B406" s="49" t="s">
        <v>122</v>
      </c>
      <c r="C406" s="57">
        <v>92770</v>
      </c>
      <c r="D406" s="52" t="s">
        <v>124</v>
      </c>
      <c r="E406" s="64" t="s">
        <v>62</v>
      </c>
      <c r="F406" s="105"/>
      <c r="G406" s="99"/>
      <c r="H406" s="64"/>
      <c r="I406" s="105"/>
      <c r="J406" s="99">
        <f>'BOLETIM DE MEDIÇÃO 12'!T50-'MEMORIAL DE CALCULO 09)'!K406</f>
        <v>259</v>
      </c>
      <c r="K406" s="81">
        <f>K407</f>
        <v>20.100899999999999</v>
      </c>
      <c r="L406" s="82">
        <f t="shared" si="0"/>
        <v>279.10090000000002</v>
      </c>
      <c r="M406" s="82">
        <f>'BOLETIM DE MEDIÇÃO 05'!G50</f>
        <v>279.10000000000002</v>
      </c>
      <c r="N406" s="86">
        <f t="shared" si="1"/>
        <v>-9.0000000000145519E-4</v>
      </c>
    </row>
    <row r="407" spans="2:15" s="167" customFormat="1" ht="18" customHeight="1" x14ac:dyDescent="0.25">
      <c r="B407" s="49"/>
      <c r="C407" s="57"/>
      <c r="D407" s="411" t="s">
        <v>969</v>
      </c>
      <c r="E407" s="64"/>
      <c r="F407" s="105">
        <v>1</v>
      </c>
      <c r="G407" s="506">
        <v>20.100899999999999</v>
      </c>
      <c r="H407" s="507"/>
      <c r="I407" s="508"/>
      <c r="J407" s="99"/>
      <c r="K407" s="82">
        <f>F407*G407</f>
        <v>20.100899999999999</v>
      </c>
      <c r="L407" s="82"/>
      <c r="M407" s="82"/>
      <c r="N407" s="86"/>
    </row>
    <row r="408" spans="2:15" s="167" customFormat="1" ht="33.75" x14ac:dyDescent="0.25">
      <c r="B408" s="49" t="s">
        <v>125</v>
      </c>
      <c r="C408" s="57">
        <v>94966</v>
      </c>
      <c r="D408" s="52" t="s">
        <v>65</v>
      </c>
      <c r="E408" s="64" t="s">
        <v>41</v>
      </c>
      <c r="F408" s="105"/>
      <c r="G408" s="99"/>
      <c r="H408" s="64"/>
      <c r="I408" s="105"/>
      <c r="J408" s="99">
        <f>'BOLETIM DE MEDIÇÃO 12'!T51-'MEMORIAL DE CALCULO 09)'!K408</f>
        <v>71.628424999999979</v>
      </c>
      <c r="K408" s="81">
        <f>SUM(K409:K409)</f>
        <v>10.02003</v>
      </c>
      <c r="L408" s="82">
        <f t="shared" si="0"/>
        <v>81.648454999999984</v>
      </c>
      <c r="M408" s="82">
        <f>'BOLETIM DE MEDIÇÃO 05'!G51</f>
        <v>61.56</v>
      </c>
      <c r="N408" s="86">
        <f t="shared" si="1"/>
        <v>-20.088454999999982</v>
      </c>
    </row>
    <row r="409" spans="2:15" ht="19.149999999999999" customHeight="1" x14ac:dyDescent="0.25">
      <c r="B409" s="247"/>
      <c r="C409" s="248"/>
      <c r="D409" s="344" t="s">
        <v>1013</v>
      </c>
      <c r="E409" s="242"/>
      <c r="F409" s="246">
        <v>1</v>
      </c>
      <c r="G409" s="586">
        <v>10.02003</v>
      </c>
      <c r="H409" s="586"/>
      <c r="I409" s="587"/>
      <c r="J409" s="249"/>
      <c r="K409" s="251">
        <f t="shared" ref="K409" si="21">F409*G409</f>
        <v>10.02003</v>
      </c>
      <c r="L409" s="251"/>
      <c r="M409" s="251"/>
      <c r="N409" s="252"/>
    </row>
    <row r="410" spans="2:15" ht="22.5" x14ac:dyDescent="0.25">
      <c r="B410" s="247" t="s">
        <v>126</v>
      </c>
      <c r="C410" s="248">
        <v>103670</v>
      </c>
      <c r="D410" s="402" t="s">
        <v>71</v>
      </c>
      <c r="E410" s="242" t="s">
        <v>41</v>
      </c>
      <c r="F410" s="246"/>
      <c r="G410" s="249"/>
      <c r="H410" s="403"/>
      <c r="I410" s="246"/>
      <c r="J410" s="249">
        <f>'BOLETIM DE MEDIÇÃO 05'!O52-'MEMORIAL DE CALCULO 09)'!K410</f>
        <v>9.4099000099999994</v>
      </c>
      <c r="K410" s="250">
        <f>G411</f>
        <v>10.02009999</v>
      </c>
      <c r="L410" s="251">
        <f t="shared" si="0"/>
        <v>19.43</v>
      </c>
      <c r="M410" s="251">
        <f>'BOLETIM DE MEDIÇÃO 05'!G52</f>
        <v>61.56</v>
      </c>
      <c r="N410" s="252">
        <f t="shared" si="1"/>
        <v>42.13</v>
      </c>
    </row>
    <row r="411" spans="2:15" x14ac:dyDescent="0.25">
      <c r="B411" s="247"/>
      <c r="C411" s="404"/>
      <c r="D411" s="415" t="s">
        <v>932</v>
      </c>
      <c r="E411" s="242"/>
      <c r="F411" s="243">
        <v>1</v>
      </c>
      <c r="G411" s="586">
        <v>10.02009999</v>
      </c>
      <c r="H411" s="586"/>
      <c r="I411" s="587"/>
      <c r="J411" s="249"/>
      <c r="K411" s="251">
        <f>F411*G411</f>
        <v>10.02009999</v>
      </c>
      <c r="L411" s="251"/>
      <c r="M411" s="251"/>
      <c r="N411" s="252"/>
    </row>
    <row r="412" spans="2:15" ht="33.75" x14ac:dyDescent="0.25">
      <c r="B412" s="247" t="s">
        <v>127</v>
      </c>
      <c r="C412" s="248">
        <v>92771</v>
      </c>
      <c r="D412" s="402" t="s">
        <v>129</v>
      </c>
      <c r="E412" s="242" t="s">
        <v>62</v>
      </c>
      <c r="F412" s="243"/>
      <c r="G412" s="244"/>
      <c r="H412" s="403"/>
      <c r="I412" s="246"/>
      <c r="J412" s="249">
        <f>'BOLETIM DE MEDIÇÃO 12'!T53-'MEMORIAL DE CALCULO 09)'!K412</f>
        <v>312.29999999999995</v>
      </c>
      <c r="K412" s="250">
        <f>K413</f>
        <v>94.6</v>
      </c>
      <c r="L412" s="251">
        <f t="shared" si="0"/>
        <v>406.9</v>
      </c>
      <c r="M412" s="251">
        <f>'BOLETIM DE MEDIÇÃO 05'!G53</f>
        <v>312.3</v>
      </c>
      <c r="N412" s="252">
        <f t="shared" si="1"/>
        <v>-94.599999999999966</v>
      </c>
    </row>
    <row r="413" spans="2:15" ht="18" customHeight="1" x14ac:dyDescent="0.25">
      <c r="B413" s="247"/>
      <c r="C413" s="248"/>
      <c r="D413" s="412" t="s">
        <v>969</v>
      </c>
      <c r="E413" s="242"/>
      <c r="F413" s="246">
        <v>1</v>
      </c>
      <c r="G413" s="520">
        <v>94.6</v>
      </c>
      <c r="H413" s="584"/>
      <c r="I413" s="585"/>
      <c r="J413" s="249"/>
      <c r="K413" s="251">
        <f>G413</f>
        <v>94.6</v>
      </c>
      <c r="L413" s="251"/>
      <c r="M413" s="251"/>
      <c r="N413" s="252"/>
    </row>
    <row r="414" spans="2:15" ht="33.75" hidden="1" x14ac:dyDescent="0.25">
      <c r="B414" s="363" t="s">
        <v>130</v>
      </c>
      <c r="C414" s="364">
        <v>92772</v>
      </c>
      <c r="D414" s="401" t="s">
        <v>132</v>
      </c>
      <c r="E414" s="366" t="s">
        <v>62</v>
      </c>
      <c r="F414" s="367"/>
      <c r="G414" s="397"/>
      <c r="H414" s="366"/>
      <c r="I414" s="372"/>
      <c r="J414" s="368">
        <f>'BOLETIM DE MEDIÇÃO 12'!T54-'MEMORIAL DE CALCULO 09)'!K414</f>
        <v>154.80000000000001</v>
      </c>
      <c r="K414" s="369"/>
      <c r="L414" s="369">
        <f t="shared" si="0"/>
        <v>154.80000000000001</v>
      </c>
      <c r="M414" s="369">
        <f>'BOLETIM DE MEDIÇÃO 05'!G54</f>
        <v>154.80000000000001</v>
      </c>
      <c r="N414" s="370">
        <f t="shared" si="1"/>
        <v>0</v>
      </c>
      <c r="O414" s="371"/>
    </row>
    <row r="415" spans="2:15" ht="18" hidden="1" customHeight="1" x14ac:dyDescent="0.25">
      <c r="B415" s="363"/>
      <c r="C415" s="364"/>
      <c r="D415" s="365" t="s">
        <v>958</v>
      </c>
      <c r="E415" s="366"/>
      <c r="F415" s="372">
        <v>1</v>
      </c>
      <c r="G415" s="554">
        <v>154.80000000000001</v>
      </c>
      <c r="H415" s="555"/>
      <c r="I415" s="556"/>
      <c r="J415" s="368"/>
      <c r="K415" s="369"/>
      <c r="L415" s="369"/>
      <c r="M415" s="369"/>
      <c r="N415" s="370"/>
      <c r="O415" s="371"/>
    </row>
    <row r="416" spans="2:15" ht="18" hidden="1" customHeight="1" x14ac:dyDescent="0.25">
      <c r="B416" s="363"/>
      <c r="C416" s="364"/>
      <c r="D416" s="365"/>
      <c r="E416" s="366"/>
      <c r="F416" s="372"/>
      <c r="G416" s="388"/>
      <c r="H416" s="388"/>
      <c r="I416" s="389"/>
      <c r="J416" s="368"/>
      <c r="K416" s="369"/>
      <c r="L416" s="369"/>
      <c r="M416" s="369"/>
      <c r="N416" s="370"/>
      <c r="O416" s="371"/>
    </row>
    <row r="417" spans="2:14" ht="18" customHeight="1" x14ac:dyDescent="0.25">
      <c r="B417" s="212">
        <v>1.5</v>
      </c>
      <c r="C417" s="213" t="s">
        <v>134</v>
      </c>
      <c r="D417" s="205"/>
      <c r="E417" s="206"/>
      <c r="F417" s="123"/>
      <c r="G417" s="374"/>
      <c r="H417" s="374"/>
      <c r="I417" s="318"/>
      <c r="J417" s="99"/>
      <c r="K417" s="82"/>
      <c r="L417" s="82"/>
      <c r="M417" s="82"/>
      <c r="N417" s="86"/>
    </row>
    <row r="418" spans="2:14" ht="46.15" customHeight="1" x14ac:dyDescent="0.25">
      <c r="B418" s="384" t="s">
        <v>135</v>
      </c>
      <c r="C418" s="385">
        <v>103356</v>
      </c>
      <c r="D418" s="386" t="s">
        <v>137</v>
      </c>
      <c r="E418" s="387" t="s">
        <v>17</v>
      </c>
      <c r="F418" s="395"/>
      <c r="G418" s="374"/>
      <c r="H418" s="374"/>
      <c r="I418" s="318"/>
      <c r="J418" s="99">
        <f>'BOLETIM DE MEDIÇÃO 12'!T56-'MEMORIAL DE CALCULO 09)'!K418</f>
        <v>1196.3104999999998</v>
      </c>
      <c r="K418" s="81">
        <f>K419</f>
        <v>46.31</v>
      </c>
      <c r="L418" s="82">
        <f>J418+K418</f>
        <v>1242.6204999999998</v>
      </c>
      <c r="M418" s="82">
        <f>'BOLETIM DE MEDIÇÃO 12'!G56</f>
        <v>1242.6199999999999</v>
      </c>
      <c r="N418" s="86">
        <f>M418-L418</f>
        <v>-4.9999999987448973E-4</v>
      </c>
    </row>
    <row r="419" spans="2:14" ht="22.9" customHeight="1" x14ac:dyDescent="0.25">
      <c r="B419" s="49"/>
      <c r="C419" s="57"/>
      <c r="D419" s="144" t="s">
        <v>1015</v>
      </c>
      <c r="E419" s="64"/>
      <c r="F419" s="105">
        <v>1</v>
      </c>
      <c r="G419" s="506">
        <v>46.31</v>
      </c>
      <c r="H419" s="507"/>
      <c r="I419" s="508"/>
      <c r="J419" s="99"/>
      <c r="K419" s="82">
        <f>G419</f>
        <v>46.31</v>
      </c>
      <c r="L419" s="82"/>
      <c r="M419" s="82"/>
      <c r="N419" s="86"/>
    </row>
    <row r="420" spans="2:14" ht="14.45" customHeight="1" x14ac:dyDescent="0.25">
      <c r="B420" s="56">
        <v>1.6</v>
      </c>
      <c r="C420" s="60" t="s">
        <v>148</v>
      </c>
      <c r="D420" s="52"/>
      <c r="E420" s="64"/>
      <c r="F420" s="105"/>
      <c r="G420" s="99"/>
      <c r="H420" s="64"/>
      <c r="I420" s="105"/>
      <c r="J420" s="99">
        <f>'BOLETIM DE MEDIÇÃO 12'!T74-'MEMORIAL DE CALCULO 09)'!K420</f>
        <v>0</v>
      </c>
      <c r="K420" s="82"/>
      <c r="L420" s="82"/>
      <c r="M420" s="82"/>
      <c r="N420" s="86"/>
    </row>
    <row r="421" spans="2:14" ht="56.25" x14ac:dyDescent="0.25">
      <c r="B421" s="49" t="s">
        <v>152</v>
      </c>
      <c r="C421" s="57">
        <v>87548</v>
      </c>
      <c r="D421" s="52" t="s">
        <v>154</v>
      </c>
      <c r="E421" s="64" t="s">
        <v>17</v>
      </c>
      <c r="F421" s="105"/>
      <c r="G421" s="99"/>
      <c r="H421" s="64"/>
      <c r="I421" s="105"/>
      <c r="J421" s="99">
        <f>'BOLETIM DE MEDIÇÃO 12'!T75-'MEMORIAL DE CALCULO 09)'!K421</f>
        <v>-55.980000000000018</v>
      </c>
      <c r="K421" s="81">
        <f>K422</f>
        <v>697.98</v>
      </c>
      <c r="L421" s="82">
        <f t="shared" si="0"/>
        <v>642</v>
      </c>
      <c r="M421" s="82">
        <f>'BOLETIM DE MEDIÇÃO 05'!G62</f>
        <v>997.11</v>
      </c>
      <c r="N421" s="86">
        <f t="shared" si="1"/>
        <v>355.11</v>
      </c>
    </row>
    <row r="422" spans="2:14" x14ac:dyDescent="0.25">
      <c r="B422" s="49"/>
      <c r="C422" s="57"/>
      <c r="D422" s="344" t="s">
        <v>972</v>
      </c>
      <c r="E422" s="64"/>
      <c r="F422" s="105">
        <v>1</v>
      </c>
      <c r="G422" s="506">
        <v>697.98</v>
      </c>
      <c r="H422" s="507"/>
      <c r="I422" s="508"/>
      <c r="J422" s="99">
        <f>'BOLETIM DE MEDIÇÃO 12'!T76-'MEMORIAL DE CALCULO 09)'!K422</f>
        <v>-697.98</v>
      </c>
      <c r="K422" s="82">
        <f>F422*G422</f>
        <v>697.98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>
        <f>'BOLETIM DE MEDIÇÃO 12'!T77-'MEMORIAL DE CALCULO 09)'!K423</f>
        <v>0</v>
      </c>
      <c r="K423" s="82"/>
      <c r="L423" s="82"/>
      <c r="M423" s="82"/>
      <c r="N423" s="86"/>
    </row>
    <row r="424" spans="2:14" ht="56.25" x14ac:dyDescent="0.25">
      <c r="B424" s="49" t="s">
        <v>155</v>
      </c>
      <c r="C424" s="57">
        <v>87536</v>
      </c>
      <c r="D424" s="52" t="s">
        <v>157</v>
      </c>
      <c r="E424" s="64" t="s">
        <v>17</v>
      </c>
      <c r="F424" s="105"/>
      <c r="G424" s="374"/>
      <c r="H424" s="374"/>
      <c r="I424" s="318"/>
      <c r="J424" s="99">
        <f>'BOLETIM DE MEDIÇÃO 12'!T78-'MEMORIAL DE CALCULO 09)'!K424</f>
        <v>-351.87</v>
      </c>
      <c r="K424" s="81">
        <f>K425</f>
        <v>351.87</v>
      </c>
      <c r="L424" s="82">
        <f>J424+K424</f>
        <v>0</v>
      </c>
      <c r="M424" s="82">
        <f>'BOLETIM DE MEDIÇÃO 12'!G63</f>
        <v>351.87</v>
      </c>
      <c r="N424" s="86">
        <f>M424-L424</f>
        <v>351.87</v>
      </c>
    </row>
    <row r="425" spans="2:14" x14ac:dyDescent="0.25">
      <c r="B425" s="49"/>
      <c r="C425" s="57"/>
      <c r="D425" s="344" t="s">
        <v>972</v>
      </c>
      <c r="E425" s="64"/>
      <c r="F425" s="105">
        <v>1</v>
      </c>
      <c r="G425" s="506">
        <v>351.87</v>
      </c>
      <c r="H425" s="507"/>
      <c r="I425" s="508"/>
      <c r="J425" s="99">
        <f>'BOLETIM DE MEDIÇÃO 12'!T79-'MEMORIAL DE CALCULO 09)'!K425</f>
        <v>-351.87</v>
      </c>
      <c r="K425" s="82">
        <f>F425*G425</f>
        <v>351.87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>
        <f>'BOLETIM DE MEDIÇÃO 12'!T80-'MEMORIAL DE CALCULO 09)'!K426</f>
        <v>0</v>
      </c>
      <c r="K426" s="82"/>
      <c r="L426" s="82"/>
      <c r="M426" s="82"/>
      <c r="N426" s="86"/>
    </row>
    <row r="427" spans="2:14" x14ac:dyDescent="0.25">
      <c r="B427" s="347" t="s">
        <v>208</v>
      </c>
      <c r="C427" s="348" t="s">
        <v>209</v>
      </c>
      <c r="D427" s="344"/>
      <c r="E427" s="64"/>
      <c r="F427" s="105"/>
      <c r="G427" s="374"/>
      <c r="H427" s="374"/>
      <c r="I427" s="318"/>
      <c r="J427" s="99"/>
      <c r="K427" s="82"/>
      <c r="L427" s="82"/>
      <c r="M427" s="82"/>
      <c r="N427" s="86"/>
    </row>
    <row r="428" spans="2:14" ht="45" x14ac:dyDescent="0.25">
      <c r="B428" s="203" t="s">
        <v>210</v>
      </c>
      <c r="C428" s="211">
        <v>87894</v>
      </c>
      <c r="D428" s="205" t="s">
        <v>212</v>
      </c>
      <c r="E428" s="64"/>
      <c r="F428" s="105"/>
      <c r="G428" s="374"/>
      <c r="H428" s="374"/>
      <c r="I428" s="318"/>
      <c r="J428" s="99">
        <f>'BOLETIM DE MEDIÇÃO 12'!T82-'MEMORIAL DE CALCULO 09)'!K428</f>
        <v>420.44</v>
      </c>
      <c r="K428" s="81">
        <f>K429</f>
        <v>45.930999999999997</v>
      </c>
      <c r="L428" s="82">
        <f>J428+K428</f>
        <v>466.37099999999998</v>
      </c>
      <c r="M428" s="82">
        <f>'BOLETIM DE MEDIÇÃO 12'!G83</f>
        <v>466.37</v>
      </c>
      <c r="N428" s="86">
        <f>M428-L428</f>
        <v>-9.9999999997635314E-4</v>
      </c>
    </row>
    <row r="429" spans="2:14" x14ac:dyDescent="0.25">
      <c r="B429" s="49"/>
      <c r="C429" s="57"/>
      <c r="D429" s="344" t="s">
        <v>1013</v>
      </c>
      <c r="E429" s="64"/>
      <c r="F429" s="105">
        <v>1</v>
      </c>
      <c r="G429" s="506">
        <v>45.930999999999997</v>
      </c>
      <c r="H429" s="507"/>
      <c r="I429" s="508"/>
      <c r="J429" s="99"/>
      <c r="K429" s="82">
        <f>F429*G429</f>
        <v>45.930999999999997</v>
      </c>
      <c r="L429" s="82"/>
      <c r="M429" s="82"/>
      <c r="N429" s="86"/>
    </row>
    <row r="430" spans="2:14" ht="56.25" x14ac:dyDescent="0.25">
      <c r="B430" s="247" t="s">
        <v>213</v>
      </c>
      <c r="C430" s="385">
        <v>104233</v>
      </c>
      <c r="D430" s="386" t="s">
        <v>215</v>
      </c>
      <c r="E430" s="277" t="s">
        <v>17</v>
      </c>
      <c r="F430" s="105"/>
      <c r="G430" s="416"/>
      <c r="H430" s="390"/>
      <c r="I430" s="417"/>
      <c r="J430" s="99">
        <f>'BOLETIM DE MEDIÇÃO 12'!T83-'MEMORIAL DE CALCULO 09)'!K430</f>
        <v>278.39999999999998</v>
      </c>
      <c r="K430" s="81">
        <f>SUM(K431:K435)</f>
        <v>187.97049999999999</v>
      </c>
      <c r="L430" s="82">
        <f t="shared" ref="L430" si="22">J430+K430</f>
        <v>466.37049999999999</v>
      </c>
      <c r="M430" s="82">
        <f>'BOLETIM DE MEDIÇÃO 12'!G83</f>
        <v>466.37</v>
      </c>
      <c r="N430" s="86">
        <f t="shared" ref="N430" si="23">M430-L430</f>
        <v>-4.9999999998817657E-4</v>
      </c>
    </row>
    <row r="431" spans="2:14" x14ac:dyDescent="0.25">
      <c r="B431" s="49"/>
      <c r="C431" s="57"/>
      <c r="D431" s="344" t="s">
        <v>1013</v>
      </c>
      <c r="E431" s="64"/>
      <c r="F431" s="105">
        <v>1</v>
      </c>
      <c r="G431" s="506">
        <v>187.97049999999999</v>
      </c>
      <c r="H431" s="507"/>
      <c r="I431" s="508"/>
      <c r="J431" s="99"/>
      <c r="K431" s="82">
        <f>G431</f>
        <v>187.97049999999999</v>
      </c>
      <c r="L431" s="82"/>
      <c r="M431" s="82"/>
      <c r="N431" s="86"/>
    </row>
    <row r="432" spans="2:14" hidden="1" x14ac:dyDescent="0.25">
      <c r="B432" s="49"/>
      <c r="C432" s="57"/>
      <c r="D432" s="319" t="s">
        <v>996</v>
      </c>
      <c r="E432" s="64"/>
      <c r="F432" s="105"/>
      <c r="G432" s="374">
        <v>2.6</v>
      </c>
      <c r="H432" s="374"/>
      <c r="I432" s="105">
        <v>2.1</v>
      </c>
      <c r="J432" s="99"/>
      <c r="K432" s="82">
        <f t="shared" ref="K432:K435" si="24">F432*G432*I432</f>
        <v>0</v>
      </c>
      <c r="L432" s="82"/>
      <c r="M432" s="82"/>
      <c r="N432" s="86"/>
    </row>
    <row r="433" spans="2:14" hidden="1" x14ac:dyDescent="0.25">
      <c r="B433" s="49"/>
      <c r="C433" s="57"/>
      <c r="D433" s="319" t="s">
        <v>997</v>
      </c>
      <c r="E433" s="64"/>
      <c r="F433" s="105"/>
      <c r="G433" s="374">
        <v>0.8</v>
      </c>
      <c r="H433" s="374"/>
      <c r="I433" s="105">
        <v>2.1</v>
      </c>
      <c r="J433" s="99"/>
      <c r="K433" s="82">
        <f t="shared" si="24"/>
        <v>0</v>
      </c>
      <c r="L433" s="82"/>
      <c r="M433" s="82"/>
      <c r="N433" s="86"/>
    </row>
    <row r="434" spans="2:14" hidden="1" x14ac:dyDescent="0.25">
      <c r="B434" s="49"/>
      <c r="C434" s="57"/>
      <c r="D434" s="319" t="s">
        <v>998</v>
      </c>
      <c r="E434" s="64"/>
      <c r="F434" s="105"/>
      <c r="G434" s="374">
        <v>1.5</v>
      </c>
      <c r="H434" s="374"/>
      <c r="I434" s="105">
        <v>1</v>
      </c>
      <c r="J434" s="99"/>
      <c r="K434" s="82">
        <f t="shared" si="24"/>
        <v>0</v>
      </c>
      <c r="L434" s="82"/>
      <c r="M434" s="82"/>
      <c r="N434" s="86"/>
    </row>
    <row r="435" spans="2:14" hidden="1" x14ac:dyDescent="0.25">
      <c r="B435" s="49"/>
      <c r="C435" s="57"/>
      <c r="D435" s="319" t="s">
        <v>999</v>
      </c>
      <c r="E435" s="64"/>
      <c r="F435" s="105"/>
      <c r="G435" s="374">
        <v>1</v>
      </c>
      <c r="H435" s="374"/>
      <c r="I435" s="105">
        <v>0.5</v>
      </c>
      <c r="J435" s="99"/>
      <c r="K435" s="82">
        <f t="shared" si="24"/>
        <v>0</v>
      </c>
      <c r="L435" s="82"/>
      <c r="M435" s="82"/>
      <c r="N435" s="86"/>
    </row>
    <row r="436" spans="2:14" ht="14.45" hidden="1" customHeight="1" x14ac:dyDescent="0.25">
      <c r="B436" s="65">
        <v>1.1000000000000001</v>
      </c>
      <c r="C436" s="65" t="s">
        <v>229</v>
      </c>
      <c r="D436" s="344"/>
      <c r="E436" s="44"/>
      <c r="F436" s="130"/>
      <c r="G436" s="121"/>
      <c r="H436" s="70"/>
      <c r="I436" s="105"/>
      <c r="J436" s="99"/>
      <c r="K436" s="82">
        <f t="shared" ref="K436" si="25">(F436*G436*I436)</f>
        <v>0</v>
      </c>
      <c r="L436" s="82"/>
      <c r="M436" s="82"/>
      <c r="N436" s="86"/>
    </row>
    <row r="437" spans="2:14" ht="33.75" hidden="1" x14ac:dyDescent="0.25">
      <c r="B437" s="384" t="s">
        <v>284</v>
      </c>
      <c r="C437" s="385">
        <v>91834</v>
      </c>
      <c r="D437" s="391" t="s">
        <v>286</v>
      </c>
      <c r="E437" s="245" t="s">
        <v>37</v>
      </c>
      <c r="F437" s="312">
        <v>1</v>
      </c>
      <c r="G437" s="468">
        <v>200</v>
      </c>
      <c r="H437" s="469"/>
      <c r="I437" s="470"/>
      <c r="J437" s="99">
        <f>'BOLETIM DE MEDIÇÃO 12'!T108-'MEMORIAL DE CALCULO 09)'!K437</f>
        <v>150</v>
      </c>
      <c r="K437" s="81">
        <f>G437</f>
        <v>200</v>
      </c>
      <c r="L437" s="82">
        <f>J437+K437</f>
        <v>350</v>
      </c>
      <c r="M437" s="82">
        <f>'BOLETIM DE MEDIÇÃO 12'!G108</f>
        <v>830.48</v>
      </c>
      <c r="N437" s="86">
        <f>M437-L437</f>
        <v>480.48</v>
      </c>
    </row>
    <row r="438" spans="2:14" hidden="1" x14ac:dyDescent="0.25">
      <c r="B438" s="384"/>
      <c r="C438" s="385"/>
      <c r="D438" s="393" t="s">
        <v>1001</v>
      </c>
      <c r="E438" s="245"/>
      <c r="F438" s="312"/>
      <c r="G438" s="383"/>
      <c r="H438" s="392"/>
      <c r="I438" s="318"/>
      <c r="J438" s="99"/>
      <c r="K438" s="81"/>
      <c r="L438" s="82"/>
      <c r="M438" s="82"/>
      <c r="N438" s="86"/>
    </row>
    <row r="439" spans="2:14" ht="33.75" hidden="1" x14ac:dyDescent="0.25">
      <c r="B439" s="384" t="s">
        <v>287</v>
      </c>
      <c r="C439" s="385">
        <v>91868</v>
      </c>
      <c r="D439" s="386" t="s">
        <v>289</v>
      </c>
      <c r="E439" s="245" t="s">
        <v>37</v>
      </c>
      <c r="F439" s="312">
        <v>1</v>
      </c>
      <c r="G439" s="468">
        <v>55.97</v>
      </c>
      <c r="H439" s="469"/>
      <c r="I439" s="470"/>
      <c r="J439" s="99">
        <f>'BOLETIM DE MEDIÇÃO 12'!T109-'MEMORIAL DE CALCULO 09)'!K439</f>
        <v>0</v>
      </c>
      <c r="K439" s="81">
        <f>F439*G439</f>
        <v>55.97</v>
      </c>
      <c r="L439" s="82">
        <f t="shared" ref="L439" si="26">J439+K439</f>
        <v>55.97</v>
      </c>
      <c r="M439" s="82">
        <f>'BOLETIM DE MEDIÇÃO 12'!G109</f>
        <v>55.97</v>
      </c>
      <c r="N439" s="86">
        <f t="shared" ref="N439:N441" si="27">M439-L439</f>
        <v>0</v>
      </c>
    </row>
    <row r="440" spans="2:14" hidden="1" x14ac:dyDescent="0.25">
      <c r="B440" s="384"/>
      <c r="C440" s="385"/>
      <c r="D440" s="393" t="s">
        <v>1001</v>
      </c>
      <c r="E440" s="245"/>
      <c r="F440" s="312"/>
      <c r="G440" s="383"/>
      <c r="H440" s="383"/>
      <c r="I440" s="316"/>
      <c r="J440" s="99"/>
      <c r="K440" s="81"/>
      <c r="L440" s="82"/>
      <c r="M440" s="82"/>
      <c r="N440" s="86"/>
    </row>
    <row r="441" spans="2:14" ht="33.75" hidden="1" x14ac:dyDescent="0.25">
      <c r="B441" s="384" t="s">
        <v>290</v>
      </c>
      <c r="C441" s="385">
        <v>91867</v>
      </c>
      <c r="D441" s="386" t="s">
        <v>292</v>
      </c>
      <c r="E441" s="245" t="s">
        <v>37</v>
      </c>
      <c r="F441" s="312">
        <v>1</v>
      </c>
      <c r="G441" s="468">
        <v>36.19</v>
      </c>
      <c r="H441" s="469"/>
      <c r="I441" s="470"/>
      <c r="J441" s="99">
        <f>'BOLETIM DE MEDIÇÃO 12'!T110-'MEMORIAL DE CALCULO 09)'!K441</f>
        <v>0</v>
      </c>
      <c r="K441" s="81">
        <f>G441</f>
        <v>36.19</v>
      </c>
      <c r="L441" s="82">
        <f>J441+K441</f>
        <v>36.19</v>
      </c>
      <c r="M441" s="82">
        <f>'BOLETIM DE MEDIÇÃO 12'!G110</f>
        <v>36.19</v>
      </c>
      <c r="N441" s="86">
        <f t="shared" si="27"/>
        <v>0</v>
      </c>
    </row>
    <row r="442" spans="2:14" hidden="1" x14ac:dyDescent="0.25">
      <c r="B442" s="384"/>
      <c r="C442" s="385"/>
      <c r="D442" s="393" t="s">
        <v>1001</v>
      </c>
      <c r="E442" s="245"/>
      <c r="F442" s="312"/>
      <c r="G442" s="121"/>
      <c r="H442" s="70"/>
      <c r="I442" s="105"/>
      <c r="J442" s="99"/>
      <c r="K442" s="82"/>
      <c r="L442" s="82"/>
      <c r="M442" s="82"/>
      <c r="N442" s="86"/>
    </row>
    <row r="443" spans="2:14" hidden="1" x14ac:dyDescent="0.25">
      <c r="B443" s="347" t="s">
        <v>312</v>
      </c>
      <c r="C443" s="349" t="s">
        <v>313</v>
      </c>
      <c r="D443" s="53"/>
      <c r="E443" s="69"/>
      <c r="F443" s="312"/>
      <c r="G443" s="121"/>
      <c r="H443" s="70"/>
      <c r="I443" s="105"/>
      <c r="J443" s="99"/>
      <c r="K443" s="82"/>
      <c r="L443" s="82"/>
      <c r="M443" s="82"/>
      <c r="N443" s="86"/>
    </row>
    <row r="444" spans="2:14" ht="22.5" hidden="1" x14ac:dyDescent="0.25">
      <c r="B444" s="50" t="s">
        <v>314</v>
      </c>
      <c r="C444" s="66">
        <v>96620</v>
      </c>
      <c r="D444" s="53" t="s">
        <v>316</v>
      </c>
      <c r="E444" s="217" t="s">
        <v>41</v>
      </c>
      <c r="F444" s="312"/>
      <c r="G444" s="121"/>
      <c r="H444" s="70"/>
      <c r="I444" s="105"/>
      <c r="J444" s="99">
        <f>'BOLETIM DE MEDIÇÃO 12'!T119-'MEMORIAL DE CALCULO 09)'!K444</f>
        <v>10.199999999999999</v>
      </c>
      <c r="K444" s="81">
        <f>K445</f>
        <v>21.53</v>
      </c>
      <c r="L444" s="82">
        <f>J444+K444</f>
        <v>31.73</v>
      </c>
      <c r="M444" s="82">
        <f>'BOLETIM DE MEDIÇÃO 12'!G119</f>
        <v>35.340000000000003</v>
      </c>
      <c r="N444" s="86">
        <f>M444-L444</f>
        <v>3.610000000000003</v>
      </c>
    </row>
    <row r="445" spans="2:14" hidden="1" x14ac:dyDescent="0.25">
      <c r="B445" s="50"/>
      <c r="C445" s="66"/>
      <c r="D445" s="187" t="s">
        <v>994</v>
      </c>
      <c r="E445" s="69"/>
      <c r="F445" s="312"/>
      <c r="G445" s="468">
        <v>21.53</v>
      </c>
      <c r="H445" s="469"/>
      <c r="I445" s="470"/>
      <c r="J445" s="99"/>
      <c r="K445" s="82">
        <f>G445</f>
        <v>21.53</v>
      </c>
      <c r="L445" s="82"/>
      <c r="M445" s="82"/>
      <c r="N445" s="86"/>
    </row>
    <row r="446" spans="2:14" ht="67.5" hidden="1" x14ac:dyDescent="0.25">
      <c r="B446" s="384" t="s">
        <v>317</v>
      </c>
      <c r="C446" s="385">
        <v>94439</v>
      </c>
      <c r="D446" s="386" t="s">
        <v>319</v>
      </c>
      <c r="E446" s="277" t="s">
        <v>17</v>
      </c>
      <c r="F446" s="312"/>
      <c r="G446" s="121"/>
      <c r="H446" s="70"/>
      <c r="I446" s="105"/>
      <c r="J446" s="99">
        <f>'BOLETIM DE MEDIÇÃO 12'!T120</f>
        <v>597</v>
      </c>
      <c r="K446" s="81">
        <f>SUM(K447:K451)</f>
        <v>116.27</v>
      </c>
      <c r="L446" s="82">
        <f t="shared" ref="L446" si="28">J446+K446</f>
        <v>713.27</v>
      </c>
      <c r="M446" s="82">
        <f>'BOLETIM DE MEDIÇÃO 12'!G121</f>
        <v>634.5</v>
      </c>
      <c r="N446" s="86">
        <f>M446-L446</f>
        <v>-78.769999999999982</v>
      </c>
    </row>
    <row r="447" spans="2:14" hidden="1" x14ac:dyDescent="0.25">
      <c r="B447" s="50"/>
      <c r="C447" s="66"/>
      <c r="D447" s="319" t="s">
        <v>846</v>
      </c>
      <c r="E447" s="69"/>
      <c r="F447" s="312">
        <v>1</v>
      </c>
      <c r="G447" s="468">
        <v>27</v>
      </c>
      <c r="H447" s="469"/>
      <c r="I447" s="470"/>
      <c r="J447" s="99"/>
      <c r="K447" s="82">
        <f>F447*G447</f>
        <v>27</v>
      </c>
      <c r="L447" s="82"/>
      <c r="M447" s="82"/>
      <c r="N447" s="86"/>
    </row>
    <row r="448" spans="2:14" hidden="1" x14ac:dyDescent="0.25">
      <c r="B448" s="50"/>
      <c r="C448" s="66"/>
      <c r="D448" s="319" t="s">
        <v>842</v>
      </c>
      <c r="E448" s="69"/>
      <c r="F448" s="312">
        <v>1</v>
      </c>
      <c r="G448" s="468">
        <v>26</v>
      </c>
      <c r="H448" s="469"/>
      <c r="I448" s="470"/>
      <c r="J448" s="99"/>
      <c r="K448" s="82">
        <f t="shared" ref="K448:K451" si="29">F448*G448</f>
        <v>26</v>
      </c>
      <c r="L448" s="82"/>
      <c r="M448" s="82"/>
      <c r="N448" s="86"/>
    </row>
    <row r="449" spans="2:14" hidden="1" x14ac:dyDescent="0.25">
      <c r="B449" s="50"/>
      <c r="C449" s="66"/>
      <c r="D449" s="319" t="s">
        <v>856</v>
      </c>
      <c r="E449" s="69"/>
      <c r="F449" s="312">
        <v>1</v>
      </c>
      <c r="G449" s="468">
        <v>30</v>
      </c>
      <c r="H449" s="469"/>
      <c r="I449" s="470"/>
      <c r="J449" s="99"/>
      <c r="K449" s="82">
        <f t="shared" si="29"/>
        <v>30</v>
      </c>
      <c r="L449" s="82"/>
      <c r="M449" s="82"/>
      <c r="N449" s="86"/>
    </row>
    <row r="450" spans="2:14" hidden="1" x14ac:dyDescent="0.25">
      <c r="B450" s="50"/>
      <c r="C450" s="66"/>
      <c r="D450" s="319" t="s">
        <v>981</v>
      </c>
      <c r="E450" s="69"/>
      <c r="F450" s="312">
        <v>1</v>
      </c>
      <c r="G450" s="468">
        <v>30</v>
      </c>
      <c r="H450" s="469"/>
      <c r="I450" s="470"/>
      <c r="J450" s="99"/>
      <c r="K450" s="82">
        <f t="shared" si="29"/>
        <v>30</v>
      </c>
      <c r="L450" s="82"/>
      <c r="M450" s="82"/>
      <c r="N450" s="86"/>
    </row>
    <row r="451" spans="2:14" hidden="1" x14ac:dyDescent="0.25">
      <c r="B451" s="50"/>
      <c r="C451" s="66"/>
      <c r="D451" s="319" t="s">
        <v>861</v>
      </c>
      <c r="E451" s="69"/>
      <c r="F451" s="312">
        <v>1</v>
      </c>
      <c r="G451" s="468">
        <v>3.27</v>
      </c>
      <c r="H451" s="469"/>
      <c r="I451" s="470"/>
      <c r="J451" s="99"/>
      <c r="K451" s="82">
        <f t="shared" si="29"/>
        <v>3.27</v>
      </c>
      <c r="L451" s="82"/>
      <c r="M451" s="82"/>
      <c r="N451" s="86"/>
    </row>
    <row r="452" spans="2:14" hidden="1" x14ac:dyDescent="0.25">
      <c r="B452" s="212">
        <v>1.1299999999999999</v>
      </c>
      <c r="C452" s="588" t="s">
        <v>368</v>
      </c>
      <c r="D452" s="589"/>
      <c r="E452" s="69"/>
      <c r="F452" s="312"/>
      <c r="G452" s="121"/>
      <c r="H452" s="70"/>
      <c r="I452" s="105"/>
      <c r="J452" s="99"/>
      <c r="K452" s="82"/>
      <c r="L452" s="82"/>
      <c r="M452" s="82"/>
      <c r="N452" s="86"/>
    </row>
    <row r="453" spans="2:14" ht="56.25" hidden="1" x14ac:dyDescent="0.25">
      <c r="B453" s="203" t="s">
        <v>369</v>
      </c>
      <c r="C453" s="211">
        <v>91785</v>
      </c>
      <c r="D453" s="205" t="s">
        <v>371</v>
      </c>
      <c r="E453" s="217" t="s">
        <v>37</v>
      </c>
      <c r="F453" s="312"/>
      <c r="G453" s="121"/>
      <c r="H453" s="70"/>
      <c r="I453" s="105"/>
      <c r="J453" s="99">
        <f>'BOLETIM DE MEDIÇÃO 12'!T138-'MEMORIAL DE CALCULO 09)'!K453</f>
        <v>0</v>
      </c>
      <c r="K453" s="81">
        <f>K454</f>
        <v>98.77</v>
      </c>
      <c r="L453" s="82">
        <f>J453+K453</f>
        <v>98.77</v>
      </c>
      <c r="M453" s="206">
        <v>98.77</v>
      </c>
      <c r="N453" s="86">
        <f t="shared" ref="N453:N510" si="30">M453-L453</f>
        <v>0</v>
      </c>
    </row>
    <row r="454" spans="2:14" hidden="1" x14ac:dyDescent="0.25">
      <c r="B454" s="203"/>
      <c r="C454" s="211"/>
      <c r="D454" s="377" t="s">
        <v>1004</v>
      </c>
      <c r="E454" s="217"/>
      <c r="F454" s="312">
        <v>1</v>
      </c>
      <c r="G454" s="468">
        <f>98.77</f>
        <v>98.77</v>
      </c>
      <c r="H454" s="469"/>
      <c r="I454" s="470"/>
      <c r="J454" s="99"/>
      <c r="K454" s="82">
        <f>G454</f>
        <v>98.77</v>
      </c>
      <c r="L454" s="82"/>
      <c r="M454" s="206"/>
      <c r="N454" s="86">
        <f t="shared" si="30"/>
        <v>0</v>
      </c>
    </row>
    <row r="455" spans="2:14" hidden="1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30"/>
        <v>0</v>
      </c>
    </row>
    <row r="456" spans="2:14" ht="56.25" hidden="1" x14ac:dyDescent="0.25">
      <c r="B456" s="203" t="s">
        <v>372</v>
      </c>
      <c r="C456" s="211">
        <v>91784</v>
      </c>
      <c r="D456" s="205" t="s">
        <v>374</v>
      </c>
      <c r="E456" s="217" t="s">
        <v>37</v>
      </c>
      <c r="F456" s="312"/>
      <c r="G456" s="121"/>
      <c r="H456" s="70"/>
      <c r="I456" s="105"/>
      <c r="J456" s="99">
        <f>'BOLETIM DE MEDIÇÃO 12'!T139-'MEMORIAL DE CALCULO 09)'!K456</f>
        <v>0</v>
      </c>
      <c r="K456" s="81">
        <f>K457</f>
        <v>62.17</v>
      </c>
      <c r="L456" s="82">
        <f t="shared" ref="L456:L515" si="31">J456+K456</f>
        <v>62.17</v>
      </c>
      <c r="M456" s="206">
        <v>62.17</v>
      </c>
      <c r="N456" s="86">
        <f t="shared" si="30"/>
        <v>0</v>
      </c>
    </row>
    <row r="457" spans="2:14" hidden="1" x14ac:dyDescent="0.25">
      <c r="B457" s="203"/>
      <c r="C457" s="211"/>
      <c r="D457" s="377" t="s">
        <v>1004</v>
      </c>
      <c r="E457" s="217"/>
      <c r="F457" s="312">
        <v>1</v>
      </c>
      <c r="G457" s="468">
        <f>62.17</f>
        <v>62.17</v>
      </c>
      <c r="H457" s="469"/>
      <c r="I457" s="470"/>
      <c r="J457" s="99"/>
      <c r="K457" s="82">
        <f>G457</f>
        <v>62.17</v>
      </c>
      <c r="L457" s="82"/>
      <c r="M457" s="206"/>
      <c r="N457" s="86">
        <f t="shared" si="30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30"/>
        <v>0</v>
      </c>
    </row>
    <row r="459" spans="2:14" ht="56.25" hidden="1" x14ac:dyDescent="0.25">
      <c r="B459" s="203" t="s">
        <v>375</v>
      </c>
      <c r="C459" s="211">
        <v>91786</v>
      </c>
      <c r="D459" s="205" t="s">
        <v>377</v>
      </c>
      <c r="E459" s="217" t="s">
        <v>37</v>
      </c>
      <c r="F459" s="312"/>
      <c r="G459" s="121"/>
      <c r="H459" s="70"/>
      <c r="I459" s="105"/>
      <c r="J459" s="99">
        <f>'BOLETIM DE MEDIÇÃO 12'!T140-'MEMORIAL DE CALCULO 09)'!K459</f>
        <v>17.324999999999999</v>
      </c>
      <c r="K459" s="81">
        <f>K460</f>
        <v>7.4249999999999998</v>
      </c>
      <c r="L459" s="82">
        <f t="shared" si="31"/>
        <v>24.75</v>
      </c>
      <c r="M459" s="206">
        <v>24.75</v>
      </c>
      <c r="N459" s="86">
        <f t="shared" si="30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468">
        <f>0.3*24.75</f>
        <v>7.4249999999999998</v>
      </c>
      <c r="H460" s="469"/>
      <c r="I460" s="470"/>
      <c r="J460" s="99"/>
      <c r="K460" s="82">
        <f>G460</f>
        <v>7.4249999999999998</v>
      </c>
      <c r="L460" s="82"/>
      <c r="M460" s="206"/>
      <c r="N460" s="86">
        <f t="shared" si="30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30"/>
        <v>0</v>
      </c>
    </row>
    <row r="462" spans="2:14" ht="56.25" hidden="1" x14ac:dyDescent="0.25">
      <c r="B462" s="203" t="s">
        <v>378</v>
      </c>
      <c r="C462" s="211">
        <v>91787</v>
      </c>
      <c r="D462" s="205" t="s">
        <v>380</v>
      </c>
      <c r="E462" s="217" t="s">
        <v>37</v>
      </c>
      <c r="F462" s="312"/>
      <c r="G462" s="121"/>
      <c r="H462" s="70"/>
      <c r="I462" s="105"/>
      <c r="J462" s="99">
        <f>'BOLETIM DE MEDIÇÃO 12'!T141-'MEMORIAL DE CALCULO 09)'!K462</f>
        <v>18.144000000000002</v>
      </c>
      <c r="K462" s="81">
        <f>K463</f>
        <v>7.7759999999999998</v>
      </c>
      <c r="L462" s="82">
        <f t="shared" si="31"/>
        <v>25.92</v>
      </c>
      <c r="M462" s="206">
        <v>25.92</v>
      </c>
      <c r="N462" s="86">
        <f t="shared" si="30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468">
        <f>0.3*25.92</f>
        <v>7.7759999999999998</v>
      </c>
      <c r="H463" s="469"/>
      <c r="I463" s="470"/>
      <c r="J463" s="99"/>
      <c r="K463" s="82">
        <f>G463</f>
        <v>7.7759999999999998</v>
      </c>
      <c r="L463" s="82"/>
      <c r="M463" s="206"/>
      <c r="N463" s="86">
        <f t="shared" si="30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30"/>
        <v>0</v>
      </c>
    </row>
    <row r="465" spans="2:14" ht="33.75" hidden="1" x14ac:dyDescent="0.25">
      <c r="B465" s="203" t="s">
        <v>381</v>
      </c>
      <c r="C465" s="211">
        <v>89987</v>
      </c>
      <c r="D465" s="205" t="s">
        <v>383</v>
      </c>
      <c r="E465" s="217" t="s">
        <v>166</v>
      </c>
      <c r="F465" s="312"/>
      <c r="G465" s="121"/>
      <c r="H465" s="70"/>
      <c r="I465" s="105"/>
      <c r="J465" s="99">
        <f>'BOLETIM DE MEDIÇÃO 12'!T142-'MEMORIAL DE CALCULO 09)'!K465</f>
        <v>7</v>
      </c>
      <c r="K465" s="81">
        <f>K466</f>
        <v>3</v>
      </c>
      <c r="L465" s="82">
        <f t="shared" si="31"/>
        <v>10</v>
      </c>
      <c r="M465" s="206">
        <v>10</v>
      </c>
      <c r="N465" s="86">
        <f t="shared" si="30"/>
        <v>0</v>
      </c>
    </row>
    <row r="466" spans="2:14" hidden="1" x14ac:dyDescent="0.25">
      <c r="B466" s="203"/>
      <c r="C466" s="211"/>
      <c r="D466" s="377" t="s">
        <v>984</v>
      </c>
      <c r="E466" s="217"/>
      <c r="F466" s="312">
        <v>1</v>
      </c>
      <c r="G466" s="468">
        <f>0.3*10</f>
        <v>3</v>
      </c>
      <c r="H466" s="469"/>
      <c r="I466" s="470"/>
      <c r="J466" s="99"/>
      <c r="K466" s="82">
        <f>G466</f>
        <v>3</v>
      </c>
      <c r="L466" s="82"/>
      <c r="M466" s="206"/>
      <c r="N466" s="86">
        <f t="shared" si="30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30"/>
        <v>0</v>
      </c>
    </row>
    <row r="468" spans="2:14" ht="22.5" hidden="1" x14ac:dyDescent="0.25">
      <c r="B468" s="203" t="s">
        <v>384</v>
      </c>
      <c r="C468" s="211">
        <v>94490</v>
      </c>
      <c r="D468" s="205" t="s">
        <v>386</v>
      </c>
      <c r="E468" s="217" t="s">
        <v>166</v>
      </c>
      <c r="F468" s="312"/>
      <c r="G468" s="121"/>
      <c r="H468" s="70"/>
      <c r="I468" s="105"/>
      <c r="J468" s="99">
        <f>'BOLETIM DE MEDIÇÃO 12'!T143-'MEMORIAL DE CALCULO 09)'!K468</f>
        <v>-1</v>
      </c>
      <c r="K468" s="81">
        <f>K469</f>
        <v>1</v>
      </c>
      <c r="L468" s="82">
        <f t="shared" si="31"/>
        <v>0</v>
      </c>
      <c r="M468" s="206">
        <v>2</v>
      </c>
      <c r="N468" s="86">
        <f t="shared" si="30"/>
        <v>2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468">
        <v>1</v>
      </c>
      <c r="H469" s="469"/>
      <c r="I469" s="470"/>
      <c r="J469" s="99"/>
      <c r="K469" s="82">
        <v>1</v>
      </c>
      <c r="L469" s="82"/>
      <c r="M469" s="206"/>
      <c r="N469" s="86">
        <f t="shared" si="30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30"/>
        <v>0</v>
      </c>
    </row>
    <row r="471" spans="2:14" ht="33.75" hidden="1" x14ac:dyDescent="0.25">
      <c r="B471" s="203" t="s">
        <v>387</v>
      </c>
      <c r="C471" s="211">
        <v>89985</v>
      </c>
      <c r="D471" s="205" t="s">
        <v>389</v>
      </c>
      <c r="E471" s="217" t="s">
        <v>166</v>
      </c>
      <c r="F471" s="312"/>
      <c r="G471" s="121"/>
      <c r="H471" s="70"/>
      <c r="I471" s="105"/>
      <c r="J471" s="99">
        <f>'BOLETIM DE MEDIÇÃO 12'!T144-'MEMORIAL DE CALCULO 09)'!K471</f>
        <v>3</v>
      </c>
      <c r="K471" s="81">
        <f>K472</f>
        <v>3</v>
      </c>
      <c r="L471" s="82">
        <f t="shared" si="31"/>
        <v>6</v>
      </c>
      <c r="M471" s="206">
        <v>6</v>
      </c>
      <c r="N471" s="86">
        <f t="shared" si="30"/>
        <v>0</v>
      </c>
    </row>
    <row r="472" spans="2:14" hidden="1" x14ac:dyDescent="0.25">
      <c r="B472" s="203"/>
      <c r="C472" s="211"/>
      <c r="D472" s="377" t="s">
        <v>983</v>
      </c>
      <c r="E472" s="217"/>
      <c r="F472" s="312">
        <v>1</v>
      </c>
      <c r="G472" s="468">
        <v>3</v>
      </c>
      <c r="H472" s="469"/>
      <c r="I472" s="470"/>
      <c r="J472" s="99"/>
      <c r="K472" s="82">
        <f>G472</f>
        <v>3</v>
      </c>
      <c r="L472" s="82"/>
      <c r="M472" s="206"/>
      <c r="N472" s="86">
        <f t="shared" si="30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30"/>
        <v>0</v>
      </c>
    </row>
    <row r="474" spans="2:14" ht="33.75" hidden="1" x14ac:dyDescent="0.25">
      <c r="B474" s="203" t="s">
        <v>390</v>
      </c>
      <c r="C474" s="211">
        <v>102613</v>
      </c>
      <c r="D474" s="205" t="s">
        <v>392</v>
      </c>
      <c r="E474" s="217" t="s">
        <v>166</v>
      </c>
      <c r="F474" s="312"/>
      <c r="G474" s="121"/>
      <c r="H474" s="70"/>
      <c r="I474" s="105"/>
      <c r="J474" s="99">
        <f>'BOLETIM DE MEDIÇÃO 12'!T145-'MEMORIAL DE CALCULO 09)'!K474</f>
        <v>2</v>
      </c>
      <c r="K474" s="82"/>
      <c r="L474" s="82">
        <f t="shared" si="31"/>
        <v>2</v>
      </c>
      <c r="M474" s="206">
        <v>2</v>
      </c>
      <c r="N474" s="86">
        <f t="shared" si="30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30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30"/>
        <v>0</v>
      </c>
    </row>
    <row r="477" spans="2:14" ht="22.5" hidden="1" x14ac:dyDescent="0.25">
      <c r="B477" s="203" t="s">
        <v>393</v>
      </c>
      <c r="C477" s="211">
        <v>102609</v>
      </c>
      <c r="D477" s="205" t="s">
        <v>395</v>
      </c>
      <c r="E477" s="217" t="s">
        <v>166</v>
      </c>
      <c r="F477" s="312"/>
      <c r="G477" s="121"/>
      <c r="H477" s="70"/>
      <c r="I477" s="105"/>
      <c r="J477" s="99">
        <f>'BOLETIM DE MEDIÇÃO 12'!T146-'MEMORIAL DE CALCULO 09)'!K477</f>
        <v>2</v>
      </c>
      <c r="K477" s="82"/>
      <c r="L477" s="82">
        <f t="shared" si="31"/>
        <v>2</v>
      </c>
      <c r="M477" s="206">
        <v>2</v>
      </c>
      <c r="N477" s="86">
        <f t="shared" si="30"/>
        <v>0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30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30"/>
        <v>0</v>
      </c>
    </row>
    <row r="480" spans="2:14" ht="22.5" hidden="1" x14ac:dyDescent="0.25">
      <c r="B480" s="203" t="s">
        <v>396</v>
      </c>
      <c r="C480" s="211">
        <v>94796</v>
      </c>
      <c r="D480" s="205" t="s">
        <v>398</v>
      </c>
      <c r="E480" s="217" t="s">
        <v>166</v>
      </c>
      <c r="F480" s="312"/>
      <c r="G480" s="121"/>
      <c r="H480" s="70"/>
      <c r="I480" s="105"/>
      <c r="J480" s="99">
        <f>'BOLETIM DE MEDIÇÃO 12'!T147-'MEMORIAL DE CALCULO 09)'!K480</f>
        <v>0</v>
      </c>
      <c r="K480" s="82"/>
      <c r="L480" s="82">
        <f t="shared" si="31"/>
        <v>0</v>
      </c>
      <c r="M480" s="206">
        <v>4</v>
      </c>
      <c r="N480" s="86">
        <f t="shared" si="30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30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30"/>
        <v>0</v>
      </c>
    </row>
    <row r="483" spans="2:14" ht="22.5" hidden="1" x14ac:dyDescent="0.25">
      <c r="B483" s="203" t="s">
        <v>399</v>
      </c>
      <c r="C483" s="211">
        <v>94491</v>
      </c>
      <c r="D483" s="205" t="s">
        <v>401</v>
      </c>
      <c r="E483" s="217" t="s">
        <v>166</v>
      </c>
      <c r="F483" s="312"/>
      <c r="G483" s="121"/>
      <c r="H483" s="70"/>
      <c r="I483" s="105"/>
      <c r="J483" s="99">
        <f>'BOLETIM DE MEDIÇÃO 12'!T148-'MEMORIAL DE CALCULO 09)'!K483</f>
        <v>0</v>
      </c>
      <c r="K483" s="82"/>
      <c r="L483" s="82">
        <f t="shared" si="31"/>
        <v>0</v>
      </c>
      <c r="M483" s="206">
        <v>4</v>
      </c>
      <c r="N483" s="86">
        <f t="shared" si="30"/>
        <v>4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30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30"/>
        <v>0</v>
      </c>
    </row>
    <row r="486" spans="2:14" ht="22.5" hidden="1" x14ac:dyDescent="0.25">
      <c r="B486" s="203" t="s">
        <v>402</v>
      </c>
      <c r="C486" s="211">
        <v>94492</v>
      </c>
      <c r="D486" s="205" t="s">
        <v>404</v>
      </c>
      <c r="E486" s="217" t="s">
        <v>166</v>
      </c>
      <c r="F486" s="312"/>
      <c r="G486" s="121"/>
      <c r="H486" s="70"/>
      <c r="I486" s="105"/>
      <c r="J486" s="99">
        <f>'BOLETIM DE MEDIÇÃO 12'!T149-'MEMORIAL DE CALCULO 09)'!K486</f>
        <v>0</v>
      </c>
      <c r="K486" s="82"/>
      <c r="L486" s="82">
        <f t="shared" si="31"/>
        <v>0</v>
      </c>
      <c r="M486" s="206">
        <v>2</v>
      </c>
      <c r="N486" s="86">
        <f t="shared" si="30"/>
        <v>2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30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30"/>
        <v>0</v>
      </c>
    </row>
    <row r="489" spans="2:14" ht="22.5" hidden="1" x14ac:dyDescent="0.25">
      <c r="B489" s="203" t="s">
        <v>405</v>
      </c>
      <c r="C489" s="211">
        <v>95675</v>
      </c>
      <c r="D489" s="205" t="s">
        <v>407</v>
      </c>
      <c r="E489" s="217" t="s">
        <v>166</v>
      </c>
      <c r="F489" s="312"/>
      <c r="G489" s="121"/>
      <c r="H489" s="70"/>
      <c r="I489" s="105"/>
      <c r="J489" s="99">
        <f>'BOLETIM DE MEDIÇÃO 12'!T150-'MEMORIAL DE CALCULO 09)'!K489</f>
        <v>0</v>
      </c>
      <c r="K489" s="82"/>
      <c r="L489" s="82">
        <f t="shared" si="31"/>
        <v>0</v>
      </c>
      <c r="M489" s="206">
        <v>1</v>
      </c>
      <c r="N489" s="86">
        <f t="shared" si="30"/>
        <v>1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30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30"/>
        <v>0</v>
      </c>
    </row>
    <row r="492" spans="2:14" ht="45" hidden="1" x14ac:dyDescent="0.25">
      <c r="B492" s="203" t="s">
        <v>408</v>
      </c>
      <c r="C492" s="211">
        <v>97902</v>
      </c>
      <c r="D492" s="205" t="s">
        <v>410</v>
      </c>
      <c r="E492" s="217" t="s">
        <v>166</v>
      </c>
      <c r="F492" s="312"/>
      <c r="G492" s="121"/>
      <c r="H492" s="70"/>
      <c r="I492" s="105"/>
      <c r="J492" s="99">
        <f>'BOLETIM DE MEDIÇÃO 12'!T151-'MEMORIAL DE CALCULO 09)'!K492</f>
        <v>7</v>
      </c>
      <c r="K492" s="82"/>
      <c r="L492" s="82">
        <f t="shared" si="31"/>
        <v>7</v>
      </c>
      <c r="M492" s="206">
        <v>7</v>
      </c>
      <c r="N492" s="86">
        <f t="shared" si="30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30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30"/>
        <v>0</v>
      </c>
    </row>
    <row r="495" spans="2:14" ht="45" hidden="1" x14ac:dyDescent="0.25">
      <c r="B495" s="203" t="s">
        <v>411</v>
      </c>
      <c r="C495" s="211">
        <v>99258</v>
      </c>
      <c r="D495" s="205" t="s">
        <v>413</v>
      </c>
      <c r="E495" s="217" t="s">
        <v>166</v>
      </c>
      <c r="F495" s="312"/>
      <c r="G495" s="121"/>
      <c r="H495" s="70"/>
      <c r="I495" s="105"/>
      <c r="J495" s="99">
        <f>'BOLETIM DE MEDIÇÃO 12'!T152-'MEMORIAL DE CALCULO 09)'!K495</f>
        <v>1</v>
      </c>
      <c r="K495" s="82"/>
      <c r="L495" s="82">
        <f t="shared" si="31"/>
        <v>1</v>
      </c>
      <c r="M495" s="206">
        <v>1</v>
      </c>
      <c r="N495" s="86">
        <f t="shared" si="30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30"/>
        <v>0</v>
      </c>
    </row>
    <row r="497" spans="2:14" hidden="1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30"/>
        <v>0</v>
      </c>
    </row>
    <row r="498" spans="2:14" ht="33.75" hidden="1" x14ac:dyDescent="0.25">
      <c r="B498" s="203" t="s">
        <v>414</v>
      </c>
      <c r="C498" s="211">
        <v>89482</v>
      </c>
      <c r="D498" s="205" t="s">
        <v>416</v>
      </c>
      <c r="E498" s="217" t="s">
        <v>166</v>
      </c>
      <c r="F498" s="312"/>
      <c r="G498" s="121"/>
      <c r="H498" s="70"/>
      <c r="I498" s="105"/>
      <c r="J498" s="99">
        <f>'BOLETIM DE MEDIÇÃO 12'!T153-'MEMORIAL DE CALCULO 09)'!K498</f>
        <v>10</v>
      </c>
      <c r="K498" s="82"/>
      <c r="L498" s="82">
        <f t="shared" si="31"/>
        <v>10</v>
      </c>
      <c r="M498" s="206">
        <v>10</v>
      </c>
      <c r="N498" s="86">
        <f t="shared" si="30"/>
        <v>0</v>
      </c>
    </row>
    <row r="499" spans="2:14" hidden="1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>
        <f t="shared" si="30"/>
        <v>0</v>
      </c>
    </row>
    <row r="500" spans="2:14" hidden="1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>
        <f t="shared" si="30"/>
        <v>0</v>
      </c>
    </row>
    <row r="501" spans="2:14" ht="56.25" hidden="1" x14ac:dyDescent="0.25">
      <c r="B501" s="203" t="s">
        <v>417</v>
      </c>
      <c r="C501" s="211">
        <v>91792</v>
      </c>
      <c r="D501" s="205" t="s">
        <v>419</v>
      </c>
      <c r="E501" s="217" t="s">
        <v>37</v>
      </c>
      <c r="F501" s="312"/>
      <c r="G501" s="121"/>
      <c r="H501" s="70"/>
      <c r="I501" s="105"/>
      <c r="J501" s="99">
        <f>'BOLETIM DE MEDIÇÃO 12'!T154-'MEMORIAL DE CALCULO 09)'!K501</f>
        <v>0</v>
      </c>
      <c r="K501" s="81">
        <f>K502</f>
        <v>38.85</v>
      </c>
      <c r="L501" s="82">
        <f t="shared" si="31"/>
        <v>38.85</v>
      </c>
      <c r="M501" s="206">
        <v>38.85</v>
      </c>
      <c r="N501" s="86">
        <f t="shared" si="30"/>
        <v>0</v>
      </c>
    </row>
    <row r="502" spans="2:14" hidden="1" x14ac:dyDescent="0.25">
      <c r="B502" s="203"/>
      <c r="C502" s="211"/>
      <c r="D502" s="377" t="s">
        <v>1004</v>
      </c>
      <c r="E502" s="217"/>
      <c r="F502" s="312">
        <v>1</v>
      </c>
      <c r="G502" s="468">
        <v>38.85</v>
      </c>
      <c r="H502" s="469"/>
      <c r="I502" s="470"/>
      <c r="J502" s="99"/>
      <c r="K502" s="82">
        <f>G502</f>
        <v>38.85</v>
      </c>
      <c r="L502" s="82"/>
      <c r="M502" s="206"/>
      <c r="N502" s="86"/>
    </row>
    <row r="503" spans="2:14" hidden="1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56.25" hidden="1" x14ac:dyDescent="0.25">
      <c r="B504" s="203" t="s">
        <v>420</v>
      </c>
      <c r="C504" s="211">
        <v>91793</v>
      </c>
      <c r="D504" s="205" t="s">
        <v>422</v>
      </c>
      <c r="E504" s="217" t="s">
        <v>37</v>
      </c>
      <c r="F504" s="312"/>
      <c r="G504" s="121"/>
      <c r="H504" s="70"/>
      <c r="I504" s="105"/>
      <c r="J504" s="99">
        <f>'BOLETIM DE MEDIÇÃO 12'!T155-'MEMORIAL DE CALCULO 09)'!K504</f>
        <v>0</v>
      </c>
      <c r="K504" s="81">
        <f>K505</f>
        <v>46.51</v>
      </c>
      <c r="L504" s="82">
        <f t="shared" si="31"/>
        <v>46.51</v>
      </c>
      <c r="M504" s="206">
        <v>46.51</v>
      </c>
      <c r="N504" s="86">
        <f t="shared" si="30"/>
        <v>0</v>
      </c>
    </row>
    <row r="505" spans="2:14" hidden="1" x14ac:dyDescent="0.25">
      <c r="B505" s="203"/>
      <c r="C505" s="211"/>
      <c r="D505" s="377" t="s">
        <v>1004</v>
      </c>
      <c r="E505" s="217"/>
      <c r="F505" s="312">
        <v>1</v>
      </c>
      <c r="G505" s="468">
        <v>46.51</v>
      </c>
      <c r="H505" s="469"/>
      <c r="I505" s="470"/>
      <c r="J505" s="99"/>
      <c r="K505" s="82">
        <f>G505</f>
        <v>46.51</v>
      </c>
      <c r="L505" s="82"/>
      <c r="M505" s="206"/>
      <c r="N505" s="86"/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/>
    </row>
    <row r="507" spans="2:14" ht="45" hidden="1" x14ac:dyDescent="0.25">
      <c r="B507" s="203" t="s">
        <v>423</v>
      </c>
      <c r="C507" s="211">
        <v>98107</v>
      </c>
      <c r="D507" s="205" t="s">
        <v>425</v>
      </c>
      <c r="E507" s="217" t="s">
        <v>166</v>
      </c>
      <c r="F507" s="312"/>
      <c r="G507" s="121"/>
      <c r="H507" s="70"/>
      <c r="I507" s="105"/>
      <c r="J507" s="99">
        <f>'BOLETIM DE MEDIÇÃO 12'!T156-'MEMORIAL DE CALCULO 09)'!K507</f>
        <v>1</v>
      </c>
      <c r="K507" s="82"/>
      <c r="L507" s="82">
        <f t="shared" si="31"/>
        <v>1</v>
      </c>
      <c r="M507" s="206">
        <v>1</v>
      </c>
      <c r="N507" s="86">
        <f t="shared" si="30"/>
        <v>0</v>
      </c>
    </row>
    <row r="508" spans="2:14" hidden="1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>
        <f t="shared" si="30"/>
        <v>0</v>
      </c>
    </row>
    <row r="509" spans="2:14" hidden="1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>
        <f t="shared" si="30"/>
        <v>0</v>
      </c>
    </row>
    <row r="510" spans="2:14" ht="56.25" hidden="1" x14ac:dyDescent="0.25">
      <c r="B510" s="203" t="s">
        <v>426</v>
      </c>
      <c r="C510" s="211">
        <v>91795</v>
      </c>
      <c r="D510" s="205" t="s">
        <v>428</v>
      </c>
      <c r="E510" s="217" t="s">
        <v>37</v>
      </c>
      <c r="F510" s="312"/>
      <c r="G510" s="121"/>
      <c r="H510" s="70"/>
      <c r="I510" s="105"/>
      <c r="J510" s="99">
        <f>'BOLETIM DE MEDIÇÃO 12'!T157-'MEMORIAL DE CALCULO 09)'!K510</f>
        <v>66.38000000000001</v>
      </c>
      <c r="K510" s="81">
        <f>K511</f>
        <v>66.385000000000005</v>
      </c>
      <c r="L510" s="82">
        <f t="shared" si="31"/>
        <v>132.76500000000001</v>
      </c>
      <c r="M510" s="206">
        <v>132.77000000000001</v>
      </c>
      <c r="N510" s="86">
        <f t="shared" si="30"/>
        <v>4.9999999999954525E-3</v>
      </c>
    </row>
    <row r="511" spans="2:14" hidden="1" x14ac:dyDescent="0.25">
      <c r="B511" s="203"/>
      <c r="C511" s="211"/>
      <c r="D511" s="377" t="s">
        <v>983</v>
      </c>
      <c r="E511" s="217"/>
      <c r="F511" s="312">
        <v>1</v>
      </c>
      <c r="G511" s="468">
        <f>0.5*132.77</f>
        <v>66.385000000000005</v>
      </c>
      <c r="H511" s="469"/>
      <c r="I511" s="470"/>
      <c r="J511" s="99"/>
      <c r="K511" s="82">
        <f>G511</f>
        <v>66.385000000000005</v>
      </c>
      <c r="L511" s="82"/>
      <c r="M511" s="206"/>
      <c r="N511" s="86"/>
    </row>
    <row r="512" spans="2:14" ht="45" hidden="1" x14ac:dyDescent="0.25">
      <c r="B512" s="203" t="s">
        <v>429</v>
      </c>
      <c r="C512" s="211">
        <v>99251</v>
      </c>
      <c r="D512" s="215" t="s">
        <v>431</v>
      </c>
      <c r="E512" s="217" t="s">
        <v>166</v>
      </c>
      <c r="F512" s="312"/>
      <c r="G512" s="121"/>
      <c r="H512" s="70"/>
      <c r="I512" s="105"/>
      <c r="J512" s="99">
        <f>'BOLETIM DE MEDIÇÃO 12'!T158-'MEMORIAL DE CALCULO 09)'!K512</f>
        <v>0</v>
      </c>
      <c r="K512" s="82"/>
      <c r="L512" s="82">
        <f t="shared" si="31"/>
        <v>0</v>
      </c>
      <c r="M512" s="206">
        <v>2</v>
      </c>
      <c r="N512" s="86"/>
    </row>
    <row r="513" spans="2:14" hidden="1" x14ac:dyDescent="0.25">
      <c r="B513" s="203"/>
      <c r="C513" s="211"/>
      <c r="D513" s="215"/>
      <c r="E513" s="217"/>
      <c r="F513" s="312"/>
      <c r="G513" s="121"/>
      <c r="H513" s="70"/>
      <c r="I513" s="105"/>
      <c r="J513" s="99"/>
      <c r="K513" s="82"/>
      <c r="L513" s="82"/>
      <c r="M513" s="206"/>
      <c r="N513" s="86"/>
    </row>
    <row r="514" spans="2:14" hidden="1" x14ac:dyDescent="0.25">
      <c r="B514" s="203"/>
      <c r="C514" s="211"/>
      <c r="D514" s="215"/>
      <c r="E514" s="217"/>
      <c r="F514" s="312"/>
      <c r="G514" s="121"/>
      <c r="H514" s="70"/>
      <c r="I514" s="105"/>
      <c r="J514" s="99"/>
      <c r="K514" s="82"/>
      <c r="L514" s="82"/>
      <c r="M514" s="206"/>
      <c r="N514" s="86"/>
    </row>
    <row r="515" spans="2:14" ht="56.25" hidden="1" x14ac:dyDescent="0.25">
      <c r="B515" s="203" t="s">
        <v>432</v>
      </c>
      <c r="C515" s="211">
        <v>91790</v>
      </c>
      <c r="D515" s="215" t="s">
        <v>434</v>
      </c>
      <c r="E515" s="217" t="s">
        <v>37</v>
      </c>
      <c r="F515" s="312"/>
      <c r="G515" s="121"/>
      <c r="H515" s="70"/>
      <c r="I515" s="105"/>
      <c r="J515" s="99">
        <f>'BOLETIM DE MEDIÇÃO 12'!T159-'MEMORIAL DE CALCULO 09)'!K515</f>
        <v>-12.902999999999999</v>
      </c>
      <c r="K515" s="81">
        <f>K516</f>
        <v>12.902999999999999</v>
      </c>
      <c r="L515" s="82">
        <f t="shared" si="31"/>
        <v>0</v>
      </c>
      <c r="M515" s="206">
        <v>43.01</v>
      </c>
      <c r="N515" s="86"/>
    </row>
    <row r="516" spans="2:14" hidden="1" x14ac:dyDescent="0.25">
      <c r="B516" s="50"/>
      <c r="C516" s="66"/>
      <c r="D516" s="377" t="s">
        <v>984</v>
      </c>
      <c r="E516" s="69"/>
      <c r="F516" s="312">
        <v>1</v>
      </c>
      <c r="G516" s="468">
        <f>0.3*43.01</f>
        <v>12.902999999999999</v>
      </c>
      <c r="H516" s="469"/>
      <c r="I516" s="470"/>
      <c r="J516" s="99"/>
      <c r="K516" s="82">
        <f>G516</f>
        <v>12.902999999999999</v>
      </c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idden="1" x14ac:dyDescent="0.25">
      <c r="B544" s="50"/>
      <c r="C544" s="66"/>
      <c r="D544" s="53"/>
      <c r="E544" s="69"/>
      <c r="F544" s="312"/>
      <c r="G544" s="121"/>
      <c r="H544" s="70"/>
      <c r="I544" s="105"/>
      <c r="J544" s="99"/>
      <c r="K544" s="82"/>
      <c r="L544" s="82"/>
      <c r="M544" s="82"/>
      <c r="N544" s="86"/>
    </row>
    <row r="545" spans="1:14" hidden="1" x14ac:dyDescent="0.25">
      <c r="B545" s="50"/>
      <c r="C545" s="66"/>
      <c r="D545" s="53"/>
      <c r="E545" s="69"/>
      <c r="F545" s="312"/>
      <c r="G545" s="121"/>
      <c r="H545" s="70"/>
      <c r="I545" s="105"/>
      <c r="J545" s="99"/>
      <c r="K545" s="82"/>
      <c r="L545" s="82"/>
      <c r="M545" s="82"/>
      <c r="N545" s="86"/>
    </row>
    <row r="546" spans="1:14" ht="14.45" hidden="1" customHeight="1" x14ac:dyDescent="0.25">
      <c r="B546" s="51">
        <v>1.1499999999999999</v>
      </c>
      <c r="C546" s="65" t="s">
        <v>474</v>
      </c>
      <c r="D546" s="53"/>
      <c r="E546" s="44"/>
      <c r="F546" s="130"/>
      <c r="G546" s="469"/>
      <c r="H546" s="469"/>
      <c r="I546" s="470"/>
      <c r="J546" s="99"/>
      <c r="K546" s="81"/>
      <c r="L546" s="82"/>
      <c r="M546" s="82"/>
      <c r="N546" s="86"/>
    </row>
    <row r="547" spans="1:14" ht="56.25" hidden="1" x14ac:dyDescent="0.25">
      <c r="A547" s="79"/>
      <c r="B547" s="50" t="s">
        <v>495</v>
      </c>
      <c r="C547" s="66">
        <v>87548</v>
      </c>
      <c r="D547" s="53" t="s">
        <v>154</v>
      </c>
      <c r="E547" s="44" t="s">
        <v>17</v>
      </c>
      <c r="F547" s="259"/>
      <c r="G547" s="121"/>
      <c r="H547" s="70"/>
      <c r="I547" s="105"/>
      <c r="J547" s="99">
        <f>'BOLETIM DE MEDIÇÃO 05'!O190-'MEMORIAL DE CALCULO 09)'!K547</f>
        <v>6.2000000000011823E-2</v>
      </c>
      <c r="K547" s="351">
        <f>K548</f>
        <v>405.60400000000004</v>
      </c>
      <c r="L547" s="82">
        <f t="shared" ref="L547" si="32">J547+K547</f>
        <v>405.66600000000005</v>
      </c>
      <c r="M547" s="82">
        <f>'BOLETIM DE MEDIÇÃO 05'!G190</f>
        <v>811.27</v>
      </c>
      <c r="N547" s="86">
        <f t="shared" ref="N547" si="33">M547-L547</f>
        <v>405.60399999999993</v>
      </c>
    </row>
    <row r="548" spans="1:14" hidden="1" x14ac:dyDescent="0.25">
      <c r="A548" s="79"/>
      <c r="B548" s="50"/>
      <c r="C548" s="66"/>
      <c r="D548" s="344" t="s">
        <v>960</v>
      </c>
      <c r="E548" s="44"/>
      <c r="F548" s="130">
        <v>2</v>
      </c>
      <c r="G548" s="468">
        <f>65.42</f>
        <v>65.42</v>
      </c>
      <c r="H548" s="471"/>
      <c r="I548" s="105">
        <v>3.1</v>
      </c>
      <c r="J548" s="99"/>
      <c r="K548" s="351">
        <f>F548*G548*I548</f>
        <v>405.60400000000004</v>
      </c>
      <c r="L548" s="82"/>
      <c r="M548" s="82"/>
      <c r="N548" s="86"/>
    </row>
    <row r="549" spans="1:14" ht="14.45" hidden="1" customHeight="1" x14ac:dyDescent="0.25">
      <c r="A549" s="79"/>
      <c r="B549" s="266"/>
      <c r="C549" s="266"/>
      <c r="D549" s="255"/>
      <c r="E549" s="238"/>
      <c r="F549" s="261"/>
      <c r="G549" s="272"/>
      <c r="H549" s="273"/>
      <c r="I549" s="274"/>
      <c r="J549" s="255"/>
      <c r="K549" s="238"/>
      <c r="L549" s="238"/>
      <c r="M549" s="238"/>
      <c r="N549" s="258"/>
    </row>
    <row r="552" spans="1:14" ht="69.599999999999994" hidden="1" customHeight="1" x14ac:dyDescent="0.25">
      <c r="D552" s="278" t="s">
        <v>832</v>
      </c>
      <c r="E552" s="277" t="s">
        <v>41</v>
      </c>
      <c r="F552" s="279"/>
      <c r="G552" s="546" t="s">
        <v>836</v>
      </c>
      <c r="H552" s="547"/>
      <c r="I552" s="548"/>
      <c r="J552" s="279"/>
      <c r="K552" s="280">
        <f>SUM(K555:K559)</f>
        <v>16.472439999999999</v>
      </c>
      <c r="M552" s="282"/>
    </row>
    <row r="553" spans="1:14" ht="14.45" hidden="1" customHeight="1" x14ac:dyDescent="0.25">
      <c r="D553" s="239"/>
      <c r="E553" s="239"/>
      <c r="F553" s="239"/>
      <c r="G553" s="239"/>
      <c r="H553" s="239"/>
      <c r="I553" s="239"/>
      <c r="J553" s="239"/>
      <c r="K553" s="239"/>
    </row>
    <row r="554" spans="1:14" ht="36.6" hidden="1" customHeight="1" x14ac:dyDescent="0.25">
      <c r="D554" s="281"/>
      <c r="E554" s="239"/>
      <c r="F554" s="275" t="s">
        <v>556</v>
      </c>
      <c r="G554" s="276" t="s">
        <v>833</v>
      </c>
      <c r="H554" s="276" t="s">
        <v>834</v>
      </c>
      <c r="I554" s="276" t="s">
        <v>835</v>
      </c>
      <c r="J554" s="239"/>
      <c r="K554" s="239"/>
    </row>
    <row r="555" spans="1:14" ht="14.45" hidden="1" customHeight="1" x14ac:dyDescent="0.25">
      <c r="D555" s="288" t="s">
        <v>879</v>
      </c>
      <c r="E555" s="239"/>
      <c r="F555" s="245">
        <v>1</v>
      </c>
      <c r="G555" s="245">
        <v>12.5</v>
      </c>
      <c r="H555" s="245">
        <v>0.1</v>
      </c>
      <c r="I555" s="245">
        <v>0.36</v>
      </c>
      <c r="J555" s="277"/>
      <c r="K555" s="245">
        <f>((I555+H555/2)*G555)*0.2</f>
        <v>1.0250000000000001</v>
      </c>
    </row>
    <row r="556" spans="1:14" ht="20.45" hidden="1" customHeight="1" x14ac:dyDescent="0.25">
      <c r="D556" s="288" t="s">
        <v>876</v>
      </c>
      <c r="E556" s="239"/>
      <c r="F556" s="245">
        <v>1</v>
      </c>
      <c r="G556" s="245">
        <v>11.67</v>
      </c>
      <c r="H556" s="245">
        <v>0.36</v>
      </c>
      <c r="I556" s="245">
        <v>0.53</v>
      </c>
      <c r="J556" s="277"/>
      <c r="K556" s="245">
        <f t="shared" ref="K556:K559" si="34">((I556+H556/2)*G556)*0.2</f>
        <v>1.6571400000000001</v>
      </c>
    </row>
    <row r="557" spans="1:14" ht="20.45" hidden="1" customHeight="1" x14ac:dyDescent="0.25">
      <c r="D557" s="288" t="s">
        <v>880</v>
      </c>
      <c r="E557" s="239"/>
      <c r="F557" s="245">
        <v>1</v>
      </c>
      <c r="G557" s="245">
        <v>27.1</v>
      </c>
      <c r="H557" s="245">
        <v>0.53</v>
      </c>
      <c r="I557" s="245">
        <v>0.74</v>
      </c>
      <c r="J557" s="277"/>
      <c r="K557" s="245">
        <f t="shared" si="34"/>
        <v>5.4470999999999998</v>
      </c>
    </row>
    <row r="558" spans="1:14" ht="30.6" hidden="1" customHeight="1" x14ac:dyDescent="0.25">
      <c r="D558" s="288" t="s">
        <v>881</v>
      </c>
      <c r="E558" s="239"/>
      <c r="F558" s="245">
        <v>1</v>
      </c>
      <c r="G558" s="245">
        <v>33.9</v>
      </c>
      <c r="H558" s="245">
        <v>0.74</v>
      </c>
      <c r="I558" s="245">
        <v>0.61</v>
      </c>
      <c r="J558" s="277"/>
      <c r="K558" s="245">
        <f t="shared" si="34"/>
        <v>6.644400000000001</v>
      </c>
    </row>
    <row r="559" spans="1:14" ht="20.45" hidden="1" customHeight="1" x14ac:dyDescent="0.25">
      <c r="D559" s="288" t="s">
        <v>882</v>
      </c>
      <c r="E559" s="239"/>
      <c r="F559" s="245">
        <v>1</v>
      </c>
      <c r="G559" s="245">
        <v>12.4</v>
      </c>
      <c r="H559" s="245">
        <v>0.61</v>
      </c>
      <c r="I559" s="245">
        <v>0.38</v>
      </c>
      <c r="J559" s="277"/>
      <c r="K559" s="245">
        <f t="shared" si="34"/>
        <v>1.6988000000000003</v>
      </c>
    </row>
    <row r="562" spans="7:7" x14ac:dyDescent="0.25">
      <c r="G562" s="330"/>
    </row>
  </sheetData>
  <mergeCells count="288"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97:I397"/>
    <mergeCell ref="G399:I399"/>
    <mergeCell ref="G403:I403"/>
    <mergeCell ref="G405:I405"/>
    <mergeCell ref="G407:I407"/>
    <mergeCell ref="G379:H379"/>
    <mergeCell ref="G380:H380"/>
    <mergeCell ref="G387:I387"/>
    <mergeCell ref="G390:I390"/>
    <mergeCell ref="G393:I393"/>
    <mergeCell ref="G395:I395"/>
    <mergeCell ref="G385:I385"/>
    <mergeCell ref="G388:I388"/>
    <mergeCell ref="G391:I391"/>
    <mergeCell ref="G401:I401"/>
    <mergeCell ref="G422:I422"/>
    <mergeCell ref="G425:I425"/>
    <mergeCell ref="G429:I429"/>
    <mergeCell ref="G437:I437"/>
    <mergeCell ref="G439:I439"/>
    <mergeCell ref="G441:I441"/>
    <mergeCell ref="G409:I409"/>
    <mergeCell ref="G411:I411"/>
    <mergeCell ref="G413:I413"/>
    <mergeCell ref="G415:I415"/>
    <mergeCell ref="G419:I419"/>
    <mergeCell ref="G431:I431"/>
    <mergeCell ref="C452:D452"/>
    <mergeCell ref="G454:I454"/>
    <mergeCell ref="G457:I457"/>
    <mergeCell ref="G460:I460"/>
    <mergeCell ref="G463:I463"/>
    <mergeCell ref="G466:I466"/>
    <mergeCell ref="G445:I445"/>
    <mergeCell ref="G447:I447"/>
    <mergeCell ref="G448:I448"/>
    <mergeCell ref="G449:I449"/>
    <mergeCell ref="G450:I450"/>
    <mergeCell ref="G451:I451"/>
    <mergeCell ref="G546:I546"/>
    <mergeCell ref="G548:H548"/>
    <mergeCell ref="G552:I552"/>
    <mergeCell ref="G469:I469"/>
    <mergeCell ref="G472:I472"/>
    <mergeCell ref="G502:I502"/>
    <mergeCell ref="G505:I505"/>
    <mergeCell ref="G511:I511"/>
    <mergeCell ref="G516:I516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BCEBC-5DB3-43A2-A69B-017FFF7A5F39}">
  <sheetPr>
    <pageSetUpPr fitToPage="1"/>
  </sheetPr>
  <dimension ref="A1:U560"/>
  <sheetViews>
    <sheetView topLeftCell="A6" zoomScaleNormal="100" workbookViewId="0">
      <selection activeCell="G403" sqref="G403:I403"/>
    </sheetView>
  </sheetViews>
  <sheetFormatPr defaultRowHeight="15" x14ac:dyDescent="0.25"/>
  <cols>
    <col min="2" max="2" width="6.28515625" customWidth="1"/>
    <col min="3" max="3" width="19.2851562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3" t="s">
        <v>993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f>'BOLETIM DE MEDIÇÃO 12'!B8:C8</f>
        <v>45985</v>
      </c>
      <c r="C8" s="498"/>
      <c r="D8" s="23" t="str">
        <f>'BOLETIM DE MEDIÇÃO 12'!D8</f>
        <v>27/09/2025 a 24/11/2025</v>
      </c>
      <c r="E8" s="499">
        <f>'BOLETIM DE MEDIÇÃO 12'!E8</f>
        <v>42245.579999999994</v>
      </c>
      <c r="F8" s="500"/>
      <c r="G8" s="501"/>
      <c r="H8" s="502">
        <f>'BOLETIM DE MEDIÇÃO 05'!H8</f>
        <v>274592.67562904983</v>
      </c>
      <c r="I8" s="503"/>
      <c r="J8" s="504" t="s">
        <v>987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08'!K14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08'!K15</f>
        <v>2.25</v>
      </c>
      <c r="K15" s="81">
        <f>F15*G15*H15</f>
        <v>2.75</v>
      </c>
      <c r="L15" s="82">
        <f t="shared" ref="L15:L417" si="0">J15+K15</f>
        <v>5</v>
      </c>
      <c r="M15" s="82">
        <f>'BOLETIM DE MEDIÇÃO 05'!G15</f>
        <v>5</v>
      </c>
      <c r="N15" s="86">
        <f t="shared" ref="N15:N417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08'!K16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08'!K17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08'!K19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08'!K21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08'!K24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08'!K25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0">
        <v>1</v>
      </c>
      <c r="G70" s="525">
        <f>43.05</f>
        <v>43.05</v>
      </c>
      <c r="H70" s="526"/>
      <c r="I70" s="527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1"/>
      <c r="G71" s="528"/>
      <c r="H71" s="529"/>
      <c r="I71" s="530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22" t="s">
        <v>883</v>
      </c>
      <c r="H72" s="523"/>
      <c r="I72" s="524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20" t="s">
        <v>838</v>
      </c>
      <c r="H73" s="521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20">
        <v>9</v>
      </c>
      <c r="H74" s="521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20">
        <v>5</v>
      </c>
      <c r="H75" s="521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20">
        <f xml:space="preserve"> (13.03 * 2.7)</f>
        <v>35.180999999999997</v>
      </c>
      <c r="H76" s="521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20">
        <v>3</v>
      </c>
      <c r="H77" s="521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20">
        <v>7</v>
      </c>
      <c r="H78" s="521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20">
        <v>21</v>
      </c>
      <c r="H79" s="521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20">
        <v>27</v>
      </c>
      <c r="H80" s="521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20">
        <v>26</v>
      </c>
      <c r="H81" s="521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20">
        <v>1.6</v>
      </c>
      <c r="H82" s="521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20">
        <v>1.6</v>
      </c>
      <c r="H83" s="521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20">
        <v>45</v>
      </c>
      <c r="H84" s="521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20">
        <v>19</v>
      </c>
      <c r="H85" s="521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20">
        <v>19</v>
      </c>
      <c r="H86" s="521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20">
        <v>5</v>
      </c>
      <c r="H87" s="521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20">
        <v>14</v>
      </c>
      <c r="H88" s="521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31">
        <v>36</v>
      </c>
      <c r="H89" s="532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31">
        <v>46</v>
      </c>
      <c r="H90" s="532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20">
        <v>41</v>
      </c>
      <c r="H91" s="521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20">
        <v>27</v>
      </c>
      <c r="H92" s="521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20">
        <v>53</v>
      </c>
      <c r="H93" s="521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20">
        <f xml:space="preserve"> (2.65*1.8)</f>
        <v>4.7699999999999996</v>
      </c>
      <c r="H94" s="521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20">
        <v>30</v>
      </c>
      <c r="H95" s="521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20">
        <v>30</v>
      </c>
      <c r="H96" s="521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20">
        <v>14</v>
      </c>
      <c r="H97" s="521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20">
        <v>14</v>
      </c>
      <c r="H98" s="521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20">
        <v>20</v>
      </c>
      <c r="H99" s="521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20">
        <v>3</v>
      </c>
      <c r="H100" s="521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20">
        <v>4</v>
      </c>
      <c r="H101" s="521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20">
        <v>12</v>
      </c>
      <c r="H102" s="521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20">
        <v>20</v>
      </c>
      <c r="H103" s="521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20">
        <v>4</v>
      </c>
      <c r="H104" s="521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20">
        <v>5</v>
      </c>
      <c r="H105" s="521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20">
        <f>1184.23-SUM(G74:H105)</f>
        <v>582.07900000000006</v>
      </c>
      <c r="H106" s="521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20"/>
      <c r="H107" s="521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09" t="s">
        <v>652</v>
      </c>
      <c r="H108" s="512"/>
      <c r="I108" s="51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08'!K154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08'!K163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6" t="s">
        <v>831</v>
      </c>
      <c r="H172" s="507"/>
      <c r="I172" s="508"/>
      <c r="J172" s="99">
        <f>'BOLETIM DE MEDIÇÃO 05'!O29-'MEMORIAL DE CALCULO 08'!K172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09">
        <v>492.78</v>
      </c>
      <c r="H173" s="512"/>
      <c r="I173" s="51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09">
        <f>(2*12)+(2*3.79)+(2*8.94)+(2*6.27)+ 1.39+0.99 +(2*1.85)+(2*1.7)+ (2*1.35)</f>
        <v>74.180000000000007</v>
      </c>
      <c r="H174" s="510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09">
        <f>(2*10.92)+(2*10.92)+ 1.3 + 1.1</f>
        <v>46.08</v>
      </c>
      <c r="H175" s="510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09">
        <f>(2*1.87)+(2*1.87)</f>
        <v>7.48</v>
      </c>
      <c r="H176" s="510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09">
        <f>(2*6.55)+(2*6.3)+1.75+1.35+1.19</f>
        <v>29.990000000000002</v>
      </c>
      <c r="H177" s="510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09">
        <f>(2*8.39)+(2*1.7)+ 1.1+ 3.13 + (2*5.24)+ (2*3.11)</f>
        <v>41.11</v>
      </c>
      <c r="H178" s="510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09"/>
      <c r="H179" s="510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09"/>
      <c r="H180" s="510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09"/>
      <c r="H181" s="510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09"/>
      <c r="H182" s="510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09"/>
      <c r="H183" s="510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09"/>
      <c r="H184" s="510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09"/>
      <c r="H185" s="510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09"/>
      <c r="H186" s="510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09"/>
      <c r="H187" s="510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09"/>
      <c r="H188" s="510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09"/>
      <c r="H189" s="510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09"/>
      <c r="H190" s="510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09"/>
      <c r="H191" s="510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09"/>
      <c r="H192" s="510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09"/>
      <c r="H193" s="510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09"/>
      <c r="H194" s="510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09"/>
      <c r="H195" s="510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09"/>
      <c r="H196" s="510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09"/>
      <c r="H197" s="510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09"/>
      <c r="H198" s="510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09"/>
      <c r="H199" s="510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6">
        <f xml:space="preserve"> (2*1.31) + (2*1.51) + (2*4.98)</f>
        <v>15.600000000000001</v>
      </c>
      <c r="H201" s="511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6">
        <f xml:space="preserve"> (3*3.37) + (1.37) + (2*3.47)</f>
        <v>18.420000000000002</v>
      </c>
      <c r="H202" s="511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6">
        <f xml:space="preserve"> (1.87) + (2*3.62)</f>
        <v>9.11</v>
      </c>
      <c r="H203" s="511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6">
        <f xml:space="preserve"> (4*0.88) + (2*3.36) + (2*5.03)</f>
        <v>20.3</v>
      </c>
      <c r="H204" s="511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6">
        <f xml:space="preserve"> (2*3.18) + (2*3.18)</f>
        <v>12.72</v>
      </c>
      <c r="H205" s="511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6">
        <f xml:space="preserve"> (4*2.15)</f>
        <v>8.6</v>
      </c>
      <c r="H206" s="511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6">
        <f xml:space="preserve"> (4*6.99)</f>
        <v>27.96</v>
      </c>
      <c r="H207" s="511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6" t="s">
        <v>831</v>
      </c>
      <c r="H208" s="507"/>
      <c r="I208" s="508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6"/>
      <c r="H209" s="507"/>
      <c r="I209" s="508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09" t="s">
        <v>679</v>
      </c>
      <c r="H217" s="510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6" t="s">
        <v>680</v>
      </c>
      <c r="H218" s="511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6" t="s">
        <v>681</v>
      </c>
      <c r="H219" s="511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6" t="s">
        <v>682</v>
      </c>
      <c r="H220" s="511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6" t="s">
        <v>684</v>
      </c>
      <c r="H221" s="511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6" t="s">
        <v>683</v>
      </c>
      <c r="H222" s="511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6" t="s">
        <v>685</v>
      </c>
      <c r="H223" s="511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09" t="s">
        <v>686</v>
      </c>
      <c r="H224" s="510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6" t="s">
        <v>687</v>
      </c>
      <c r="H225" s="511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6" t="s">
        <v>688</v>
      </c>
      <c r="H226" s="511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09" t="s">
        <v>689</v>
      </c>
      <c r="H227" s="510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6" t="s">
        <v>690</v>
      </c>
      <c r="H228" s="511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09" t="s">
        <v>691</v>
      </c>
      <c r="H229" s="510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6" t="s">
        <v>692</v>
      </c>
      <c r="H230" s="511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6" t="s">
        <v>693</v>
      </c>
      <c r="H231" s="511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09" t="s">
        <v>694</v>
      </c>
      <c r="H232" s="510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6" t="s">
        <v>695</v>
      </c>
      <c r="H233" s="511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6" t="s">
        <v>696</v>
      </c>
      <c r="H234" s="511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6" t="s">
        <v>697</v>
      </c>
      <c r="H235" s="511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6" t="s">
        <v>698</v>
      </c>
      <c r="H236" s="511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6" t="s">
        <v>699</v>
      </c>
      <c r="H237" s="511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6" t="s">
        <v>700</v>
      </c>
      <c r="H238" s="511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6" t="s">
        <v>701</v>
      </c>
      <c r="H239" s="511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09" t="s">
        <v>702</v>
      </c>
      <c r="H240" s="510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6" t="s">
        <v>704</v>
      </c>
      <c r="H241" s="511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6" t="s">
        <v>703</v>
      </c>
      <c r="H242" s="511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6" t="s">
        <v>703</v>
      </c>
      <c r="H243" s="511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6" t="s">
        <v>705</v>
      </c>
      <c r="H244" s="511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6" t="s">
        <v>704</v>
      </c>
      <c r="H245" s="511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6" t="s">
        <v>705</v>
      </c>
      <c r="H246" s="511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6" t="s">
        <v>704</v>
      </c>
      <c r="H247" s="511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6">
        <v>9.6</v>
      </c>
      <c r="H248" s="507"/>
      <c r="I248" s="508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6">
        <v>12.75</v>
      </c>
      <c r="H249" s="507"/>
      <c r="I249" s="508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36" t="s">
        <v>874</v>
      </c>
      <c r="H257" s="537"/>
      <c r="I257" s="538"/>
      <c r="J257" s="99">
        <f>'BOLETIM DE MEDIÇÃO 05'!O31-'MEMORIAL DE CALCULO 08'!K257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6"/>
      <c r="H258" s="507"/>
      <c r="I258" s="508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6">
        <v>9.6</v>
      </c>
      <c r="H259" s="507"/>
      <c r="I259" s="508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6" t="s">
        <v>831</v>
      </c>
      <c r="H260" s="507"/>
      <c r="I260" s="508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6">
        <f>G249</f>
        <v>12.75</v>
      </c>
      <c r="H261" s="507"/>
      <c r="I261" s="508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6" t="s">
        <v>831</v>
      </c>
      <c r="H262" s="507"/>
      <c r="I262" s="508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09" t="s">
        <v>647</v>
      </c>
      <c r="H263" s="510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6">
        <f xml:space="preserve"> ((0.59*(1.85/0.1)) * 2)</f>
        <v>21.83</v>
      </c>
      <c r="H264" s="511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6">
        <f>(0.69*(1.87/0.1)) + (0.79*(1.87/0.1))</f>
        <v>27.675999999999998</v>
      </c>
      <c r="H265" s="511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6">
        <f>((0.69*(1.9/0.1))*3) + ((0.59*(1.87/0.1))*2)</f>
        <v>61.395999999999987</v>
      </c>
      <c r="H266" s="511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6">
        <f>((0.69*(1.92/0.1))*1) + ((0.59*(1.92/0.1))*2)</f>
        <v>35.903999999999996</v>
      </c>
      <c r="H267" s="511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6">
        <f>((0.79*(1.94/0.1))*3)</f>
        <v>45.977999999999994</v>
      </c>
      <c r="H268" s="511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6">
        <f>((0.69*(1.96/0.1))*3) + ((0.59*(1.96/0.1))*2)</f>
        <v>63.699999999999989</v>
      </c>
      <c r="H269" s="511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6">
        <f>((0.59*(1.95/0.1))*2) + ((0.69*(1.95/0.1))*3) +((0.79*(1.95/0.1))*1)</f>
        <v>78.78</v>
      </c>
      <c r="H270" s="511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6">
        <f>((0.59*(1.97/0.1))*1)  +((0.79*(1.97/0.1))*2)</f>
        <v>42.749000000000002</v>
      </c>
      <c r="H271" s="511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6">
        <f>((0.59*(1.9/0.1))*3)</f>
        <v>33.629999999999995</v>
      </c>
      <c r="H272" s="511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6">
        <f>((0.69*(1.86/0.1))*1) + ((0.69*(1.86/0.1))*1) + ((0.89*(1.86/0.1))*1)</f>
        <v>42.222000000000001</v>
      </c>
      <c r="H273" s="511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6">
        <f>((0.69*(1.87/0.1))*3)</f>
        <v>38.708999999999996</v>
      </c>
      <c r="H274" s="511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6">
        <f>((0.69*(1.9/0.1))*1) + ((0.79*(1.9/0.1))*2) + ((0.59*(1.9/0.1))*1)</f>
        <v>54.339999999999989</v>
      </c>
      <c r="H275" s="511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6">
        <f>((0.79*(1.91/0.1))*1) +((0.59*(1.91/0.1))*1)</f>
        <v>26.357999999999997</v>
      </c>
      <c r="H276" s="511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6">
        <f>((0.79*(1.94/0.1))*1) +((0.59*(1.94/0.1))*5)</f>
        <v>72.555999999999983</v>
      </c>
      <c r="H277" s="511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6">
        <f>((0.69*(1.92/0.1))*2) + ((0.69*(1.92/0.1))*1)</f>
        <v>39.744</v>
      </c>
      <c r="H278" s="511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6">
        <f>((0.59*(1.93/0.1))*2) + ((0.79*(1.93/0.1))*1)</f>
        <v>38.020999999999994</v>
      </c>
      <c r="H279" s="511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6">
        <f>((0.59*(1.87/0.1))*2) + ((0.69*(1.87/0.1))*2)</f>
        <v>47.872</v>
      </c>
      <c r="H280" s="511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6">
        <f>((0.59*(1.88/0.1))*3) + ((0.69*(1.88/0.1))*1)</f>
        <v>46.24799999999999</v>
      </c>
      <c r="H281" s="511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6">
        <f>((0.79*(1.9/0.1))*1) + ((0.69*(1.9/0.1))*3)</f>
        <v>54.339999999999982</v>
      </c>
      <c r="H282" s="511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6">
        <f>((0.59*(1.9/0.1))*1)</f>
        <v>11.209999999999997</v>
      </c>
      <c r="H283" s="511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6">
        <f>((0.69*(1.87/0.1))*1) + ((0.59*(1.87/0.1))*1)</f>
        <v>23.936</v>
      </c>
      <c r="H284" s="511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6">
        <f>((0.69*(2/0.1))*1) + ((0.59*(2/0.1))*2)</f>
        <v>37.4</v>
      </c>
      <c r="H285" s="511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6">
        <f>((0.69*(2.01/0.1))*1) + ((0.59*(2.01/0.1))*5) + ((0.79*(2.01/0.1))*1)</f>
        <v>89.042999999999992</v>
      </c>
      <c r="H286" s="511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6">
        <f>(((1.39+0.47+0.47))*(1.86/0.15))</f>
        <v>28.892000000000003</v>
      </c>
      <c r="H287" s="511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6">
        <f>(((1.09+0.022))*(1.87/0.15))</f>
        <v>13.862933333333336</v>
      </c>
      <c r="H288" s="511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6">
        <f>(((1.09+0.022))*(1.89/0.15))</f>
        <v>14.011200000000001</v>
      </c>
      <c r="H289" s="511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6">
        <f>(((0.59))*(1.9/0.15))</f>
        <v>7.4733333333333327</v>
      </c>
      <c r="H290" s="511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6">
        <f>(((0.59))*(1.92/0.15))</f>
        <v>7.5519999999999996</v>
      </c>
      <c r="H291" s="511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6">
        <f>(((0.59))*(1.9/0.15))</f>
        <v>7.4733333333333327</v>
      </c>
      <c r="H292" s="511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6">
        <f>(((0.69))*(1.98/0.15))</f>
        <v>9.1080000000000005</v>
      </c>
      <c r="H293" s="511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09">
        <v>210.13</v>
      </c>
      <c r="H294" s="512"/>
      <c r="I294" s="51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6">
        <f xml:space="preserve"> (2*2.51) + (40*0.59)</f>
        <v>28.619999999999997</v>
      </c>
      <c r="H295" s="511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6">
        <f xml:space="preserve"> (19*0.79)</f>
        <v>15.010000000000002</v>
      </c>
      <c r="H296" s="511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6">
        <f xml:space="preserve"> (21*0.79)</f>
        <v>16.59</v>
      </c>
      <c r="H297" s="511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6">
        <f xml:space="preserve"> (2*3.86) + (29*0.79)</f>
        <v>30.63</v>
      </c>
      <c r="H298" s="511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6">
        <f xml:space="preserve"> (22*0.59)</f>
        <v>12.979999999999999</v>
      </c>
      <c r="H299" s="511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6">
        <f xml:space="preserve"> (14*0.059)</f>
        <v>0.82599999999999996</v>
      </c>
      <c r="H300" s="511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6">
        <f xml:space="preserve"> (59*0.59)</f>
        <v>34.809999999999995</v>
      </c>
      <c r="H301" s="511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08'!K302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6">
        <v>295</v>
      </c>
      <c r="H303" s="507"/>
      <c r="I303" s="508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09" t="s">
        <v>628</v>
      </c>
      <c r="H306" s="510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6">
        <f xml:space="preserve"> (4*(0.2+0.25+1.85+0.33)) * 2</f>
        <v>21.040000000000003</v>
      </c>
      <c r="H307" s="511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6">
        <f xml:space="preserve"> ((4*(0.2+0.25+1.87+0.33)) * 2)</f>
        <v>21.200000000000003</v>
      </c>
      <c r="H308" s="511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6">
        <f xml:space="preserve"> (4*(0.2+0.25+1.9+0.33)) * 5</f>
        <v>53.6</v>
      </c>
      <c r="H309" s="511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6">
        <f xml:space="preserve"> (4*(0.2+0.25+1.92+0.33)) *3</f>
        <v>32.400000000000006</v>
      </c>
      <c r="H310" s="511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6">
        <f xml:space="preserve"> (4*(0.2+0.25+1.94+0.33)) * 3</f>
        <v>32.64</v>
      </c>
      <c r="H311" s="511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6">
        <f xml:space="preserve"> (4*(0.2+0.25+1.96+0.33)) * 5</f>
        <v>54.800000000000004</v>
      </c>
      <c r="H312" s="511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6">
        <f xml:space="preserve"> (4*(0.2+0.25+1.95+0.33)) * 6</f>
        <v>65.52</v>
      </c>
      <c r="H313" s="511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6">
        <f xml:space="preserve"> (4*(0.2+0.25+1.97+0.33)) * 3</f>
        <v>33</v>
      </c>
      <c r="H314" s="511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6">
        <f xml:space="preserve"> (4*(0.2+0.25+1.9+0.33)) * 3</f>
        <v>32.160000000000004</v>
      </c>
      <c r="H315" s="511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6">
        <f xml:space="preserve"> ((4*(0.2+0.25+1.86+0.33)) * 3)</f>
        <v>31.68</v>
      </c>
      <c r="H316" s="511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6">
        <f xml:space="preserve"> ((4*(0.2+0.25+1.87+0.33)) * 3)</f>
        <v>31.800000000000004</v>
      </c>
      <c r="H317" s="511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6">
        <f xml:space="preserve"> ((4*(0.2+0.25+1.9+0.33)) * 4)</f>
        <v>42.88</v>
      </c>
      <c r="H318" s="511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6">
        <f xml:space="preserve"> ((4*(0.2+0.25+1.91+0.33)) * 2)</f>
        <v>21.52</v>
      </c>
      <c r="H319" s="511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6">
        <f xml:space="preserve"> ((4*(0.2+0.25+1.94+0.33)) * 6)</f>
        <v>65.28</v>
      </c>
      <c r="H320" s="511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6">
        <f xml:space="preserve"> ((4*(0.2+0.25+1.92+0.33)) *3)</f>
        <v>32.400000000000006</v>
      </c>
      <c r="H321" s="511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6">
        <f xml:space="preserve"> ((4*(0.2+0.25+1.93+0.33)) *3)</f>
        <v>32.519999999999996</v>
      </c>
      <c r="H322" s="511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6">
        <f xml:space="preserve"> ((4*(0.2+0.25+1.87+0.33)) *4)</f>
        <v>42.400000000000006</v>
      </c>
      <c r="H323" s="511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6">
        <f xml:space="preserve"> ((4*(0.2+0.25+1.88+0.33)) *4)</f>
        <v>42.56</v>
      </c>
      <c r="H324" s="511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6">
        <f xml:space="preserve"> ((4*(0.2+0.25+1.9+0.33)) *4)</f>
        <v>42.88</v>
      </c>
      <c r="H325" s="511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6">
        <f>((4*(0.2+0.25+1.9+0.33))) + ((8*(0.2+0.25+1.9)))</f>
        <v>29.520000000000003</v>
      </c>
      <c r="H326" s="511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6">
        <f xml:space="preserve"> ((4*(0.2+0.25+1.97+0.33)) *2)</f>
        <v>22</v>
      </c>
      <c r="H327" s="511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6">
        <f xml:space="preserve"> ((4*(0.2+0.25+2+0.33)) *3)</f>
        <v>33.36</v>
      </c>
      <c r="H328" s="511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6">
        <f xml:space="preserve"> ((4*(0.2+0.25+2.01+0.33)) *7)</f>
        <v>78.12</v>
      </c>
      <c r="H329" s="511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6" t="s">
        <v>831</v>
      </c>
      <c r="H330" s="507"/>
      <c r="I330" s="508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09" t="s">
        <v>628</v>
      </c>
      <c r="H331" s="510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6">
        <f>((8*(0.2+0.25+1.86+0.42)))</f>
        <v>21.84</v>
      </c>
      <c r="H332" s="511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6">
        <f>((6*(0.2+0.25+1.87+0.42)))</f>
        <v>16.440000000000001</v>
      </c>
      <c r="H333" s="511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6">
        <f>((6*(0.2+0.25+1.89+0.42)))</f>
        <v>16.559999999999999</v>
      </c>
      <c r="H334" s="511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6">
        <f>((4*(0.2+0.25+1.9+0.42)))</f>
        <v>11.08</v>
      </c>
      <c r="H335" s="511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6">
        <f>((4*(0.2+0.25+1.92+0.42)))</f>
        <v>11.16</v>
      </c>
      <c r="H336" s="511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6">
        <f>((4*(0.2+0.25+1.9+0.42)))</f>
        <v>11.08</v>
      </c>
      <c r="H337" s="511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6">
        <f>((4*(0.2+0.25+1.98+0.42)))+(2*(0.2+0.25+1.98))</f>
        <v>16.260000000000002</v>
      </c>
      <c r="H338" s="511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09">
        <v>52.34</v>
      </c>
      <c r="H339" s="512"/>
      <c r="I339" s="51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6"/>
      <c r="H340" s="507"/>
      <c r="I340" s="508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6">
        <v>223.49</v>
      </c>
      <c r="H341" s="507"/>
      <c r="I341" s="508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09" t="s">
        <v>706</v>
      </c>
      <c r="H350" s="510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6">
        <f xml:space="preserve"> ((0.15+0.25)*2) *2</f>
        <v>1.6</v>
      </c>
      <c r="H351" s="511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6">
        <f xml:space="preserve"> ((0.2+0.25)*2) + ((0.2+0.3)*2)</f>
        <v>1.9</v>
      </c>
      <c r="H352" s="511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6">
        <f xml:space="preserve"> ((0.2+0.25)*2*3) + ((0.2+0.2)*2*1) + ((0.15+0.2)*2*1)</f>
        <v>4.2</v>
      </c>
      <c r="H353" s="511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6">
        <f xml:space="preserve"> ((0.2+0.25)*2*1) + ((0.15+0.25)*2*2)</f>
        <v>2.5</v>
      </c>
      <c r="H354" s="511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6">
        <f xml:space="preserve"> ((0.15+0.3)*2*3)</f>
        <v>2.6999999999999997</v>
      </c>
      <c r="H355" s="511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6">
        <f xml:space="preserve"> ((0.2+0.25)*2*3) + ((0.15+0.25)*2*2)</f>
        <v>4.3000000000000007</v>
      </c>
      <c r="H356" s="511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6">
        <f xml:space="preserve"> ((0.2+0.25)*2*3) + ((0.15+0.25)*2*2) +  ((0.2+0.3)*2*1)</f>
        <v>5.3000000000000007</v>
      </c>
      <c r="H357" s="511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6">
        <f xml:space="preserve"> ((0.2+0.25)*2*2) + ((0.15+0.25)*2*1)</f>
        <v>2.6</v>
      </c>
      <c r="H358" s="511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6">
        <f>((0.15+0.25)*2*3)</f>
        <v>2.4000000000000004</v>
      </c>
      <c r="H359" s="511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6">
        <f xml:space="preserve"> ((0.2+0.25)*2*1) + ((0.15+0.25)*2*1) +  ((0.2+0.35)*2*1)</f>
        <v>2.8000000000000003</v>
      </c>
      <c r="H360" s="511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6">
        <f xml:space="preserve"> ((0.2+0.25)*2*1) + ((0.15+0.3)*2*2)</f>
        <v>2.6999999999999997</v>
      </c>
      <c r="H361" s="511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6">
        <f xml:space="preserve"> ((0.2+0.3)*2*1) + ((0.15+0.3)*2*1) +  ((0.15+0.25)*2*1) + ((0.15+0.35)*2*1)</f>
        <v>3.7</v>
      </c>
      <c r="H362" s="511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6">
        <f xml:space="preserve"> ((0.15+0.25)*2*1) + ((0.2+0.3)*2*1)</f>
        <v>1.8</v>
      </c>
      <c r="H363" s="511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6">
        <f xml:space="preserve"> ((0.15+0.25)*2*5) + ((0.25+0.25)*2*1)</f>
        <v>5</v>
      </c>
      <c r="H364" s="511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6">
        <f xml:space="preserve"> ((0.2+0.25)*2*1) + ((0.15+0.25)*2*1) +  ((0.25+0.25)*2*1)</f>
        <v>2.7</v>
      </c>
      <c r="H365" s="511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6">
        <f xml:space="preserve"> ((0.15+0.25)*2*2) + ((0.25+0.25)*2*1)</f>
        <v>2.6</v>
      </c>
      <c r="H366" s="511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6">
        <f xml:space="preserve"> ((0.15+0.25)*2*2) + ((0.2+0.25)*2*2)</f>
        <v>3.4000000000000004</v>
      </c>
      <c r="H367" s="511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6">
        <f xml:space="preserve"> ((0.15+0.25)*2*3) + ((0.2+0.25)*2*1)</f>
        <v>3.3000000000000003</v>
      </c>
      <c r="H368" s="511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6">
        <f>((0.2+0.25)*2*3) + ((0.25+0.25)*2*1)</f>
        <v>3.7</v>
      </c>
      <c r="H369" s="511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6">
        <f>((0.2+0.2)*2*1)</f>
        <v>0.8</v>
      </c>
      <c r="H370" s="511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6">
        <f>((0.2+0.25)*2*1) + ((0.15+0.25)*2*1)</f>
        <v>1.7000000000000002</v>
      </c>
      <c r="H371" s="511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6">
        <f>((0.2+0.25)*2*1) + ((0.15+0.25)*2*2)</f>
        <v>2.5</v>
      </c>
      <c r="H372" s="511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6">
        <f xml:space="preserve"> ((0.2+0.3)*2*1) + ((0.15+0.25)*2*5) +  ((0.25+0.25)*2*1)</f>
        <v>6</v>
      </c>
      <c r="H373" s="511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6">
        <f>((0.15+0.3)*2*1)</f>
        <v>0.89999999999999991</v>
      </c>
      <c r="H374" s="511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6">
        <f>((0.15+0.5)*2*1)</f>
        <v>1.3</v>
      </c>
      <c r="H375" s="511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6">
        <f>((0.15+0.5)*2*1)</f>
        <v>1.3</v>
      </c>
      <c r="H376" s="511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6">
        <f>((0.15+0.25)*2*1)</f>
        <v>0.8</v>
      </c>
      <c r="H377" s="511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6">
        <f t="shared" ref="G378" si="18">((0.15+0.3)*2*1)</f>
        <v>0.89999999999999991</v>
      </c>
      <c r="H378" s="511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6">
        <f>((0.15+0.25)*2*1)</f>
        <v>0.8</v>
      </c>
      <c r="H379" s="511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6">
        <f>((0.15+0.3)*2*1)</f>
        <v>0.89999999999999991</v>
      </c>
      <c r="H380" s="511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08'!K381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40.15" customHeight="1" x14ac:dyDescent="0.25">
      <c r="B384" s="247" t="s">
        <v>95</v>
      </c>
      <c r="C384" s="248">
        <v>92480</v>
      </c>
      <c r="D384" s="402" t="s">
        <v>97</v>
      </c>
      <c r="E384" s="242" t="s">
        <v>17</v>
      </c>
      <c r="F384" s="243"/>
      <c r="G384" s="244"/>
      <c r="H384" s="403"/>
      <c r="I384" s="246"/>
      <c r="J384" s="249">
        <f>'BOLETIM DE MEDIÇÃO 12'!T41-'MEMORIAL DE CALCULO 08'!K384</f>
        <v>407.0752</v>
      </c>
      <c r="K384" s="250">
        <f>K385</f>
        <v>32.743000000000002</v>
      </c>
      <c r="L384" s="251">
        <f t="shared" si="0"/>
        <v>439.81819999999999</v>
      </c>
      <c r="M384" s="251">
        <f>'BOLETIM DE MEDIÇÃO 05'!G41</f>
        <v>435.33</v>
      </c>
      <c r="N384" s="252">
        <f t="shared" si="1"/>
        <v>-4.4882000000000062</v>
      </c>
    </row>
    <row r="385" spans="2:15" ht="18" customHeight="1" x14ac:dyDescent="0.25">
      <c r="B385" s="247"/>
      <c r="C385" s="404"/>
      <c r="D385" s="405" t="s">
        <v>1003</v>
      </c>
      <c r="E385" s="242"/>
      <c r="F385" s="243">
        <v>1</v>
      </c>
      <c r="G385" s="520">
        <f>0.1*327.43</f>
        <v>32.743000000000002</v>
      </c>
      <c r="H385" s="590"/>
      <c r="I385" s="585"/>
      <c r="J385" s="249"/>
      <c r="K385" s="251">
        <f>G385</f>
        <v>32.743000000000002</v>
      </c>
      <c r="L385" s="251"/>
      <c r="M385" s="251"/>
      <c r="N385" s="252"/>
    </row>
    <row r="386" spans="2:15" ht="24.6" customHeight="1" x14ac:dyDescent="0.25">
      <c r="B386" s="247" t="s">
        <v>98</v>
      </c>
      <c r="C386" s="248">
        <v>92267</v>
      </c>
      <c r="D386" s="402" t="s">
        <v>100</v>
      </c>
      <c r="E386" s="242"/>
      <c r="F386" s="243"/>
      <c r="G386" s="394"/>
      <c r="H386" s="242"/>
      <c r="I386" s="406"/>
      <c r="J386" s="249">
        <f>'BOLETIM DE MEDIÇÃO 12'!T42-'MEMORIAL DE CALCULO 08'!K386</f>
        <v>77.640950000000004</v>
      </c>
      <c r="K386" s="250">
        <f>K387</f>
        <v>53.183999999999997</v>
      </c>
      <c r="L386" s="251">
        <f>J386+K386</f>
        <v>130.82495</v>
      </c>
      <c r="M386" s="251">
        <f>'BOLETIM DE MEDIÇÃO 12'!G42</f>
        <v>130.82</v>
      </c>
      <c r="N386" s="252">
        <f>M386-L386</f>
        <v>-4.9500000000080036E-3</v>
      </c>
    </row>
    <row r="387" spans="2:15" ht="18" customHeight="1" x14ac:dyDescent="0.25">
      <c r="B387" s="247"/>
      <c r="C387" s="404"/>
      <c r="D387" s="405" t="s">
        <v>1005</v>
      </c>
      <c r="E387" s="242"/>
      <c r="F387" s="243">
        <v>1</v>
      </c>
      <c r="G387" s="520">
        <f>0.6*88.64</f>
        <v>53.183999999999997</v>
      </c>
      <c r="H387" s="591"/>
      <c r="I387" s="585"/>
      <c r="J387" s="249"/>
      <c r="K387" s="251">
        <f>G387</f>
        <v>53.183999999999997</v>
      </c>
      <c r="L387" s="251"/>
      <c r="M387" s="251"/>
      <c r="N387" s="252"/>
    </row>
    <row r="388" spans="2:15" ht="30.6" hidden="1" customHeight="1" x14ac:dyDescent="0.25">
      <c r="B388" s="363" t="s">
        <v>101</v>
      </c>
      <c r="C388" s="364">
        <v>92759</v>
      </c>
      <c r="D388" s="401" t="s">
        <v>103</v>
      </c>
      <c r="E388" s="366" t="s">
        <v>62</v>
      </c>
      <c r="F388" s="367"/>
      <c r="G388" s="397"/>
      <c r="H388" s="366"/>
      <c r="I388" s="372"/>
      <c r="J388" s="368">
        <f>'BOLETIM DE MEDIÇÃO 05'!O43-'MEMORIAL DE CALCULO 08'!K388</f>
        <v>468.20000000000005</v>
      </c>
      <c r="K388" s="369">
        <f>K389</f>
        <v>214.5</v>
      </c>
      <c r="L388" s="369">
        <f t="shared" si="0"/>
        <v>682.7</v>
      </c>
      <c r="M388" s="369">
        <f>'BOLETIM DE MEDIÇÃO 05'!G43</f>
        <v>1027.8</v>
      </c>
      <c r="N388" s="370">
        <f t="shared" si="1"/>
        <v>345.09999999999991</v>
      </c>
      <c r="O388" s="371"/>
    </row>
    <row r="389" spans="2:15" ht="19.899999999999999" hidden="1" customHeight="1" x14ac:dyDescent="0.25">
      <c r="B389" s="363"/>
      <c r="C389" s="364"/>
      <c r="D389" s="365" t="s">
        <v>968</v>
      </c>
      <c r="E389" s="366"/>
      <c r="F389" s="367">
        <v>1</v>
      </c>
      <c r="G389" s="554">
        <f>0.6*357.5</f>
        <v>214.5</v>
      </c>
      <c r="H389" s="555"/>
      <c r="I389" s="556"/>
      <c r="J389" s="368"/>
      <c r="K389" s="369">
        <f>F389*G389</f>
        <v>214.5</v>
      </c>
      <c r="L389" s="369"/>
      <c r="M389" s="369"/>
      <c r="N389" s="370"/>
      <c r="O389" s="371"/>
    </row>
    <row r="390" spans="2:15" ht="33.6" hidden="1" customHeight="1" x14ac:dyDescent="0.25">
      <c r="B390" s="363" t="s">
        <v>104</v>
      </c>
      <c r="C390" s="364">
        <v>92760</v>
      </c>
      <c r="D390" s="401" t="s">
        <v>106</v>
      </c>
      <c r="E390" s="366" t="s">
        <v>62</v>
      </c>
      <c r="F390" s="367"/>
      <c r="G390" s="397"/>
      <c r="H390" s="366"/>
      <c r="I390" s="372"/>
      <c r="J390" s="368">
        <f>'BOLETIM DE MEDIÇÃO 05'!O44-'MEMORIAL DE CALCULO 08'!K390</f>
        <v>7.82</v>
      </c>
      <c r="K390" s="369">
        <f>K391</f>
        <v>15.64</v>
      </c>
      <c r="L390" s="369">
        <f t="shared" ref="L390" si="19">J390+K390</f>
        <v>23.46</v>
      </c>
      <c r="M390" s="369">
        <f>'BOLETIM DE MEDIÇÃO 05'!G44</f>
        <v>39.1</v>
      </c>
      <c r="N390" s="370">
        <f t="shared" ref="N390" si="20">M390-L390</f>
        <v>15.64</v>
      </c>
      <c r="O390" s="371"/>
    </row>
    <row r="391" spans="2:15" ht="22.9" hidden="1" customHeight="1" x14ac:dyDescent="0.25">
      <c r="B391" s="363"/>
      <c r="C391" s="364"/>
      <c r="D391" s="365" t="s">
        <v>964</v>
      </c>
      <c r="E391" s="366"/>
      <c r="F391" s="367">
        <v>1</v>
      </c>
      <c r="G391" s="592">
        <f>0.4*39.1</f>
        <v>15.64</v>
      </c>
      <c r="H391" s="593"/>
      <c r="I391" s="594"/>
      <c r="J391" s="368"/>
      <c r="K391" s="369">
        <f>F391*G391</f>
        <v>15.64</v>
      </c>
      <c r="L391" s="369"/>
      <c r="M391" s="369"/>
      <c r="N391" s="370"/>
      <c r="O391" s="371"/>
    </row>
    <row r="392" spans="2:15" ht="30.6" hidden="1" customHeight="1" x14ac:dyDescent="0.25">
      <c r="B392" s="363" t="s">
        <v>107</v>
      </c>
      <c r="C392" s="364">
        <v>92761</v>
      </c>
      <c r="D392" s="401" t="s">
        <v>109</v>
      </c>
      <c r="E392" s="366" t="s">
        <v>62</v>
      </c>
      <c r="F392" s="367"/>
      <c r="G392" s="397"/>
      <c r="H392" s="366"/>
      <c r="I392" s="372"/>
      <c r="J392" s="368">
        <f>'BOLETIM DE MEDIÇÃO 05'!O45-'MEMORIAL DE CALCULO 08'!K392</f>
        <v>0</v>
      </c>
      <c r="K392" s="369">
        <f>K393</f>
        <v>415.67999999999995</v>
      </c>
      <c r="L392" s="369">
        <f t="shared" si="0"/>
        <v>415.67999999999995</v>
      </c>
      <c r="M392" s="369">
        <f>'BOLETIM DE MEDIÇÃO 05'!G45</f>
        <v>1000</v>
      </c>
      <c r="N392" s="370">
        <f t="shared" si="1"/>
        <v>584.32000000000005</v>
      </c>
      <c r="O392" s="371"/>
    </row>
    <row r="393" spans="2:15" s="371" customFormat="1" ht="22.9" hidden="1" customHeight="1" x14ac:dyDescent="0.25">
      <c r="B393" s="363"/>
      <c r="C393" s="364"/>
      <c r="D393" s="365" t="s">
        <v>953</v>
      </c>
      <c r="E393" s="366"/>
      <c r="F393" s="367">
        <v>1</v>
      </c>
      <c r="G393" s="554">
        <f>0.6* 692.8</f>
        <v>415.67999999999995</v>
      </c>
      <c r="H393" s="555"/>
      <c r="I393" s="556"/>
      <c r="J393" s="368"/>
      <c r="K393" s="369">
        <f>F393*G393</f>
        <v>415.67999999999995</v>
      </c>
      <c r="L393" s="369"/>
      <c r="M393" s="369"/>
      <c r="N393" s="370"/>
    </row>
    <row r="394" spans="2:15" ht="30.6" hidden="1" customHeight="1" x14ac:dyDescent="0.25">
      <c r="B394" s="363" t="s">
        <v>110</v>
      </c>
      <c r="C394" s="364">
        <v>92762</v>
      </c>
      <c r="D394" s="401" t="s">
        <v>112</v>
      </c>
      <c r="E394" s="366" t="s">
        <v>62</v>
      </c>
      <c r="F394" s="367"/>
      <c r="G394" s="397"/>
      <c r="H394" s="366"/>
      <c r="I394" s="372"/>
      <c r="J394" s="368">
        <f>'BOLETIM DE MEDIÇÃO 05'!O46-'MEMORIAL DE CALCULO 08'!K394</f>
        <v>1180.4000000000001</v>
      </c>
      <c r="K394" s="369">
        <f>K395</f>
        <v>57</v>
      </c>
      <c r="L394" s="369">
        <f t="shared" si="0"/>
        <v>1237.4000000000001</v>
      </c>
      <c r="M394" s="369">
        <f>'BOLETIM DE MEDIÇÃO 05'!G46</f>
        <v>1306.0999999999999</v>
      </c>
      <c r="N394" s="370">
        <f t="shared" si="1"/>
        <v>68.699999999999818</v>
      </c>
      <c r="O394" s="371"/>
    </row>
    <row r="395" spans="2:15" s="371" customFormat="1" ht="19.899999999999999" hidden="1" customHeight="1" x14ac:dyDescent="0.25">
      <c r="B395" s="363"/>
      <c r="C395" s="364"/>
      <c r="D395" s="365" t="s">
        <v>953</v>
      </c>
      <c r="E395" s="366"/>
      <c r="F395" s="372">
        <v>1</v>
      </c>
      <c r="G395" s="554">
        <f>0.6* 95</f>
        <v>57</v>
      </c>
      <c r="H395" s="555"/>
      <c r="I395" s="556"/>
      <c r="J395" s="368"/>
      <c r="K395" s="369">
        <f>F395*G395</f>
        <v>57</v>
      </c>
      <c r="L395" s="369"/>
      <c r="M395" s="369"/>
      <c r="N395" s="370"/>
    </row>
    <row r="396" spans="2:15" ht="33.75" hidden="1" x14ac:dyDescent="0.25">
      <c r="B396" s="363" t="s">
        <v>116</v>
      </c>
      <c r="C396" s="364">
        <v>92768</v>
      </c>
      <c r="D396" s="401" t="s">
        <v>118</v>
      </c>
      <c r="E396" s="366" t="s">
        <v>62</v>
      </c>
      <c r="F396" s="372"/>
      <c r="G396" s="368"/>
      <c r="H396" s="366"/>
      <c r="I396" s="372"/>
      <c r="J396" s="368">
        <f>'BOLETIM DE MEDIÇÃO 12'!T48-'MEMORIAL DE CALCULO 08'!K396</f>
        <v>177.17999999999998</v>
      </c>
      <c r="K396" s="399">
        <f>K397</f>
        <v>28.2</v>
      </c>
      <c r="L396" s="369">
        <f t="shared" si="0"/>
        <v>205.37999999999997</v>
      </c>
      <c r="M396" s="369">
        <f>'BOLETIM DE MEDIÇÃO 05'!G48</f>
        <v>158.69999999999999</v>
      </c>
      <c r="N396" s="370">
        <f t="shared" si="1"/>
        <v>-46.679999999999978</v>
      </c>
      <c r="O396" s="371"/>
    </row>
    <row r="397" spans="2:15" hidden="1" x14ac:dyDescent="0.25">
      <c r="B397" s="363"/>
      <c r="C397" s="364"/>
      <c r="D397" s="400" t="s">
        <v>969</v>
      </c>
      <c r="E397" s="366"/>
      <c r="F397" s="372">
        <v>1</v>
      </c>
      <c r="G397" s="554">
        <v>28.2</v>
      </c>
      <c r="H397" s="555"/>
      <c r="I397" s="556"/>
      <c r="J397" s="368"/>
      <c r="K397" s="369">
        <f>F397*G397</f>
        <v>28.2</v>
      </c>
      <c r="L397" s="369"/>
      <c r="M397" s="369"/>
      <c r="N397" s="370"/>
      <c r="O397" s="371"/>
    </row>
    <row r="398" spans="2:15" ht="33.75" hidden="1" x14ac:dyDescent="0.25">
      <c r="B398" s="363" t="s">
        <v>119</v>
      </c>
      <c r="C398" s="364">
        <v>92769</v>
      </c>
      <c r="D398" s="401" t="s">
        <v>121</v>
      </c>
      <c r="E398" s="366" t="s">
        <v>62</v>
      </c>
      <c r="F398" s="372"/>
      <c r="G398" s="368"/>
      <c r="H398" s="366"/>
      <c r="I398" s="372"/>
      <c r="J398" s="368">
        <f>'BOLETIM DE MEDIÇÃO 12'!T49-'MEMORIAL DE CALCULO 08'!K398</f>
        <v>165.8322</v>
      </c>
      <c r="K398" s="399">
        <f>K399</f>
        <v>12.9</v>
      </c>
      <c r="L398" s="369">
        <f t="shared" si="0"/>
        <v>178.73220000000001</v>
      </c>
      <c r="M398" s="369">
        <f>'BOLETIM DE MEDIÇÃO 05'!G49</f>
        <v>170.5</v>
      </c>
      <c r="N398" s="370">
        <f t="shared" si="1"/>
        <v>-8.232200000000006</v>
      </c>
      <c r="O398" s="371"/>
    </row>
    <row r="399" spans="2:15" hidden="1" x14ac:dyDescent="0.25">
      <c r="B399" s="363"/>
      <c r="C399" s="364"/>
      <c r="D399" s="400" t="s">
        <v>969</v>
      </c>
      <c r="E399" s="366"/>
      <c r="F399" s="372">
        <v>1</v>
      </c>
      <c r="G399" s="554">
        <v>12.9</v>
      </c>
      <c r="H399" s="555"/>
      <c r="I399" s="556"/>
      <c r="J399" s="368"/>
      <c r="K399" s="369">
        <f>F399*G399</f>
        <v>12.9</v>
      </c>
      <c r="L399" s="369"/>
      <c r="M399" s="369"/>
      <c r="N399" s="370"/>
      <c r="O399" s="371"/>
    </row>
    <row r="400" spans="2:15" ht="33.75" hidden="1" x14ac:dyDescent="0.25">
      <c r="B400" s="363" t="s">
        <v>122</v>
      </c>
      <c r="C400" s="364">
        <v>92770</v>
      </c>
      <c r="D400" s="401" t="s">
        <v>124</v>
      </c>
      <c r="E400" s="366" t="s">
        <v>62</v>
      </c>
      <c r="F400" s="372"/>
      <c r="G400" s="368"/>
      <c r="H400" s="366"/>
      <c r="I400" s="372"/>
      <c r="J400" s="368">
        <f>'BOLETIM DE MEDIÇÃO 12'!T50-'MEMORIAL DE CALCULO 08'!K400</f>
        <v>259.0009</v>
      </c>
      <c r="K400" s="399">
        <f>K401</f>
        <v>20.100000000000001</v>
      </c>
      <c r="L400" s="369">
        <f t="shared" si="0"/>
        <v>279.10090000000002</v>
      </c>
      <c r="M400" s="369">
        <f>'BOLETIM DE MEDIÇÃO 05'!G50</f>
        <v>279.10000000000002</v>
      </c>
      <c r="N400" s="370">
        <f t="shared" si="1"/>
        <v>-9.0000000000145519E-4</v>
      </c>
      <c r="O400" s="371"/>
    </row>
    <row r="401" spans="2:15" ht="18" hidden="1" customHeight="1" x14ac:dyDescent="0.25">
      <c r="B401" s="363"/>
      <c r="C401" s="364"/>
      <c r="D401" s="400" t="s">
        <v>969</v>
      </c>
      <c r="E401" s="366"/>
      <c r="F401" s="372">
        <v>1</v>
      </c>
      <c r="G401" s="554">
        <v>20.100000000000001</v>
      </c>
      <c r="H401" s="555"/>
      <c r="I401" s="556"/>
      <c r="J401" s="368"/>
      <c r="K401" s="369">
        <f>F401*G401</f>
        <v>20.100000000000001</v>
      </c>
      <c r="L401" s="369"/>
      <c r="M401" s="369"/>
      <c r="N401" s="370"/>
      <c r="O401" s="371"/>
    </row>
    <row r="402" spans="2:15" ht="33.75" x14ac:dyDescent="0.25">
      <c r="B402" s="247" t="s">
        <v>125</v>
      </c>
      <c r="C402" s="248">
        <v>94966</v>
      </c>
      <c r="D402" s="407" t="s">
        <v>65</v>
      </c>
      <c r="E402" s="242" t="s">
        <v>41</v>
      </c>
      <c r="F402" s="246"/>
      <c r="G402" s="249"/>
      <c r="H402" s="242"/>
      <c r="I402" s="246"/>
      <c r="J402" s="249">
        <f>'BOLETIM DE MEDIÇÃO 12'!T51-'MEMORIAL DE CALCULO 08'!K402</f>
        <v>73.77845499999998</v>
      </c>
      <c r="K402" s="250">
        <f>SUM(K403:K404)</f>
        <v>7.87</v>
      </c>
      <c r="L402" s="251">
        <f t="shared" si="0"/>
        <v>81.648454999999984</v>
      </c>
      <c r="M402" s="251">
        <f>'BOLETIM DE MEDIÇÃO 05'!G51</f>
        <v>61.56</v>
      </c>
      <c r="N402" s="252">
        <f t="shared" si="1"/>
        <v>-20.088454999999982</v>
      </c>
    </row>
    <row r="403" spans="2:15" ht="19.149999999999999" customHeight="1" x14ac:dyDescent="0.25">
      <c r="B403" s="247"/>
      <c r="C403" s="248"/>
      <c r="D403" s="405" t="s">
        <v>968</v>
      </c>
      <c r="E403" s="242"/>
      <c r="F403" s="246">
        <v>1</v>
      </c>
      <c r="G403" s="550">
        <f>0.1*21.7</f>
        <v>2.17</v>
      </c>
      <c r="H403" s="550"/>
      <c r="I403" s="551"/>
      <c r="J403" s="249"/>
      <c r="K403" s="251">
        <f>G403</f>
        <v>2.17</v>
      </c>
      <c r="L403" s="251"/>
      <c r="M403" s="251"/>
      <c r="N403" s="252"/>
    </row>
    <row r="404" spans="2:15" ht="19.149999999999999" customHeight="1" x14ac:dyDescent="0.25">
      <c r="B404" s="247"/>
      <c r="C404" s="248"/>
      <c r="D404" s="405" t="s">
        <v>1005</v>
      </c>
      <c r="E404" s="242"/>
      <c r="F404" s="246">
        <v>1</v>
      </c>
      <c r="G404" s="550">
        <f>0.6*9.5</f>
        <v>5.7</v>
      </c>
      <c r="H404" s="550"/>
      <c r="I404" s="551"/>
      <c r="J404" s="249"/>
      <c r="K404" s="251">
        <f t="shared" ref="K404:K405" si="21">F404*G404</f>
        <v>5.7</v>
      </c>
      <c r="L404" s="251"/>
      <c r="M404" s="251"/>
      <c r="N404" s="252"/>
    </row>
    <row r="405" spans="2:15" ht="19.149999999999999" hidden="1" customHeight="1" x14ac:dyDescent="0.25">
      <c r="B405" s="363"/>
      <c r="C405" s="364"/>
      <c r="D405" s="400" t="s">
        <v>971</v>
      </c>
      <c r="E405" s="366"/>
      <c r="F405" s="372">
        <v>1</v>
      </c>
      <c r="G405" s="595">
        <v>2.48</v>
      </c>
      <c r="H405" s="596"/>
      <c r="I405" s="597"/>
      <c r="J405" s="368"/>
      <c r="K405" s="369">
        <f t="shared" si="21"/>
        <v>2.48</v>
      </c>
      <c r="L405" s="369"/>
      <c r="M405" s="369"/>
      <c r="N405" s="370"/>
      <c r="O405" s="371"/>
    </row>
    <row r="406" spans="2:15" ht="22.5" x14ac:dyDescent="0.25">
      <c r="B406" s="247" t="s">
        <v>126</v>
      </c>
      <c r="C406" s="248">
        <v>103670</v>
      </c>
      <c r="D406" s="402" t="s">
        <v>71</v>
      </c>
      <c r="E406" s="242" t="s">
        <v>41</v>
      </c>
      <c r="F406" s="246"/>
      <c r="G406" s="249"/>
      <c r="H406" s="403"/>
      <c r="I406" s="246"/>
      <c r="J406" s="249">
        <f>'BOLETIM DE MEDIÇÃO 05'!O52-'MEMORIAL DE CALCULO 08'!K406</f>
        <v>11.559999999999999</v>
      </c>
      <c r="K406" s="250">
        <f>G407</f>
        <v>7.87</v>
      </c>
      <c r="L406" s="251">
        <f t="shared" si="0"/>
        <v>19.43</v>
      </c>
      <c r="M406" s="251">
        <f>'BOLETIM DE MEDIÇÃO 05'!G52</f>
        <v>61.56</v>
      </c>
      <c r="N406" s="252">
        <f t="shared" si="1"/>
        <v>42.13</v>
      </c>
    </row>
    <row r="407" spans="2:15" x14ac:dyDescent="0.25">
      <c r="B407" s="247"/>
      <c r="C407" s="404"/>
      <c r="D407" s="408" t="s">
        <v>932</v>
      </c>
      <c r="E407" s="242"/>
      <c r="F407" s="243">
        <v>1</v>
      </c>
      <c r="G407" s="520">
        <f>K402</f>
        <v>7.87</v>
      </c>
      <c r="H407" s="584"/>
      <c r="I407" s="585"/>
      <c r="J407" s="249"/>
      <c r="K407" s="251">
        <f>F407*G407</f>
        <v>7.87</v>
      </c>
      <c r="L407" s="251"/>
      <c r="M407" s="251"/>
      <c r="N407" s="252"/>
    </row>
    <row r="408" spans="2:15" ht="33.75" hidden="1" x14ac:dyDescent="0.25">
      <c r="B408" s="363" t="s">
        <v>127</v>
      </c>
      <c r="C408" s="364">
        <v>92771</v>
      </c>
      <c r="D408" s="396" t="s">
        <v>129</v>
      </c>
      <c r="E408" s="366" t="s">
        <v>62</v>
      </c>
      <c r="F408" s="367"/>
      <c r="G408" s="397"/>
      <c r="H408" s="398"/>
      <c r="I408" s="372"/>
      <c r="J408" s="368">
        <f>'BOLETIM DE MEDIÇÃO 12'!T53-'MEMORIAL DE CALCULO 08'!K408</f>
        <v>406.89999999999992</v>
      </c>
      <c r="K408" s="399"/>
      <c r="L408" s="369">
        <f t="shared" si="0"/>
        <v>406.89999999999992</v>
      </c>
      <c r="M408" s="369">
        <f>'BOLETIM DE MEDIÇÃO 05'!G53</f>
        <v>312.3</v>
      </c>
      <c r="N408" s="370">
        <f t="shared" si="1"/>
        <v>-94.599999999999909</v>
      </c>
      <c r="O408" s="371"/>
    </row>
    <row r="409" spans="2:15" ht="18" hidden="1" customHeight="1" x14ac:dyDescent="0.25">
      <c r="B409" s="363"/>
      <c r="C409" s="364"/>
      <c r="D409" s="400" t="s">
        <v>969</v>
      </c>
      <c r="E409" s="366"/>
      <c r="F409" s="372">
        <v>1</v>
      </c>
      <c r="G409" s="554">
        <v>94.6</v>
      </c>
      <c r="H409" s="555"/>
      <c r="I409" s="556"/>
      <c r="J409" s="368"/>
      <c r="K409" s="369"/>
      <c r="L409" s="369"/>
      <c r="M409" s="369"/>
      <c r="N409" s="370"/>
      <c r="O409" s="371"/>
    </row>
    <row r="410" spans="2:15" ht="33.75" hidden="1" x14ac:dyDescent="0.25">
      <c r="B410" s="363" t="s">
        <v>130</v>
      </c>
      <c r="C410" s="364">
        <v>92772</v>
      </c>
      <c r="D410" s="401" t="s">
        <v>132</v>
      </c>
      <c r="E410" s="366" t="s">
        <v>62</v>
      </c>
      <c r="F410" s="367"/>
      <c r="G410" s="397"/>
      <c r="H410" s="366"/>
      <c r="I410" s="372"/>
      <c r="J410" s="368">
        <f>'BOLETIM DE MEDIÇÃO 12'!T54-'MEMORIAL DE CALCULO 08'!K410</f>
        <v>154.80000000000001</v>
      </c>
      <c r="K410" s="369"/>
      <c r="L410" s="369">
        <f t="shared" si="0"/>
        <v>154.80000000000001</v>
      </c>
      <c r="M410" s="369">
        <f>'BOLETIM DE MEDIÇÃO 05'!G54</f>
        <v>154.80000000000001</v>
      </c>
      <c r="N410" s="370">
        <f t="shared" si="1"/>
        <v>0</v>
      </c>
      <c r="O410" s="371"/>
    </row>
    <row r="411" spans="2:15" ht="18" hidden="1" customHeight="1" x14ac:dyDescent="0.25">
      <c r="B411" s="363"/>
      <c r="C411" s="364"/>
      <c r="D411" s="365" t="s">
        <v>958</v>
      </c>
      <c r="E411" s="366"/>
      <c r="F411" s="372">
        <v>1</v>
      </c>
      <c r="G411" s="554">
        <v>154.80000000000001</v>
      </c>
      <c r="H411" s="555"/>
      <c r="I411" s="556"/>
      <c r="J411" s="368"/>
      <c r="K411" s="369"/>
      <c r="L411" s="369"/>
      <c r="M411" s="369"/>
      <c r="N411" s="370"/>
      <c r="O411" s="371"/>
    </row>
    <row r="412" spans="2:15" ht="18" hidden="1" customHeight="1" x14ac:dyDescent="0.25">
      <c r="B412" s="363"/>
      <c r="C412" s="364"/>
      <c r="D412" s="365"/>
      <c r="E412" s="366"/>
      <c r="F412" s="372"/>
      <c r="G412" s="388"/>
      <c r="H412" s="388"/>
      <c r="I412" s="389"/>
      <c r="J412" s="368"/>
      <c r="K412" s="369"/>
      <c r="L412" s="369"/>
      <c r="M412" s="369"/>
      <c r="N412" s="370"/>
      <c r="O412" s="371"/>
    </row>
    <row r="413" spans="2:15" ht="18" customHeight="1" x14ac:dyDescent="0.25">
      <c r="B413" s="212">
        <v>1.5</v>
      </c>
      <c r="C413" s="213" t="s">
        <v>134</v>
      </c>
      <c r="D413" s="205"/>
      <c r="E413" s="206"/>
      <c r="F413" s="123"/>
      <c r="G413" s="374"/>
      <c r="H413" s="374"/>
      <c r="I413" s="318"/>
      <c r="J413" s="99"/>
      <c r="K413" s="82"/>
      <c r="L413" s="82"/>
      <c r="M413" s="82"/>
      <c r="N413" s="86"/>
    </row>
    <row r="414" spans="2:15" ht="46.15" customHeight="1" x14ac:dyDescent="0.25">
      <c r="B414" s="384" t="s">
        <v>135</v>
      </c>
      <c r="C414" s="385">
        <v>103356</v>
      </c>
      <c r="D414" s="386" t="s">
        <v>137</v>
      </c>
      <c r="E414" s="387" t="s">
        <v>17</v>
      </c>
      <c r="F414" s="395"/>
      <c r="G414" s="374"/>
      <c r="H414" s="374"/>
      <c r="I414" s="318"/>
      <c r="J414" s="99">
        <f>'BOLETIM DE MEDIÇÃO 12'!T56-'MEMORIAL DE CALCULO 08'!K414</f>
        <v>1003.7804999999997</v>
      </c>
      <c r="K414" s="81">
        <f>K415</f>
        <v>238.84</v>
      </c>
      <c r="L414" s="82"/>
      <c r="M414" s="82"/>
      <c r="N414" s="86"/>
    </row>
    <row r="415" spans="2:15" ht="22.9" customHeight="1" x14ac:dyDescent="0.25">
      <c r="B415" s="49"/>
      <c r="C415" s="57"/>
      <c r="D415" s="143" t="s">
        <v>1002</v>
      </c>
      <c r="E415" s="64"/>
      <c r="F415" s="105">
        <v>1</v>
      </c>
      <c r="G415" s="506">
        <v>238.84</v>
      </c>
      <c r="H415" s="507"/>
      <c r="I415" s="508"/>
      <c r="J415" s="99"/>
      <c r="K415" s="82">
        <f>G415</f>
        <v>238.84</v>
      </c>
      <c r="L415" s="82"/>
      <c r="M415" s="82"/>
      <c r="N415" s="86"/>
    </row>
    <row r="416" spans="2:15" ht="14.45" hidden="1" customHeight="1" x14ac:dyDescent="0.25">
      <c r="B416" s="56">
        <v>1.6</v>
      </c>
      <c r="C416" s="60" t="s">
        <v>148</v>
      </c>
      <c r="D416" s="52"/>
      <c r="E416" s="64"/>
      <c r="F416" s="105"/>
      <c r="G416" s="99"/>
      <c r="H416" s="64"/>
      <c r="I416" s="105"/>
      <c r="J416" s="99">
        <f>'BOLETIM DE MEDIÇÃO 12'!T74-'MEMORIAL DE CALCULO 08'!K416</f>
        <v>0</v>
      </c>
      <c r="K416" s="82"/>
      <c r="L416" s="82"/>
      <c r="M416" s="82"/>
      <c r="N416" s="86"/>
    </row>
    <row r="417" spans="2:14" ht="56.25" hidden="1" x14ac:dyDescent="0.25">
      <c r="B417" s="49" t="s">
        <v>152</v>
      </c>
      <c r="C417" s="57">
        <v>87548</v>
      </c>
      <c r="D417" s="52" t="s">
        <v>154</v>
      </c>
      <c r="E417" s="64" t="s">
        <v>17</v>
      </c>
      <c r="F417" s="105"/>
      <c r="G417" s="99"/>
      <c r="H417" s="64"/>
      <c r="I417" s="105"/>
      <c r="J417" s="99">
        <f>'BOLETIM DE MEDIÇÃO 12'!T75-'MEMORIAL DE CALCULO 08'!K417</f>
        <v>-55.980000000000018</v>
      </c>
      <c r="K417" s="81">
        <f>K418</f>
        <v>697.98</v>
      </c>
      <c r="L417" s="82">
        <f t="shared" si="0"/>
        <v>642</v>
      </c>
      <c r="M417" s="82">
        <f>'BOLETIM DE MEDIÇÃO 05'!G62</f>
        <v>997.11</v>
      </c>
      <c r="N417" s="86">
        <f t="shared" si="1"/>
        <v>355.11</v>
      </c>
    </row>
    <row r="418" spans="2:14" hidden="1" x14ac:dyDescent="0.25">
      <c r="B418" s="49"/>
      <c r="C418" s="57"/>
      <c r="D418" s="344" t="s">
        <v>972</v>
      </c>
      <c r="E418" s="64"/>
      <c r="F418" s="105">
        <v>1</v>
      </c>
      <c r="G418" s="506">
        <v>697.98</v>
      </c>
      <c r="H418" s="507"/>
      <c r="I418" s="508"/>
      <c r="J418" s="99">
        <f>'BOLETIM DE MEDIÇÃO 12'!T76-'MEMORIAL DE CALCULO 08'!K418</f>
        <v>-697.98</v>
      </c>
      <c r="K418" s="82">
        <f>F418*G418</f>
        <v>697.98</v>
      </c>
      <c r="L418" s="82"/>
      <c r="M418" s="82"/>
      <c r="N418" s="86"/>
    </row>
    <row r="419" spans="2:14" hidden="1" x14ac:dyDescent="0.25">
      <c r="B419" s="49"/>
      <c r="C419" s="57"/>
      <c r="D419" s="344"/>
      <c r="E419" s="64"/>
      <c r="F419" s="105"/>
      <c r="G419" s="374"/>
      <c r="H419" s="374"/>
      <c r="I419" s="318"/>
      <c r="J419" s="99">
        <f>'BOLETIM DE MEDIÇÃO 12'!T77-'MEMORIAL DE CALCULO 08'!K419</f>
        <v>0</v>
      </c>
      <c r="K419" s="82"/>
      <c r="L419" s="82"/>
      <c r="M419" s="82"/>
      <c r="N419" s="86"/>
    </row>
    <row r="420" spans="2:14" ht="56.25" hidden="1" x14ac:dyDescent="0.25">
      <c r="B420" s="49" t="s">
        <v>155</v>
      </c>
      <c r="C420" s="57">
        <v>87536</v>
      </c>
      <c r="D420" s="52" t="s">
        <v>157</v>
      </c>
      <c r="E420" s="64" t="s">
        <v>17</v>
      </c>
      <c r="F420" s="105"/>
      <c r="G420" s="374"/>
      <c r="H420" s="374"/>
      <c r="I420" s="318"/>
      <c r="J420" s="99">
        <f>'BOLETIM DE MEDIÇÃO 12'!T78-'MEMORIAL DE CALCULO 08'!K420</f>
        <v>-351.87</v>
      </c>
      <c r="K420" s="81">
        <f>K421</f>
        <v>351.87</v>
      </c>
      <c r="L420" s="82">
        <f>J420+K420</f>
        <v>0</v>
      </c>
      <c r="M420" s="82">
        <f>'BOLETIM DE MEDIÇÃO 12'!G63</f>
        <v>351.87</v>
      </c>
      <c r="N420" s="86">
        <f>M420-L420</f>
        <v>351.87</v>
      </c>
    </row>
    <row r="421" spans="2:14" hidden="1" x14ac:dyDescent="0.25">
      <c r="B421" s="49"/>
      <c r="C421" s="57"/>
      <c r="D421" s="344" t="s">
        <v>972</v>
      </c>
      <c r="E421" s="64"/>
      <c r="F421" s="105">
        <v>1</v>
      </c>
      <c r="G421" s="506">
        <v>351.87</v>
      </c>
      <c r="H421" s="507"/>
      <c r="I421" s="508"/>
      <c r="J421" s="99">
        <f>'BOLETIM DE MEDIÇÃO 12'!T79-'MEMORIAL DE CALCULO 08'!K421</f>
        <v>-351.87</v>
      </c>
      <c r="K421" s="82">
        <f>F421*G421</f>
        <v>351.87</v>
      </c>
      <c r="L421" s="82"/>
      <c r="M421" s="82"/>
      <c r="N421" s="86"/>
    </row>
    <row r="422" spans="2:14" hidden="1" x14ac:dyDescent="0.25">
      <c r="B422" s="49"/>
      <c r="C422" s="57"/>
      <c r="D422" s="344"/>
      <c r="E422" s="64"/>
      <c r="F422" s="105"/>
      <c r="G422" s="374"/>
      <c r="H422" s="374"/>
      <c r="I422" s="318"/>
      <c r="J422" s="99">
        <f>'BOLETIM DE MEDIÇÃO 12'!T80-'MEMORIAL DE CALCULO 08'!K422</f>
        <v>0</v>
      </c>
      <c r="K422" s="82"/>
      <c r="L422" s="82"/>
      <c r="M422" s="82"/>
      <c r="N422" s="86"/>
    </row>
    <row r="423" spans="2:14" x14ac:dyDescent="0.25">
      <c r="B423" s="347" t="s">
        <v>208</v>
      </c>
      <c r="C423" s="348" t="s">
        <v>209</v>
      </c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45" x14ac:dyDescent="0.25">
      <c r="B424" s="203" t="s">
        <v>210</v>
      </c>
      <c r="C424" s="211">
        <v>87894</v>
      </c>
      <c r="D424" s="205" t="s">
        <v>212</v>
      </c>
      <c r="E424" s="64"/>
      <c r="F424" s="105"/>
      <c r="G424" s="374"/>
      <c r="H424" s="374"/>
      <c r="I424" s="318"/>
      <c r="J424" s="99">
        <f>'BOLETIM DE MEDIÇÃO 12'!T82-'MEMORIAL DE CALCULO 08'!K424</f>
        <v>366.37099999999998</v>
      </c>
      <c r="K424" s="81">
        <f>K425</f>
        <v>100</v>
      </c>
      <c r="L424" s="82">
        <f>J424+K424</f>
        <v>466.37099999999998</v>
      </c>
      <c r="M424" s="82">
        <f>'BOLETIM DE MEDIÇÃO 12'!G83</f>
        <v>466.37</v>
      </c>
      <c r="N424" s="86">
        <f>M424-L424</f>
        <v>-9.9999999997635314E-4</v>
      </c>
    </row>
    <row r="425" spans="2:14" x14ac:dyDescent="0.25">
      <c r="B425" s="49"/>
      <c r="C425" s="57"/>
      <c r="D425" s="118" t="s">
        <v>995</v>
      </c>
      <c r="E425" s="64"/>
      <c r="F425" s="105">
        <v>1</v>
      </c>
      <c r="G425" s="506">
        <v>100</v>
      </c>
      <c r="H425" s="507"/>
      <c r="I425" s="508"/>
      <c r="J425" s="99"/>
      <c r="K425" s="82">
        <f>F425*G425</f>
        <v>100</v>
      </c>
      <c r="L425" s="82"/>
      <c r="M425" s="82"/>
      <c r="N425" s="86"/>
    </row>
    <row r="426" spans="2:14" x14ac:dyDescent="0.25">
      <c r="B426" s="49"/>
      <c r="C426" s="57"/>
      <c r="D426" s="344"/>
      <c r="E426" s="64"/>
      <c r="F426" s="105"/>
      <c r="G426" s="374"/>
      <c r="H426" s="374"/>
      <c r="I426" s="318"/>
      <c r="J426" s="99"/>
      <c r="K426" s="82"/>
      <c r="L426" s="82"/>
      <c r="M426" s="82"/>
      <c r="N426" s="86"/>
    </row>
    <row r="427" spans="2:14" ht="56.25" x14ac:dyDescent="0.25">
      <c r="B427" s="247" t="s">
        <v>213</v>
      </c>
      <c r="C427" s="385">
        <v>104233</v>
      </c>
      <c r="D427" s="386" t="s">
        <v>215</v>
      </c>
      <c r="E427" s="277" t="s">
        <v>17</v>
      </c>
      <c r="F427" s="105"/>
      <c r="G427" s="374"/>
      <c r="H427" s="374"/>
      <c r="I427" s="318"/>
      <c r="J427" s="99">
        <f>'BOLETIM DE MEDIÇÃO 12'!T83-'MEMORIAL DE CALCULO 08'!K427</f>
        <v>187.97050000000002</v>
      </c>
      <c r="K427" s="81">
        <f>SUM(K428:K432)</f>
        <v>278.39999999999998</v>
      </c>
      <c r="L427" s="82"/>
      <c r="M427" s="82"/>
      <c r="N427" s="86"/>
    </row>
    <row r="428" spans="2:14" x14ac:dyDescent="0.25">
      <c r="B428" s="49"/>
      <c r="C428" s="57"/>
      <c r="D428" s="319" t="s">
        <v>1000</v>
      </c>
      <c r="E428" s="64"/>
      <c r="F428" s="105">
        <v>1</v>
      </c>
      <c r="G428" s="373">
        <f>0.6*116</f>
        <v>69.599999999999994</v>
      </c>
      <c r="H428" s="390"/>
      <c r="I428" s="105">
        <v>4</v>
      </c>
      <c r="J428" s="99"/>
      <c r="K428" s="82">
        <f>F428*G428*I428</f>
        <v>278.39999999999998</v>
      </c>
      <c r="L428" s="82"/>
      <c r="M428" s="82"/>
      <c r="N428" s="86"/>
    </row>
    <row r="429" spans="2:14" hidden="1" x14ac:dyDescent="0.25">
      <c r="B429" s="49"/>
      <c r="C429" s="57"/>
      <c r="D429" s="319" t="s">
        <v>996</v>
      </c>
      <c r="E429" s="64"/>
      <c r="F429" s="105"/>
      <c r="G429" s="374">
        <v>2.6</v>
      </c>
      <c r="H429" s="374"/>
      <c r="I429" s="105">
        <v>2.1</v>
      </c>
      <c r="J429" s="99"/>
      <c r="K429" s="82">
        <f t="shared" ref="K429:K432" si="22">F429*G429*I429</f>
        <v>0</v>
      </c>
      <c r="L429" s="82"/>
      <c r="M429" s="82"/>
      <c r="N429" s="86"/>
    </row>
    <row r="430" spans="2:14" hidden="1" x14ac:dyDescent="0.25">
      <c r="B430" s="49"/>
      <c r="C430" s="57"/>
      <c r="D430" s="319" t="s">
        <v>997</v>
      </c>
      <c r="E430" s="64"/>
      <c r="F430" s="105"/>
      <c r="G430" s="374">
        <v>0.8</v>
      </c>
      <c r="H430" s="374"/>
      <c r="I430" s="105">
        <v>2.1</v>
      </c>
      <c r="J430" s="99"/>
      <c r="K430" s="82">
        <f t="shared" si="22"/>
        <v>0</v>
      </c>
      <c r="L430" s="82"/>
      <c r="M430" s="82"/>
      <c r="N430" s="86"/>
    </row>
    <row r="431" spans="2:14" hidden="1" x14ac:dyDescent="0.25">
      <c r="B431" s="49"/>
      <c r="C431" s="57"/>
      <c r="D431" s="319" t="s">
        <v>998</v>
      </c>
      <c r="E431" s="64"/>
      <c r="F431" s="105"/>
      <c r="G431" s="374">
        <v>1.5</v>
      </c>
      <c r="H431" s="374"/>
      <c r="I431" s="105">
        <v>1</v>
      </c>
      <c r="J431" s="99"/>
      <c r="K431" s="82">
        <f t="shared" si="22"/>
        <v>0</v>
      </c>
      <c r="L431" s="82"/>
      <c r="M431" s="82"/>
      <c r="N431" s="86"/>
    </row>
    <row r="432" spans="2:14" hidden="1" x14ac:dyDescent="0.25">
      <c r="B432" s="49"/>
      <c r="C432" s="57"/>
      <c r="D432" s="319" t="s">
        <v>999</v>
      </c>
      <c r="E432" s="64"/>
      <c r="F432" s="105"/>
      <c r="G432" s="374">
        <v>1</v>
      </c>
      <c r="H432" s="374"/>
      <c r="I432" s="105">
        <v>0.5</v>
      </c>
      <c r="J432" s="99"/>
      <c r="K432" s="82">
        <f t="shared" si="22"/>
        <v>0</v>
      </c>
      <c r="L432" s="82"/>
      <c r="M432" s="82"/>
      <c r="N432" s="86"/>
    </row>
    <row r="433" spans="2:14" ht="14.45" customHeight="1" x14ac:dyDescent="0.25">
      <c r="B433" s="65">
        <v>1.1000000000000001</v>
      </c>
      <c r="C433" s="65" t="s">
        <v>229</v>
      </c>
      <c r="D433" s="344"/>
      <c r="E433" s="44"/>
      <c r="F433" s="130"/>
      <c r="G433" s="121"/>
      <c r="H433" s="70"/>
      <c r="I433" s="105"/>
      <c r="J433" s="99"/>
      <c r="K433" s="82">
        <f t="shared" ref="K433" si="23">(F433*G433*I433)</f>
        <v>0</v>
      </c>
      <c r="L433" s="82"/>
      <c r="M433" s="82"/>
      <c r="N433" s="86"/>
    </row>
    <row r="434" spans="2:14" ht="33.75" x14ac:dyDescent="0.25">
      <c r="B434" s="384" t="s">
        <v>284</v>
      </c>
      <c r="C434" s="385">
        <v>91834</v>
      </c>
      <c r="D434" s="391" t="s">
        <v>286</v>
      </c>
      <c r="E434" s="245" t="s">
        <v>37</v>
      </c>
      <c r="F434" s="312">
        <v>1</v>
      </c>
      <c r="G434" s="468">
        <v>200</v>
      </c>
      <c r="H434" s="469"/>
      <c r="I434" s="470"/>
      <c r="J434" s="99">
        <f>'BOLETIM DE MEDIÇÃO 12'!T108-'MEMORIAL DE CALCULO 08'!K434</f>
        <v>150</v>
      </c>
      <c r="K434" s="81">
        <f>G434</f>
        <v>200</v>
      </c>
      <c r="L434" s="82">
        <f>J434+K434</f>
        <v>350</v>
      </c>
      <c r="M434" s="82">
        <f>'BOLETIM DE MEDIÇÃO 12'!G108</f>
        <v>830.48</v>
      </c>
      <c r="N434" s="86">
        <f>M434-L434</f>
        <v>480.48</v>
      </c>
    </row>
    <row r="435" spans="2:14" x14ac:dyDescent="0.25">
      <c r="B435" s="384"/>
      <c r="C435" s="385"/>
      <c r="D435" s="393" t="s">
        <v>1001</v>
      </c>
      <c r="E435" s="245"/>
      <c r="F435" s="312"/>
      <c r="G435" s="383"/>
      <c r="H435" s="392"/>
      <c r="I435" s="318"/>
      <c r="J435" s="99"/>
      <c r="K435" s="81"/>
      <c r="L435" s="82"/>
      <c r="M435" s="82"/>
      <c r="N435" s="86"/>
    </row>
    <row r="436" spans="2:14" ht="33.75" x14ac:dyDescent="0.25">
      <c r="B436" s="384" t="s">
        <v>287</v>
      </c>
      <c r="C436" s="385">
        <v>91868</v>
      </c>
      <c r="D436" s="386" t="s">
        <v>289</v>
      </c>
      <c r="E436" s="245" t="s">
        <v>37</v>
      </c>
      <c r="F436" s="312">
        <v>1</v>
      </c>
      <c r="G436" s="468">
        <v>55.97</v>
      </c>
      <c r="H436" s="469"/>
      <c r="I436" s="470"/>
      <c r="J436" s="99">
        <f>'BOLETIM DE MEDIÇÃO 12'!T109-'MEMORIAL DE CALCULO 08'!K436</f>
        <v>0</v>
      </c>
      <c r="K436" s="81">
        <f>F436*G436</f>
        <v>55.97</v>
      </c>
      <c r="L436" s="82">
        <f t="shared" ref="L436" si="24">J436+K436</f>
        <v>55.97</v>
      </c>
      <c r="M436" s="82">
        <f>'BOLETIM DE MEDIÇÃO 12'!G109</f>
        <v>55.97</v>
      </c>
      <c r="N436" s="86">
        <f t="shared" ref="N436:N438" si="25">M436-L436</f>
        <v>0</v>
      </c>
    </row>
    <row r="437" spans="2:14" x14ac:dyDescent="0.25">
      <c r="B437" s="384"/>
      <c r="C437" s="385"/>
      <c r="D437" s="393" t="s">
        <v>1001</v>
      </c>
      <c r="E437" s="245"/>
      <c r="F437" s="312"/>
      <c r="G437" s="383"/>
      <c r="H437" s="383"/>
      <c r="I437" s="316"/>
      <c r="J437" s="99"/>
      <c r="K437" s="81"/>
      <c r="L437" s="82"/>
      <c r="M437" s="82"/>
      <c r="N437" s="86"/>
    </row>
    <row r="438" spans="2:14" ht="33.75" x14ac:dyDescent="0.25">
      <c r="B438" s="384" t="s">
        <v>290</v>
      </c>
      <c r="C438" s="385">
        <v>91867</v>
      </c>
      <c r="D438" s="386" t="s">
        <v>292</v>
      </c>
      <c r="E438" s="245" t="s">
        <v>37</v>
      </c>
      <c r="F438" s="312">
        <v>1</v>
      </c>
      <c r="G438" s="468">
        <v>36.19</v>
      </c>
      <c r="H438" s="469"/>
      <c r="I438" s="470"/>
      <c r="J438" s="99">
        <f>'BOLETIM DE MEDIÇÃO 12'!T110-'MEMORIAL DE CALCULO 08'!K438</f>
        <v>0</v>
      </c>
      <c r="K438" s="81">
        <f>G438</f>
        <v>36.19</v>
      </c>
      <c r="L438" s="82">
        <f>J438+K438</f>
        <v>36.19</v>
      </c>
      <c r="M438" s="82">
        <f>'BOLETIM DE MEDIÇÃO 12'!G110</f>
        <v>36.19</v>
      </c>
      <c r="N438" s="86">
        <f t="shared" si="25"/>
        <v>0</v>
      </c>
    </row>
    <row r="439" spans="2:14" x14ac:dyDescent="0.25">
      <c r="B439" s="384"/>
      <c r="C439" s="385"/>
      <c r="D439" s="393" t="s">
        <v>1001</v>
      </c>
      <c r="E439" s="245"/>
      <c r="F439" s="312"/>
      <c r="G439" s="121"/>
      <c r="H439" s="70"/>
      <c r="I439" s="105"/>
      <c r="J439" s="99"/>
      <c r="K439" s="82"/>
      <c r="L439" s="82"/>
      <c r="M439" s="82"/>
      <c r="N439" s="86"/>
    </row>
    <row r="440" spans="2:14" x14ac:dyDescent="0.25">
      <c r="B440" s="347" t="s">
        <v>312</v>
      </c>
      <c r="C440" s="349" t="s">
        <v>313</v>
      </c>
      <c r="D440" s="53"/>
      <c r="E440" s="69"/>
      <c r="F440" s="312"/>
      <c r="G440" s="121"/>
      <c r="H440" s="70"/>
      <c r="I440" s="105"/>
      <c r="J440" s="99"/>
      <c r="K440" s="82"/>
      <c r="L440" s="82"/>
      <c r="M440" s="82"/>
      <c r="N440" s="86"/>
    </row>
    <row r="441" spans="2:14" ht="22.5" x14ac:dyDescent="0.25">
      <c r="B441" s="50" t="s">
        <v>314</v>
      </c>
      <c r="C441" s="66">
        <v>96620</v>
      </c>
      <c r="D441" s="53" t="s">
        <v>316</v>
      </c>
      <c r="E441" s="217" t="s">
        <v>41</v>
      </c>
      <c r="F441" s="312"/>
      <c r="G441" s="121"/>
      <c r="H441" s="70"/>
      <c r="I441" s="105"/>
      <c r="J441" s="99">
        <f>'BOLETIM DE MEDIÇÃO 12'!T119-'MEMORIAL DE CALCULO 08'!K441</f>
        <v>10.199999999999999</v>
      </c>
      <c r="K441" s="81">
        <f>K442</f>
        <v>21.53</v>
      </c>
      <c r="L441" s="82">
        <f>J441+K441</f>
        <v>31.73</v>
      </c>
      <c r="M441" s="82">
        <f>'BOLETIM DE MEDIÇÃO 12'!G119</f>
        <v>35.340000000000003</v>
      </c>
      <c r="N441" s="86">
        <f>M441-L441</f>
        <v>3.610000000000003</v>
      </c>
    </row>
    <row r="442" spans="2:14" x14ac:dyDescent="0.25">
      <c r="B442" s="50"/>
      <c r="C442" s="66"/>
      <c r="D442" s="187" t="s">
        <v>994</v>
      </c>
      <c r="E442" s="69"/>
      <c r="F442" s="312"/>
      <c r="G442" s="468">
        <v>21.53</v>
      </c>
      <c r="H442" s="469"/>
      <c r="I442" s="470"/>
      <c r="J442" s="99"/>
      <c r="K442" s="82">
        <f>G442</f>
        <v>21.53</v>
      </c>
      <c r="L442" s="82"/>
      <c r="M442" s="82"/>
      <c r="N442" s="86"/>
    </row>
    <row r="443" spans="2:14" ht="67.5" x14ac:dyDescent="0.25">
      <c r="B443" s="384" t="s">
        <v>317</v>
      </c>
      <c r="C443" s="385">
        <v>94439</v>
      </c>
      <c r="D443" s="386" t="s">
        <v>319</v>
      </c>
      <c r="E443" s="277" t="s">
        <v>17</v>
      </c>
      <c r="F443" s="312"/>
      <c r="G443" s="121"/>
      <c r="H443" s="70"/>
      <c r="I443" s="105"/>
      <c r="J443" s="99">
        <f>'BOLETIM DE MEDIÇÃO 12'!T120</f>
        <v>597</v>
      </c>
      <c r="K443" s="81">
        <f>SUM(K444:K448)</f>
        <v>116.27</v>
      </c>
      <c r="L443" s="82">
        <f t="shared" ref="L443" si="26">J443+K443</f>
        <v>713.27</v>
      </c>
      <c r="M443" s="82">
        <f>'BOLETIM DE MEDIÇÃO 12'!G121</f>
        <v>634.5</v>
      </c>
      <c r="N443" s="86">
        <f>M443-L443</f>
        <v>-78.769999999999982</v>
      </c>
    </row>
    <row r="444" spans="2:14" x14ac:dyDescent="0.25">
      <c r="B444" s="50"/>
      <c r="C444" s="66"/>
      <c r="D444" s="319" t="s">
        <v>846</v>
      </c>
      <c r="E444" s="69"/>
      <c r="F444" s="312">
        <v>1</v>
      </c>
      <c r="G444" s="468">
        <v>27</v>
      </c>
      <c r="H444" s="469"/>
      <c r="I444" s="470"/>
      <c r="J444" s="99"/>
      <c r="K444" s="82">
        <f>F444*G444</f>
        <v>27</v>
      </c>
      <c r="L444" s="82"/>
      <c r="M444" s="82"/>
      <c r="N444" s="86"/>
    </row>
    <row r="445" spans="2:14" x14ac:dyDescent="0.25">
      <c r="B445" s="50"/>
      <c r="C445" s="66"/>
      <c r="D445" s="319" t="s">
        <v>842</v>
      </c>
      <c r="E445" s="69"/>
      <c r="F445" s="312">
        <v>1</v>
      </c>
      <c r="G445" s="468">
        <v>26</v>
      </c>
      <c r="H445" s="469"/>
      <c r="I445" s="470"/>
      <c r="J445" s="99"/>
      <c r="K445" s="82">
        <f t="shared" ref="K445:K448" si="27">F445*G445</f>
        <v>26</v>
      </c>
      <c r="L445" s="82"/>
      <c r="M445" s="82"/>
      <c r="N445" s="86"/>
    </row>
    <row r="446" spans="2:14" x14ac:dyDescent="0.25">
      <c r="B446" s="50"/>
      <c r="C446" s="66"/>
      <c r="D446" s="319" t="s">
        <v>856</v>
      </c>
      <c r="E446" s="69"/>
      <c r="F446" s="312">
        <v>1</v>
      </c>
      <c r="G446" s="468">
        <v>30</v>
      </c>
      <c r="H446" s="469"/>
      <c r="I446" s="470"/>
      <c r="J446" s="99"/>
      <c r="K446" s="82">
        <f t="shared" si="27"/>
        <v>30</v>
      </c>
      <c r="L446" s="82"/>
      <c r="M446" s="82"/>
      <c r="N446" s="86"/>
    </row>
    <row r="447" spans="2:14" x14ac:dyDescent="0.25">
      <c r="B447" s="50"/>
      <c r="C447" s="66"/>
      <c r="D447" s="319" t="s">
        <v>981</v>
      </c>
      <c r="E447" s="69"/>
      <c r="F447" s="312">
        <v>1</v>
      </c>
      <c r="G447" s="468">
        <v>30</v>
      </c>
      <c r="H447" s="469"/>
      <c r="I447" s="470"/>
      <c r="J447" s="99"/>
      <c r="K447" s="82">
        <f t="shared" si="27"/>
        <v>30</v>
      </c>
      <c r="L447" s="82"/>
      <c r="M447" s="82"/>
      <c r="N447" s="86"/>
    </row>
    <row r="448" spans="2:14" x14ac:dyDescent="0.25">
      <c r="B448" s="50"/>
      <c r="C448" s="66"/>
      <c r="D448" s="319" t="s">
        <v>861</v>
      </c>
      <c r="E448" s="69"/>
      <c r="F448" s="312">
        <v>1</v>
      </c>
      <c r="G448" s="468">
        <v>3.27</v>
      </c>
      <c r="H448" s="469"/>
      <c r="I448" s="470"/>
      <c r="J448" s="99"/>
      <c r="K448" s="82">
        <f t="shared" si="27"/>
        <v>3.27</v>
      </c>
      <c r="L448" s="82"/>
      <c r="M448" s="82"/>
      <c r="N448" s="86"/>
    </row>
    <row r="449" spans="2:14" x14ac:dyDescent="0.25">
      <c r="B449" s="212">
        <v>1.1299999999999999</v>
      </c>
      <c r="C449" s="588" t="s">
        <v>368</v>
      </c>
      <c r="D449" s="589"/>
      <c r="E449" s="69"/>
      <c r="F449" s="312"/>
      <c r="G449" s="121"/>
      <c r="H449" s="70"/>
      <c r="I449" s="105"/>
      <c r="J449" s="99"/>
      <c r="K449" s="82"/>
      <c r="L449" s="82"/>
      <c r="M449" s="82"/>
      <c r="N449" s="86"/>
    </row>
    <row r="450" spans="2:14" ht="56.25" x14ac:dyDescent="0.25">
      <c r="B450" s="203" t="s">
        <v>369</v>
      </c>
      <c r="C450" s="211">
        <v>91785</v>
      </c>
      <c r="D450" s="205" t="s">
        <v>371</v>
      </c>
      <c r="E450" s="217" t="s">
        <v>37</v>
      </c>
      <c r="F450" s="312"/>
      <c r="G450" s="121"/>
      <c r="H450" s="70"/>
      <c r="I450" s="105"/>
      <c r="J450" s="99">
        <f>'BOLETIM DE MEDIÇÃO 12'!T138-'MEMORIAL DE CALCULO 08'!K450</f>
        <v>0</v>
      </c>
      <c r="K450" s="81">
        <f>K451</f>
        <v>98.77</v>
      </c>
      <c r="L450" s="82">
        <f>J450+K450</f>
        <v>98.77</v>
      </c>
      <c r="M450" s="206">
        <v>98.77</v>
      </c>
      <c r="N450" s="86">
        <f t="shared" ref="N450:N507" si="28">M450-L450</f>
        <v>0</v>
      </c>
    </row>
    <row r="451" spans="2:14" x14ac:dyDescent="0.25">
      <c r="B451" s="203"/>
      <c r="C451" s="211"/>
      <c r="D451" s="377" t="s">
        <v>1004</v>
      </c>
      <c r="E451" s="217"/>
      <c r="F451" s="312">
        <v>1</v>
      </c>
      <c r="G451" s="468">
        <f>98.77</f>
        <v>98.77</v>
      </c>
      <c r="H451" s="469"/>
      <c r="I451" s="470"/>
      <c r="J451" s="99"/>
      <c r="K451" s="82">
        <f>G451</f>
        <v>98.77</v>
      </c>
      <c r="L451" s="82"/>
      <c r="M451" s="206"/>
      <c r="N451" s="86">
        <f t="shared" si="28"/>
        <v>0</v>
      </c>
    </row>
    <row r="452" spans="2:14" x14ac:dyDescent="0.25">
      <c r="B452" s="203"/>
      <c r="C452" s="211"/>
      <c r="D452" s="205"/>
      <c r="E452" s="217"/>
      <c r="F452" s="312"/>
      <c r="G452" s="121"/>
      <c r="H452" s="70"/>
      <c r="I452" s="105"/>
      <c r="J452" s="99"/>
      <c r="K452" s="82"/>
      <c r="L452" s="82"/>
      <c r="M452" s="206"/>
      <c r="N452" s="86">
        <f t="shared" si="28"/>
        <v>0</v>
      </c>
    </row>
    <row r="453" spans="2:14" ht="56.25" x14ac:dyDescent="0.25">
      <c r="B453" s="203" t="s">
        <v>372</v>
      </c>
      <c r="C453" s="211">
        <v>91784</v>
      </c>
      <c r="D453" s="205" t="s">
        <v>374</v>
      </c>
      <c r="E453" s="217" t="s">
        <v>37</v>
      </c>
      <c r="F453" s="312"/>
      <c r="G453" s="121"/>
      <c r="H453" s="70"/>
      <c r="I453" s="105"/>
      <c r="J453" s="99">
        <f>'BOLETIM DE MEDIÇÃO 12'!T139-'MEMORIAL DE CALCULO 08'!K453</f>
        <v>0</v>
      </c>
      <c r="K453" s="81">
        <f>K454</f>
        <v>62.17</v>
      </c>
      <c r="L453" s="82">
        <f t="shared" ref="L453:L513" si="29">J453+K453</f>
        <v>62.17</v>
      </c>
      <c r="M453" s="206">
        <v>62.17</v>
      </c>
      <c r="N453" s="86">
        <f t="shared" si="28"/>
        <v>0</v>
      </c>
    </row>
    <row r="454" spans="2:14" x14ac:dyDescent="0.25">
      <c r="B454" s="203"/>
      <c r="C454" s="211"/>
      <c r="D454" s="377" t="s">
        <v>1004</v>
      </c>
      <c r="E454" s="217"/>
      <c r="F454" s="312">
        <v>1</v>
      </c>
      <c r="G454" s="468">
        <f>62.17</f>
        <v>62.17</v>
      </c>
      <c r="H454" s="469"/>
      <c r="I454" s="470"/>
      <c r="J454" s="99"/>
      <c r="K454" s="82">
        <f>G454</f>
        <v>62.17</v>
      </c>
      <c r="L454" s="82"/>
      <c r="M454" s="206"/>
      <c r="N454" s="86">
        <f t="shared" si="28"/>
        <v>0</v>
      </c>
    </row>
    <row r="455" spans="2:14" x14ac:dyDescent="0.25">
      <c r="B455" s="203"/>
      <c r="C455" s="211"/>
      <c r="D455" s="205"/>
      <c r="E455" s="217"/>
      <c r="F455" s="312"/>
      <c r="G455" s="121"/>
      <c r="H455" s="70"/>
      <c r="I455" s="105"/>
      <c r="J455" s="99"/>
      <c r="K455" s="82"/>
      <c r="L455" s="82"/>
      <c r="M455" s="206"/>
      <c r="N455" s="86">
        <f t="shared" si="28"/>
        <v>0</v>
      </c>
    </row>
    <row r="456" spans="2:14" ht="56.25" hidden="1" x14ac:dyDescent="0.25">
      <c r="B456" s="203" t="s">
        <v>375</v>
      </c>
      <c r="C456" s="211">
        <v>91786</v>
      </c>
      <c r="D456" s="205" t="s">
        <v>377</v>
      </c>
      <c r="E456" s="217" t="s">
        <v>37</v>
      </c>
      <c r="F456" s="312"/>
      <c r="G456" s="121"/>
      <c r="H456" s="70"/>
      <c r="I456" s="105"/>
      <c r="J456" s="99">
        <f>'BOLETIM DE MEDIÇÃO 12'!T140-'MEMORIAL DE CALCULO 08'!K456</f>
        <v>17.324999999999999</v>
      </c>
      <c r="K456" s="81">
        <f>K457</f>
        <v>7.4249999999999998</v>
      </c>
      <c r="L456" s="82">
        <f t="shared" si="29"/>
        <v>24.75</v>
      </c>
      <c r="M456" s="206">
        <v>24.75</v>
      </c>
      <c r="N456" s="86">
        <f t="shared" si="28"/>
        <v>0</v>
      </c>
    </row>
    <row r="457" spans="2:14" hidden="1" x14ac:dyDescent="0.25">
      <c r="B457" s="203"/>
      <c r="C457" s="211"/>
      <c r="D457" s="377" t="s">
        <v>984</v>
      </c>
      <c r="E457" s="217"/>
      <c r="F457" s="312">
        <v>1</v>
      </c>
      <c r="G457" s="468">
        <f>0.3*24.75</f>
        <v>7.4249999999999998</v>
      </c>
      <c r="H457" s="469"/>
      <c r="I457" s="470"/>
      <c r="J457" s="99"/>
      <c r="K457" s="82">
        <f>G457</f>
        <v>7.4249999999999998</v>
      </c>
      <c r="L457" s="82"/>
      <c r="M457" s="206"/>
      <c r="N457" s="86">
        <f t="shared" si="28"/>
        <v>0</v>
      </c>
    </row>
    <row r="458" spans="2:14" hidden="1" x14ac:dyDescent="0.25">
      <c r="B458" s="203"/>
      <c r="C458" s="211"/>
      <c r="D458" s="205"/>
      <c r="E458" s="217"/>
      <c r="F458" s="312"/>
      <c r="G458" s="121"/>
      <c r="H458" s="70"/>
      <c r="I458" s="105"/>
      <c r="J458" s="99"/>
      <c r="K458" s="82"/>
      <c r="L458" s="82"/>
      <c r="M458" s="206"/>
      <c r="N458" s="86">
        <f t="shared" si="28"/>
        <v>0</v>
      </c>
    </row>
    <row r="459" spans="2:14" ht="56.25" hidden="1" x14ac:dyDescent="0.25">
      <c r="B459" s="203" t="s">
        <v>378</v>
      </c>
      <c r="C459" s="211">
        <v>91787</v>
      </c>
      <c r="D459" s="205" t="s">
        <v>380</v>
      </c>
      <c r="E459" s="217" t="s">
        <v>37</v>
      </c>
      <c r="F459" s="312"/>
      <c r="G459" s="121"/>
      <c r="H459" s="70"/>
      <c r="I459" s="105"/>
      <c r="J459" s="99">
        <f>'BOLETIM DE MEDIÇÃO 12'!T141-'MEMORIAL DE CALCULO 08'!K459</f>
        <v>18.144000000000002</v>
      </c>
      <c r="K459" s="81">
        <f>K460</f>
        <v>7.7759999999999998</v>
      </c>
      <c r="L459" s="82">
        <f t="shared" si="29"/>
        <v>25.92</v>
      </c>
      <c r="M459" s="206">
        <v>25.92</v>
      </c>
      <c r="N459" s="86">
        <f t="shared" si="28"/>
        <v>0</v>
      </c>
    </row>
    <row r="460" spans="2:14" hidden="1" x14ac:dyDescent="0.25">
      <c r="B460" s="203"/>
      <c r="C460" s="211"/>
      <c r="D460" s="377" t="s">
        <v>984</v>
      </c>
      <c r="E460" s="217"/>
      <c r="F460" s="312">
        <v>1</v>
      </c>
      <c r="G460" s="468">
        <f>0.3*25.92</f>
        <v>7.7759999999999998</v>
      </c>
      <c r="H460" s="469"/>
      <c r="I460" s="470"/>
      <c r="J460" s="99"/>
      <c r="K460" s="82">
        <f>G460</f>
        <v>7.7759999999999998</v>
      </c>
      <c r="L460" s="82"/>
      <c r="M460" s="206"/>
      <c r="N460" s="86">
        <f t="shared" si="28"/>
        <v>0</v>
      </c>
    </row>
    <row r="461" spans="2:14" hidden="1" x14ac:dyDescent="0.25">
      <c r="B461" s="203"/>
      <c r="C461" s="211"/>
      <c r="D461" s="205"/>
      <c r="E461" s="217"/>
      <c r="F461" s="312"/>
      <c r="G461" s="121"/>
      <c r="H461" s="70"/>
      <c r="I461" s="105"/>
      <c r="J461" s="99"/>
      <c r="K461" s="82"/>
      <c r="L461" s="82"/>
      <c r="M461" s="206"/>
      <c r="N461" s="86">
        <f t="shared" si="28"/>
        <v>0</v>
      </c>
    </row>
    <row r="462" spans="2:14" ht="33.75" hidden="1" x14ac:dyDescent="0.25">
      <c r="B462" s="203" t="s">
        <v>381</v>
      </c>
      <c r="C462" s="211">
        <v>89987</v>
      </c>
      <c r="D462" s="205" t="s">
        <v>383</v>
      </c>
      <c r="E462" s="217" t="s">
        <v>166</v>
      </c>
      <c r="F462" s="312"/>
      <c r="G462" s="121"/>
      <c r="H462" s="70"/>
      <c r="I462" s="105"/>
      <c r="J462" s="99">
        <f>'BOLETIM DE MEDIÇÃO 12'!T142-'MEMORIAL DE CALCULO 08'!K462</f>
        <v>7</v>
      </c>
      <c r="K462" s="81">
        <f>K463</f>
        <v>3</v>
      </c>
      <c r="L462" s="82">
        <f t="shared" si="29"/>
        <v>10</v>
      </c>
      <c r="M462" s="206">
        <v>10</v>
      </c>
      <c r="N462" s="86">
        <f t="shared" si="28"/>
        <v>0</v>
      </c>
    </row>
    <row r="463" spans="2:14" hidden="1" x14ac:dyDescent="0.25">
      <c r="B463" s="203"/>
      <c r="C463" s="211"/>
      <c r="D463" s="377" t="s">
        <v>984</v>
      </c>
      <c r="E463" s="217"/>
      <c r="F463" s="312">
        <v>1</v>
      </c>
      <c r="G463" s="468">
        <f>0.3*10</f>
        <v>3</v>
      </c>
      <c r="H463" s="469"/>
      <c r="I463" s="470"/>
      <c r="J463" s="99"/>
      <c r="K463" s="82">
        <f>G463</f>
        <v>3</v>
      </c>
      <c r="L463" s="82"/>
      <c r="M463" s="206"/>
      <c r="N463" s="86">
        <f t="shared" si="28"/>
        <v>0</v>
      </c>
    </row>
    <row r="464" spans="2:14" hidden="1" x14ac:dyDescent="0.25">
      <c r="B464" s="203"/>
      <c r="C464" s="211"/>
      <c r="D464" s="205"/>
      <c r="E464" s="217"/>
      <c r="F464" s="312"/>
      <c r="G464" s="121"/>
      <c r="H464" s="70"/>
      <c r="I464" s="105"/>
      <c r="J464" s="99"/>
      <c r="K464" s="82"/>
      <c r="L464" s="82"/>
      <c r="M464" s="206"/>
      <c r="N464" s="86">
        <f t="shared" si="28"/>
        <v>0</v>
      </c>
    </row>
    <row r="465" spans="2:14" ht="22.5" hidden="1" x14ac:dyDescent="0.25">
      <c r="B465" s="203" t="s">
        <v>384</v>
      </c>
      <c r="C465" s="211">
        <v>94490</v>
      </c>
      <c r="D465" s="205" t="s">
        <v>386</v>
      </c>
      <c r="E465" s="217" t="s">
        <v>166</v>
      </c>
      <c r="F465" s="312"/>
      <c r="G465" s="121"/>
      <c r="H465" s="70"/>
      <c r="I465" s="105"/>
      <c r="J465" s="99">
        <f>'BOLETIM DE MEDIÇÃO 12'!T143-'MEMORIAL DE CALCULO 08'!K465</f>
        <v>-1</v>
      </c>
      <c r="K465" s="81">
        <f>K466</f>
        <v>1</v>
      </c>
      <c r="L465" s="82">
        <f t="shared" si="29"/>
        <v>0</v>
      </c>
      <c r="M465" s="206">
        <v>2</v>
      </c>
      <c r="N465" s="86">
        <f t="shared" si="28"/>
        <v>2</v>
      </c>
    </row>
    <row r="466" spans="2:14" hidden="1" x14ac:dyDescent="0.25">
      <c r="B466" s="203"/>
      <c r="C466" s="211"/>
      <c r="D466" s="377" t="s">
        <v>983</v>
      </c>
      <c r="E466" s="217"/>
      <c r="F466" s="312">
        <v>1</v>
      </c>
      <c r="G466" s="468">
        <v>1</v>
      </c>
      <c r="H466" s="469"/>
      <c r="I466" s="470"/>
      <c r="J466" s="99"/>
      <c r="K466" s="82">
        <v>1</v>
      </c>
      <c r="L466" s="82"/>
      <c r="M466" s="206"/>
      <c r="N466" s="86">
        <f t="shared" si="28"/>
        <v>0</v>
      </c>
    </row>
    <row r="467" spans="2:14" hidden="1" x14ac:dyDescent="0.25">
      <c r="B467" s="203"/>
      <c r="C467" s="211"/>
      <c r="D467" s="205"/>
      <c r="E467" s="217"/>
      <c r="F467" s="312"/>
      <c r="G467" s="121"/>
      <c r="H467" s="70"/>
      <c r="I467" s="105"/>
      <c r="J467" s="99"/>
      <c r="K467" s="82"/>
      <c r="L467" s="82"/>
      <c r="M467" s="206"/>
      <c r="N467" s="86">
        <f t="shared" si="28"/>
        <v>0</v>
      </c>
    </row>
    <row r="468" spans="2:14" ht="33.75" hidden="1" x14ac:dyDescent="0.25">
      <c r="B468" s="203" t="s">
        <v>387</v>
      </c>
      <c r="C468" s="211">
        <v>89985</v>
      </c>
      <c r="D468" s="205" t="s">
        <v>389</v>
      </c>
      <c r="E468" s="217" t="s">
        <v>166</v>
      </c>
      <c r="F468" s="312"/>
      <c r="G468" s="121"/>
      <c r="H468" s="70"/>
      <c r="I468" s="105"/>
      <c r="J468" s="99">
        <f>'BOLETIM DE MEDIÇÃO 12'!T144-'MEMORIAL DE CALCULO 08'!K468</f>
        <v>3</v>
      </c>
      <c r="K468" s="81">
        <f>K469</f>
        <v>3</v>
      </c>
      <c r="L468" s="82">
        <f t="shared" si="29"/>
        <v>6</v>
      </c>
      <c r="M468" s="206">
        <v>6</v>
      </c>
      <c r="N468" s="86">
        <f t="shared" si="28"/>
        <v>0</v>
      </c>
    </row>
    <row r="469" spans="2:14" hidden="1" x14ac:dyDescent="0.25">
      <c r="B469" s="203"/>
      <c r="C469" s="211"/>
      <c r="D469" s="377" t="s">
        <v>983</v>
      </c>
      <c r="E469" s="217"/>
      <c r="F469" s="312">
        <v>1</v>
      </c>
      <c r="G469" s="468">
        <v>3</v>
      </c>
      <c r="H469" s="469"/>
      <c r="I469" s="470"/>
      <c r="J469" s="99"/>
      <c r="K469" s="82">
        <f>G469</f>
        <v>3</v>
      </c>
      <c r="L469" s="82"/>
      <c r="M469" s="206"/>
      <c r="N469" s="86">
        <f t="shared" si="28"/>
        <v>0</v>
      </c>
    </row>
    <row r="470" spans="2:14" hidden="1" x14ac:dyDescent="0.25">
      <c r="B470" s="203"/>
      <c r="C470" s="211"/>
      <c r="D470" s="205"/>
      <c r="E470" s="217"/>
      <c r="F470" s="312"/>
      <c r="G470" s="121"/>
      <c r="H470" s="70"/>
      <c r="I470" s="105"/>
      <c r="J470" s="99"/>
      <c r="K470" s="82"/>
      <c r="L470" s="82"/>
      <c r="M470" s="206"/>
      <c r="N470" s="86">
        <f t="shared" si="28"/>
        <v>0</v>
      </c>
    </row>
    <row r="471" spans="2:14" ht="33.75" hidden="1" x14ac:dyDescent="0.25">
      <c r="B471" s="203" t="s">
        <v>390</v>
      </c>
      <c r="C471" s="211">
        <v>102613</v>
      </c>
      <c r="D471" s="205" t="s">
        <v>392</v>
      </c>
      <c r="E471" s="217" t="s">
        <v>166</v>
      </c>
      <c r="F471" s="312"/>
      <c r="G471" s="121"/>
      <c r="H471" s="70"/>
      <c r="I471" s="105"/>
      <c r="J471" s="99">
        <f>'BOLETIM DE MEDIÇÃO 12'!T145-'MEMORIAL DE CALCULO 08'!K471</f>
        <v>2</v>
      </c>
      <c r="K471" s="82"/>
      <c r="L471" s="82">
        <f t="shared" si="29"/>
        <v>2</v>
      </c>
      <c r="M471" s="206">
        <v>2</v>
      </c>
      <c r="N471" s="86">
        <f t="shared" si="28"/>
        <v>0</v>
      </c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>
        <f t="shared" si="28"/>
        <v>0</v>
      </c>
    </row>
    <row r="473" spans="2:14" hidden="1" x14ac:dyDescent="0.25">
      <c r="B473" s="203"/>
      <c r="C473" s="211"/>
      <c r="D473" s="205"/>
      <c r="E473" s="217"/>
      <c r="F473" s="312"/>
      <c r="G473" s="121"/>
      <c r="H473" s="70"/>
      <c r="I473" s="105"/>
      <c r="J473" s="99"/>
      <c r="K473" s="82"/>
      <c r="L473" s="82"/>
      <c r="M473" s="206"/>
      <c r="N473" s="86">
        <f t="shared" si="28"/>
        <v>0</v>
      </c>
    </row>
    <row r="474" spans="2:14" ht="22.5" hidden="1" x14ac:dyDescent="0.25">
      <c r="B474" s="203" t="s">
        <v>393</v>
      </c>
      <c r="C474" s="211">
        <v>102609</v>
      </c>
      <c r="D474" s="205" t="s">
        <v>395</v>
      </c>
      <c r="E474" s="217" t="s">
        <v>166</v>
      </c>
      <c r="F474" s="312"/>
      <c r="G474" s="121"/>
      <c r="H474" s="70"/>
      <c r="I474" s="105"/>
      <c r="J474" s="99">
        <f>'BOLETIM DE MEDIÇÃO 12'!T146-'MEMORIAL DE CALCULO 08'!K474</f>
        <v>2</v>
      </c>
      <c r="K474" s="82"/>
      <c r="L474" s="82">
        <f t="shared" si="29"/>
        <v>2</v>
      </c>
      <c r="M474" s="206">
        <v>2</v>
      </c>
      <c r="N474" s="86">
        <f t="shared" si="28"/>
        <v>0</v>
      </c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>
        <f t="shared" si="28"/>
        <v>0</v>
      </c>
    </row>
    <row r="476" spans="2:14" hidden="1" x14ac:dyDescent="0.25">
      <c r="B476" s="203"/>
      <c r="C476" s="211"/>
      <c r="D476" s="205"/>
      <c r="E476" s="217"/>
      <c r="F476" s="312"/>
      <c r="G476" s="121"/>
      <c r="H476" s="70"/>
      <c r="I476" s="105"/>
      <c r="J476" s="99"/>
      <c r="K476" s="82"/>
      <c r="L476" s="82"/>
      <c r="M476" s="206"/>
      <c r="N476" s="86">
        <f t="shared" si="28"/>
        <v>0</v>
      </c>
    </row>
    <row r="477" spans="2:14" ht="22.5" hidden="1" x14ac:dyDescent="0.25">
      <c r="B477" s="203" t="s">
        <v>396</v>
      </c>
      <c r="C477" s="211">
        <v>94796</v>
      </c>
      <c r="D477" s="205" t="s">
        <v>398</v>
      </c>
      <c r="E477" s="217" t="s">
        <v>166</v>
      </c>
      <c r="F477" s="312"/>
      <c r="G477" s="121"/>
      <c r="H477" s="70"/>
      <c r="I477" s="105"/>
      <c r="J477" s="99">
        <f>'BOLETIM DE MEDIÇÃO 12'!T147-'MEMORIAL DE CALCULO 08'!K477</f>
        <v>0</v>
      </c>
      <c r="K477" s="82"/>
      <c r="L477" s="82">
        <f t="shared" si="29"/>
        <v>0</v>
      </c>
      <c r="M477" s="206">
        <v>4</v>
      </c>
      <c r="N477" s="86">
        <f t="shared" si="28"/>
        <v>4</v>
      </c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>
        <f t="shared" si="28"/>
        <v>0</v>
      </c>
    </row>
    <row r="479" spans="2:14" hidden="1" x14ac:dyDescent="0.25">
      <c r="B479" s="203"/>
      <c r="C479" s="211"/>
      <c r="D479" s="205"/>
      <c r="E479" s="217"/>
      <c r="F479" s="312"/>
      <c r="G479" s="121"/>
      <c r="H479" s="70"/>
      <c r="I479" s="105"/>
      <c r="J479" s="99"/>
      <c r="K479" s="82"/>
      <c r="L479" s="82"/>
      <c r="M479" s="206"/>
      <c r="N479" s="86">
        <f t="shared" si="28"/>
        <v>0</v>
      </c>
    </row>
    <row r="480" spans="2:14" ht="22.5" hidden="1" x14ac:dyDescent="0.25">
      <c r="B480" s="203" t="s">
        <v>399</v>
      </c>
      <c r="C480" s="211">
        <v>94491</v>
      </c>
      <c r="D480" s="205" t="s">
        <v>401</v>
      </c>
      <c r="E480" s="217" t="s">
        <v>166</v>
      </c>
      <c r="F480" s="312"/>
      <c r="G480" s="121"/>
      <c r="H480" s="70"/>
      <c r="I480" s="105"/>
      <c r="J480" s="99">
        <f>'BOLETIM DE MEDIÇÃO 12'!T148-'MEMORIAL DE CALCULO 08'!K480</f>
        <v>0</v>
      </c>
      <c r="K480" s="82"/>
      <c r="L480" s="82">
        <f t="shared" si="29"/>
        <v>0</v>
      </c>
      <c r="M480" s="206">
        <v>4</v>
      </c>
      <c r="N480" s="86">
        <f t="shared" si="28"/>
        <v>4</v>
      </c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>
        <f t="shared" si="28"/>
        <v>0</v>
      </c>
    </row>
    <row r="482" spans="2:14" hidden="1" x14ac:dyDescent="0.25">
      <c r="B482" s="203"/>
      <c r="C482" s="211"/>
      <c r="D482" s="205"/>
      <c r="E482" s="217"/>
      <c r="F482" s="312"/>
      <c r="G482" s="121"/>
      <c r="H482" s="70"/>
      <c r="I482" s="105"/>
      <c r="J482" s="99"/>
      <c r="K482" s="82"/>
      <c r="L482" s="82"/>
      <c r="M482" s="206"/>
      <c r="N482" s="86">
        <f t="shared" si="28"/>
        <v>0</v>
      </c>
    </row>
    <row r="483" spans="2:14" ht="22.5" hidden="1" x14ac:dyDescent="0.25">
      <c r="B483" s="203" t="s">
        <v>402</v>
      </c>
      <c r="C483" s="211">
        <v>94492</v>
      </c>
      <c r="D483" s="205" t="s">
        <v>404</v>
      </c>
      <c r="E483" s="217" t="s">
        <v>166</v>
      </c>
      <c r="F483" s="312"/>
      <c r="G483" s="121"/>
      <c r="H483" s="70"/>
      <c r="I483" s="105"/>
      <c r="J483" s="99">
        <f>'BOLETIM DE MEDIÇÃO 12'!T149-'MEMORIAL DE CALCULO 08'!K483</f>
        <v>0</v>
      </c>
      <c r="K483" s="82"/>
      <c r="L483" s="82">
        <f t="shared" si="29"/>
        <v>0</v>
      </c>
      <c r="M483" s="206">
        <v>2</v>
      </c>
      <c r="N483" s="86">
        <f t="shared" si="28"/>
        <v>2</v>
      </c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>
        <f t="shared" si="28"/>
        <v>0</v>
      </c>
    </row>
    <row r="485" spans="2:14" hidden="1" x14ac:dyDescent="0.25">
      <c r="B485" s="203"/>
      <c r="C485" s="211"/>
      <c r="D485" s="205"/>
      <c r="E485" s="217"/>
      <c r="F485" s="312"/>
      <c r="G485" s="121"/>
      <c r="H485" s="70"/>
      <c r="I485" s="105"/>
      <c r="J485" s="99"/>
      <c r="K485" s="82"/>
      <c r="L485" s="82"/>
      <c r="M485" s="206"/>
      <c r="N485" s="86">
        <f t="shared" si="28"/>
        <v>0</v>
      </c>
    </row>
    <row r="486" spans="2:14" ht="22.5" hidden="1" x14ac:dyDescent="0.25">
      <c r="B486" s="203" t="s">
        <v>405</v>
      </c>
      <c r="C486" s="211">
        <v>95675</v>
      </c>
      <c r="D486" s="205" t="s">
        <v>407</v>
      </c>
      <c r="E486" s="217" t="s">
        <v>166</v>
      </c>
      <c r="F486" s="312"/>
      <c r="G486" s="121"/>
      <c r="H486" s="70"/>
      <c r="I486" s="105"/>
      <c r="J486" s="99">
        <f>'BOLETIM DE MEDIÇÃO 12'!T150-'MEMORIAL DE CALCULO 08'!K486</f>
        <v>0</v>
      </c>
      <c r="K486" s="82"/>
      <c r="L486" s="82">
        <f t="shared" si="29"/>
        <v>0</v>
      </c>
      <c r="M486" s="206">
        <v>1</v>
      </c>
      <c r="N486" s="86">
        <f t="shared" si="28"/>
        <v>1</v>
      </c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>
        <f t="shared" si="28"/>
        <v>0</v>
      </c>
    </row>
    <row r="488" spans="2:14" hidden="1" x14ac:dyDescent="0.25">
      <c r="B488" s="203"/>
      <c r="C488" s="211"/>
      <c r="D488" s="205"/>
      <c r="E488" s="217"/>
      <c r="F488" s="312"/>
      <c r="G488" s="121"/>
      <c r="H488" s="70"/>
      <c r="I488" s="105"/>
      <c r="J488" s="99"/>
      <c r="K488" s="82"/>
      <c r="L488" s="82"/>
      <c r="M488" s="206"/>
      <c r="N488" s="86">
        <f t="shared" si="28"/>
        <v>0</v>
      </c>
    </row>
    <row r="489" spans="2:14" ht="45" hidden="1" x14ac:dyDescent="0.25">
      <c r="B489" s="203" t="s">
        <v>408</v>
      </c>
      <c r="C489" s="211">
        <v>97902</v>
      </c>
      <c r="D489" s="205" t="s">
        <v>410</v>
      </c>
      <c r="E489" s="217" t="s">
        <v>166</v>
      </c>
      <c r="F489" s="312"/>
      <c r="G489" s="121"/>
      <c r="H489" s="70"/>
      <c r="I489" s="105"/>
      <c r="J489" s="99">
        <f>'BOLETIM DE MEDIÇÃO 12'!T151-'MEMORIAL DE CALCULO 08'!K489</f>
        <v>7</v>
      </c>
      <c r="K489" s="82"/>
      <c r="L489" s="82">
        <f t="shared" si="29"/>
        <v>7</v>
      </c>
      <c r="M489" s="206">
        <v>7</v>
      </c>
      <c r="N489" s="86">
        <f t="shared" si="28"/>
        <v>0</v>
      </c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>
        <f t="shared" si="28"/>
        <v>0</v>
      </c>
    </row>
    <row r="491" spans="2:14" hidden="1" x14ac:dyDescent="0.25">
      <c r="B491" s="203"/>
      <c r="C491" s="211"/>
      <c r="D491" s="205"/>
      <c r="E491" s="217"/>
      <c r="F491" s="312"/>
      <c r="G491" s="121"/>
      <c r="H491" s="70"/>
      <c r="I491" s="105"/>
      <c r="J491" s="99"/>
      <c r="K491" s="82"/>
      <c r="L491" s="82"/>
      <c r="M491" s="206"/>
      <c r="N491" s="86">
        <f t="shared" si="28"/>
        <v>0</v>
      </c>
    </row>
    <row r="492" spans="2:14" ht="45" hidden="1" x14ac:dyDescent="0.25">
      <c r="B492" s="203" t="s">
        <v>411</v>
      </c>
      <c r="C492" s="211">
        <v>99258</v>
      </c>
      <c r="D492" s="205" t="s">
        <v>413</v>
      </c>
      <c r="E492" s="217" t="s">
        <v>166</v>
      </c>
      <c r="F492" s="312"/>
      <c r="G492" s="121"/>
      <c r="H492" s="70"/>
      <c r="I492" s="105"/>
      <c r="J492" s="99">
        <f>'BOLETIM DE MEDIÇÃO 12'!T152-'MEMORIAL DE CALCULO 08'!K492</f>
        <v>1</v>
      </c>
      <c r="K492" s="82"/>
      <c r="L492" s="82">
        <f t="shared" si="29"/>
        <v>1</v>
      </c>
      <c r="M492" s="206">
        <v>1</v>
      </c>
      <c r="N492" s="86">
        <f t="shared" si="28"/>
        <v>0</v>
      </c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>
        <f t="shared" si="28"/>
        <v>0</v>
      </c>
    </row>
    <row r="494" spans="2:14" hidden="1" x14ac:dyDescent="0.25">
      <c r="B494" s="203"/>
      <c r="C494" s="211"/>
      <c r="D494" s="205"/>
      <c r="E494" s="217"/>
      <c r="F494" s="312"/>
      <c r="G494" s="121"/>
      <c r="H494" s="70"/>
      <c r="I494" s="105"/>
      <c r="J494" s="99"/>
      <c r="K494" s="82"/>
      <c r="L494" s="82"/>
      <c r="M494" s="206"/>
      <c r="N494" s="86">
        <f t="shared" si="28"/>
        <v>0</v>
      </c>
    </row>
    <row r="495" spans="2:14" ht="33.75" hidden="1" x14ac:dyDescent="0.25">
      <c r="B495" s="203" t="s">
        <v>414</v>
      </c>
      <c r="C495" s="211">
        <v>89482</v>
      </c>
      <c r="D495" s="205" t="s">
        <v>416</v>
      </c>
      <c r="E495" s="217" t="s">
        <v>166</v>
      </c>
      <c r="F495" s="312"/>
      <c r="G495" s="121"/>
      <c r="H495" s="70"/>
      <c r="I495" s="105"/>
      <c r="J495" s="99">
        <f>'BOLETIM DE MEDIÇÃO 12'!T153-'MEMORIAL DE CALCULO 08'!K495</f>
        <v>10</v>
      </c>
      <c r="K495" s="82"/>
      <c r="L495" s="82">
        <f t="shared" si="29"/>
        <v>10</v>
      </c>
      <c r="M495" s="206">
        <v>10</v>
      </c>
      <c r="N495" s="86">
        <f t="shared" si="28"/>
        <v>0</v>
      </c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>
        <f t="shared" si="28"/>
        <v>0</v>
      </c>
    </row>
    <row r="497" spans="2:14" x14ac:dyDescent="0.25">
      <c r="B497" s="203"/>
      <c r="C497" s="211"/>
      <c r="D497" s="205"/>
      <c r="E497" s="217"/>
      <c r="F497" s="312"/>
      <c r="G497" s="121"/>
      <c r="H497" s="70"/>
      <c r="I497" s="105"/>
      <c r="J497" s="99"/>
      <c r="K497" s="82"/>
      <c r="L497" s="82"/>
      <c r="M497" s="206"/>
      <c r="N497" s="86">
        <f t="shared" si="28"/>
        <v>0</v>
      </c>
    </row>
    <row r="498" spans="2:14" ht="56.25" x14ac:dyDescent="0.25">
      <c r="B498" s="203" t="s">
        <v>417</v>
      </c>
      <c r="C498" s="211">
        <v>91792</v>
      </c>
      <c r="D498" s="205" t="s">
        <v>419</v>
      </c>
      <c r="E498" s="217" t="s">
        <v>37</v>
      </c>
      <c r="F498" s="312"/>
      <c r="G498" s="121"/>
      <c r="H498" s="70"/>
      <c r="I498" s="105"/>
      <c r="J498" s="99">
        <f>'BOLETIM DE MEDIÇÃO 12'!T154-'MEMORIAL DE CALCULO 08'!K498</f>
        <v>0</v>
      </c>
      <c r="K498" s="81">
        <f>K499</f>
        <v>38.85</v>
      </c>
      <c r="L498" s="82">
        <f t="shared" si="29"/>
        <v>38.85</v>
      </c>
      <c r="M498" s="206">
        <v>38.85</v>
      </c>
      <c r="N498" s="86">
        <f t="shared" si="28"/>
        <v>0</v>
      </c>
    </row>
    <row r="499" spans="2:14" x14ac:dyDescent="0.25">
      <c r="B499" s="203"/>
      <c r="C499" s="211"/>
      <c r="D499" s="377" t="s">
        <v>1004</v>
      </c>
      <c r="E499" s="217"/>
      <c r="F499" s="312">
        <v>1</v>
      </c>
      <c r="G499" s="468">
        <v>38.85</v>
      </c>
      <c r="H499" s="469"/>
      <c r="I499" s="470"/>
      <c r="J499" s="99"/>
      <c r="K499" s="82">
        <f>G499</f>
        <v>38.85</v>
      </c>
      <c r="L499" s="82"/>
      <c r="M499" s="206"/>
      <c r="N499" s="86"/>
    </row>
    <row r="500" spans="2:14" x14ac:dyDescent="0.25">
      <c r="B500" s="203"/>
      <c r="C500" s="211"/>
      <c r="D500" s="205"/>
      <c r="E500" s="217"/>
      <c r="F500" s="312"/>
      <c r="G500" s="121"/>
      <c r="H500" s="70"/>
      <c r="I500" s="105"/>
      <c r="J500" s="99"/>
      <c r="K500" s="82"/>
      <c r="L500" s="82"/>
      <c r="M500" s="206"/>
      <c r="N500" s="86"/>
    </row>
    <row r="501" spans="2:14" ht="56.25" x14ac:dyDescent="0.25">
      <c r="B501" s="203" t="s">
        <v>420</v>
      </c>
      <c r="C501" s="211">
        <v>91793</v>
      </c>
      <c r="D501" s="205" t="s">
        <v>422</v>
      </c>
      <c r="E501" s="217" t="s">
        <v>37</v>
      </c>
      <c r="F501" s="312"/>
      <c r="G501" s="121"/>
      <c r="H501" s="70"/>
      <c r="I501" s="105"/>
      <c r="J501" s="99">
        <f>'BOLETIM DE MEDIÇÃO 12'!T155-'MEMORIAL DE CALCULO 08'!K501</f>
        <v>0</v>
      </c>
      <c r="K501" s="81">
        <f>K502</f>
        <v>46.51</v>
      </c>
      <c r="L501" s="82">
        <f t="shared" si="29"/>
        <v>46.51</v>
      </c>
      <c r="M501" s="206">
        <v>46.51</v>
      </c>
      <c r="N501" s="86">
        <f t="shared" si="28"/>
        <v>0</v>
      </c>
    </row>
    <row r="502" spans="2:14" x14ac:dyDescent="0.25">
      <c r="B502" s="203"/>
      <c r="C502" s="211"/>
      <c r="D502" s="377" t="s">
        <v>1004</v>
      </c>
      <c r="E502" s="217"/>
      <c r="F502" s="312">
        <v>1</v>
      </c>
      <c r="G502" s="468">
        <v>46.51</v>
      </c>
      <c r="H502" s="469"/>
      <c r="I502" s="470"/>
      <c r="J502" s="99"/>
      <c r="K502" s="82">
        <f>G502</f>
        <v>46.51</v>
      </c>
      <c r="L502" s="82"/>
      <c r="M502" s="206"/>
      <c r="N502" s="86"/>
    </row>
    <row r="503" spans="2:14" x14ac:dyDescent="0.25">
      <c r="B503" s="203"/>
      <c r="C503" s="211"/>
      <c r="D503" s="205"/>
      <c r="E503" s="217"/>
      <c r="F503" s="312"/>
      <c r="G503" s="121"/>
      <c r="H503" s="70"/>
      <c r="I503" s="105"/>
      <c r="J503" s="99"/>
      <c r="K503" s="82"/>
      <c r="L503" s="82"/>
      <c r="M503" s="206"/>
      <c r="N503" s="86"/>
    </row>
    <row r="504" spans="2:14" ht="45" hidden="1" x14ac:dyDescent="0.25">
      <c r="B504" s="203" t="s">
        <v>423</v>
      </c>
      <c r="C504" s="211">
        <v>98107</v>
      </c>
      <c r="D504" s="205" t="s">
        <v>425</v>
      </c>
      <c r="E504" s="217" t="s">
        <v>166</v>
      </c>
      <c r="F504" s="312"/>
      <c r="G504" s="121"/>
      <c r="H504" s="70"/>
      <c r="I504" s="105"/>
      <c r="J504" s="99">
        <f>'BOLETIM DE MEDIÇÃO 12'!T156-'MEMORIAL DE CALCULO 08'!K504</f>
        <v>1</v>
      </c>
      <c r="K504" s="82"/>
      <c r="L504" s="82">
        <f t="shared" si="29"/>
        <v>1</v>
      </c>
      <c r="M504" s="206">
        <v>1</v>
      </c>
      <c r="N504" s="86">
        <f t="shared" si="28"/>
        <v>0</v>
      </c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>
        <f t="shared" si="28"/>
        <v>0</v>
      </c>
    </row>
    <row r="506" spans="2:14" hidden="1" x14ac:dyDescent="0.25">
      <c r="B506" s="203"/>
      <c r="C506" s="211"/>
      <c r="D506" s="205"/>
      <c r="E506" s="217"/>
      <c r="F506" s="312"/>
      <c r="G506" s="121"/>
      <c r="H506" s="70"/>
      <c r="I506" s="105"/>
      <c r="J506" s="99"/>
      <c r="K506" s="82"/>
      <c r="L506" s="82"/>
      <c r="M506" s="206"/>
      <c r="N506" s="86">
        <f t="shared" si="28"/>
        <v>0</v>
      </c>
    </row>
    <row r="507" spans="2:14" ht="56.25" x14ac:dyDescent="0.25">
      <c r="B507" s="203" t="s">
        <v>426</v>
      </c>
      <c r="C507" s="211">
        <v>91795</v>
      </c>
      <c r="D507" s="205" t="s">
        <v>428</v>
      </c>
      <c r="E507" s="217" t="s">
        <v>37</v>
      </c>
      <c r="F507" s="312"/>
      <c r="G507" s="121"/>
      <c r="H507" s="70"/>
      <c r="I507" s="105"/>
      <c r="J507" s="99">
        <f>'BOLETIM DE MEDIÇÃO 12'!T157-'MEMORIAL DE CALCULO 08'!K507</f>
        <v>66.38000000000001</v>
      </c>
      <c r="K507" s="81">
        <f>K508</f>
        <v>66.385000000000005</v>
      </c>
      <c r="L507" s="82">
        <f t="shared" si="29"/>
        <v>132.76500000000001</v>
      </c>
      <c r="M507" s="206">
        <v>132.77000000000001</v>
      </c>
      <c r="N507" s="86">
        <f t="shared" si="28"/>
        <v>4.9999999999954525E-3</v>
      </c>
    </row>
    <row r="508" spans="2:14" x14ac:dyDescent="0.25">
      <c r="B508" s="203"/>
      <c r="C508" s="211"/>
      <c r="D508" s="377" t="s">
        <v>983</v>
      </c>
      <c r="E508" s="217"/>
      <c r="F508" s="312">
        <v>1</v>
      </c>
      <c r="G508" s="468">
        <f>0.5*132.77</f>
        <v>66.385000000000005</v>
      </c>
      <c r="H508" s="469"/>
      <c r="I508" s="470"/>
      <c r="J508" s="99"/>
      <c r="K508" s="82">
        <f>G508</f>
        <v>66.385000000000005</v>
      </c>
      <c r="L508" s="82"/>
      <c r="M508" s="206"/>
      <c r="N508" s="86"/>
    </row>
    <row r="509" spans="2:14" x14ac:dyDescent="0.25">
      <c r="B509" s="203"/>
      <c r="C509" s="211"/>
      <c r="D509" s="205"/>
      <c r="E509" s="217"/>
      <c r="F509" s="312"/>
      <c r="G509" s="121"/>
      <c r="H509" s="70"/>
      <c r="I509" s="105"/>
      <c r="J509" s="99"/>
      <c r="K509" s="82"/>
      <c r="L509" s="82"/>
      <c r="M509" s="206"/>
      <c r="N509" s="86"/>
    </row>
    <row r="510" spans="2:14" ht="45" hidden="1" x14ac:dyDescent="0.25">
      <c r="B510" s="203" t="s">
        <v>429</v>
      </c>
      <c r="C510" s="211">
        <v>99251</v>
      </c>
      <c r="D510" s="215" t="s">
        <v>431</v>
      </c>
      <c r="E510" s="217" t="s">
        <v>166</v>
      </c>
      <c r="F510" s="312"/>
      <c r="G510" s="121"/>
      <c r="H510" s="70"/>
      <c r="I510" s="105"/>
      <c r="J510" s="99">
        <f>'BOLETIM DE MEDIÇÃO 12'!T158-'MEMORIAL DE CALCULO 08'!K510</f>
        <v>0</v>
      </c>
      <c r="K510" s="82"/>
      <c r="L510" s="82">
        <f t="shared" si="29"/>
        <v>0</v>
      </c>
      <c r="M510" s="206">
        <v>2</v>
      </c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idden="1" x14ac:dyDescent="0.25">
      <c r="B512" s="203"/>
      <c r="C512" s="211"/>
      <c r="D512" s="215"/>
      <c r="E512" s="217"/>
      <c r="F512" s="312"/>
      <c r="G512" s="121"/>
      <c r="H512" s="70"/>
      <c r="I512" s="105"/>
      <c r="J512" s="99"/>
      <c r="K512" s="82"/>
      <c r="L512" s="82"/>
      <c r="M512" s="206"/>
      <c r="N512" s="86"/>
    </row>
    <row r="513" spans="2:14" ht="56.25" hidden="1" x14ac:dyDescent="0.25">
      <c r="B513" s="203" t="s">
        <v>432</v>
      </c>
      <c r="C513" s="211">
        <v>91790</v>
      </c>
      <c r="D513" s="215" t="s">
        <v>434</v>
      </c>
      <c r="E513" s="217" t="s">
        <v>37</v>
      </c>
      <c r="F513" s="312"/>
      <c r="G513" s="121"/>
      <c r="H513" s="70"/>
      <c r="I513" s="105"/>
      <c r="J513" s="99">
        <f>'BOLETIM DE MEDIÇÃO 12'!T159-'MEMORIAL DE CALCULO 08'!K513</f>
        <v>-12.902999999999999</v>
      </c>
      <c r="K513" s="81">
        <f>K514</f>
        <v>12.902999999999999</v>
      </c>
      <c r="L513" s="82">
        <f t="shared" si="29"/>
        <v>0</v>
      </c>
      <c r="M513" s="206">
        <v>43.01</v>
      </c>
      <c r="N513" s="86"/>
    </row>
    <row r="514" spans="2:14" hidden="1" x14ac:dyDescent="0.25">
      <c r="B514" s="50"/>
      <c r="C514" s="66"/>
      <c r="D514" s="377" t="s">
        <v>984</v>
      </c>
      <c r="E514" s="69"/>
      <c r="F514" s="312">
        <v>1</v>
      </c>
      <c r="G514" s="468">
        <f>0.3*43.01</f>
        <v>12.902999999999999</v>
      </c>
      <c r="H514" s="469"/>
      <c r="I514" s="470"/>
      <c r="J514" s="99"/>
      <c r="K514" s="82">
        <f>G514</f>
        <v>12.902999999999999</v>
      </c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2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2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2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2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2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2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2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2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2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2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2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2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2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2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2:14" hidden="1" x14ac:dyDescent="0.25">
      <c r="B543" s="50"/>
      <c r="C543" s="66"/>
      <c r="D543" s="53"/>
      <c r="E543" s="69"/>
      <c r="F543" s="312"/>
      <c r="G543" s="121"/>
      <c r="H543" s="70"/>
      <c r="I543" s="105"/>
      <c r="J543" s="99"/>
      <c r="K543" s="82"/>
      <c r="L543" s="82"/>
      <c r="M543" s="82"/>
      <c r="N543" s="86"/>
    </row>
    <row r="544" spans="2:14" ht="14.45" hidden="1" customHeight="1" x14ac:dyDescent="0.25">
      <c r="B544" s="51">
        <v>1.1499999999999999</v>
      </c>
      <c r="C544" s="65" t="s">
        <v>474</v>
      </c>
      <c r="D544" s="53"/>
      <c r="E544" s="44"/>
      <c r="F544" s="130"/>
      <c r="G544" s="469"/>
      <c r="H544" s="469"/>
      <c r="I544" s="470"/>
      <c r="J544" s="99"/>
      <c r="K544" s="81"/>
      <c r="L544" s="82"/>
      <c r="M544" s="82"/>
      <c r="N544" s="86"/>
    </row>
    <row r="545" spans="1:14" ht="56.25" hidden="1" x14ac:dyDescent="0.25">
      <c r="A545" s="79"/>
      <c r="B545" s="50" t="s">
        <v>495</v>
      </c>
      <c r="C545" s="66">
        <v>87548</v>
      </c>
      <c r="D545" s="53" t="s">
        <v>154</v>
      </c>
      <c r="E545" s="44" t="s">
        <v>17</v>
      </c>
      <c r="F545" s="259"/>
      <c r="G545" s="121"/>
      <c r="H545" s="70"/>
      <c r="I545" s="105"/>
      <c r="J545" s="99">
        <f>'BOLETIM DE MEDIÇÃO 05'!O190-'MEMORIAL DE CALCULO 08'!K545</f>
        <v>6.2000000000011823E-2</v>
      </c>
      <c r="K545" s="351">
        <f>K546</f>
        <v>405.60400000000004</v>
      </c>
      <c r="L545" s="82">
        <f t="shared" ref="L545" si="30">J545+K545</f>
        <v>405.66600000000005</v>
      </c>
      <c r="M545" s="82">
        <f>'BOLETIM DE MEDIÇÃO 05'!G190</f>
        <v>811.27</v>
      </c>
      <c r="N545" s="86">
        <f t="shared" ref="N545" si="31">M545-L545</f>
        <v>405.60399999999993</v>
      </c>
    </row>
    <row r="546" spans="1:14" hidden="1" x14ac:dyDescent="0.25">
      <c r="A546" s="79"/>
      <c r="B546" s="50"/>
      <c r="C546" s="66"/>
      <c r="D546" s="344" t="s">
        <v>960</v>
      </c>
      <c r="E546" s="44"/>
      <c r="F546" s="130">
        <v>2</v>
      </c>
      <c r="G546" s="468">
        <f>65.42</f>
        <v>65.42</v>
      </c>
      <c r="H546" s="471"/>
      <c r="I546" s="105">
        <v>3.1</v>
      </c>
      <c r="J546" s="99"/>
      <c r="K546" s="351">
        <f>F546*G546*I546</f>
        <v>405.60400000000004</v>
      </c>
      <c r="L546" s="82"/>
      <c r="M546" s="82"/>
      <c r="N546" s="86"/>
    </row>
    <row r="547" spans="1:14" ht="14.45" hidden="1" customHeight="1" x14ac:dyDescent="0.25">
      <c r="A547" s="79"/>
      <c r="B547" s="266"/>
      <c r="C547" s="266"/>
      <c r="D547" s="255"/>
      <c r="E547" s="238"/>
      <c r="F547" s="261"/>
      <c r="G547" s="272"/>
      <c r="H547" s="273"/>
      <c r="I547" s="274"/>
      <c r="J547" s="255"/>
      <c r="K547" s="238"/>
      <c r="L547" s="238"/>
      <c r="M547" s="238"/>
      <c r="N547" s="258"/>
    </row>
    <row r="550" spans="1:14" ht="69.599999999999994" hidden="1" customHeight="1" x14ac:dyDescent="0.25">
      <c r="D550" s="278" t="s">
        <v>832</v>
      </c>
      <c r="E550" s="277" t="s">
        <v>41</v>
      </c>
      <c r="F550" s="279"/>
      <c r="G550" s="546" t="s">
        <v>836</v>
      </c>
      <c r="H550" s="547"/>
      <c r="I550" s="548"/>
      <c r="J550" s="279"/>
      <c r="K550" s="280">
        <f>SUM(K553:K557)</f>
        <v>16.472439999999999</v>
      </c>
      <c r="M550" s="282"/>
    </row>
    <row r="551" spans="1:14" ht="14.45" hidden="1" customHeight="1" x14ac:dyDescent="0.25">
      <c r="D551" s="239"/>
      <c r="E551" s="239"/>
      <c r="F551" s="239"/>
      <c r="G551" s="239"/>
      <c r="H551" s="239"/>
      <c r="I551" s="239"/>
      <c r="J551" s="239"/>
      <c r="K551" s="239"/>
    </row>
    <row r="552" spans="1:14" ht="36.6" hidden="1" customHeight="1" x14ac:dyDescent="0.25">
      <c r="D552" s="281"/>
      <c r="E552" s="239"/>
      <c r="F552" s="275" t="s">
        <v>556</v>
      </c>
      <c r="G552" s="276" t="s">
        <v>833</v>
      </c>
      <c r="H552" s="276" t="s">
        <v>834</v>
      </c>
      <c r="I552" s="276" t="s">
        <v>835</v>
      </c>
      <c r="J552" s="239"/>
      <c r="K552" s="239"/>
    </row>
    <row r="553" spans="1:14" ht="14.45" hidden="1" customHeight="1" x14ac:dyDescent="0.25">
      <c r="D553" s="288" t="s">
        <v>879</v>
      </c>
      <c r="E553" s="239"/>
      <c r="F553" s="245">
        <v>1</v>
      </c>
      <c r="G553" s="245">
        <v>12.5</v>
      </c>
      <c r="H553" s="245">
        <v>0.1</v>
      </c>
      <c r="I553" s="245">
        <v>0.36</v>
      </c>
      <c r="J553" s="277"/>
      <c r="K553" s="245">
        <f>((I553+H553/2)*G553)*0.2</f>
        <v>1.0250000000000001</v>
      </c>
    </row>
    <row r="554" spans="1:14" ht="20.45" hidden="1" customHeight="1" x14ac:dyDescent="0.25">
      <c r="D554" s="288" t="s">
        <v>876</v>
      </c>
      <c r="E554" s="239"/>
      <c r="F554" s="245">
        <v>1</v>
      </c>
      <c r="G554" s="245">
        <v>11.67</v>
      </c>
      <c r="H554" s="245">
        <v>0.36</v>
      </c>
      <c r="I554" s="245">
        <v>0.53</v>
      </c>
      <c r="J554" s="277"/>
      <c r="K554" s="245">
        <f t="shared" ref="K554:K557" si="32">((I554+H554/2)*G554)*0.2</f>
        <v>1.6571400000000001</v>
      </c>
    </row>
    <row r="555" spans="1:14" ht="20.45" hidden="1" customHeight="1" x14ac:dyDescent="0.25">
      <c r="D555" s="288" t="s">
        <v>880</v>
      </c>
      <c r="E555" s="239"/>
      <c r="F555" s="245">
        <v>1</v>
      </c>
      <c r="G555" s="245">
        <v>27.1</v>
      </c>
      <c r="H555" s="245">
        <v>0.53</v>
      </c>
      <c r="I555" s="245">
        <v>0.74</v>
      </c>
      <c r="J555" s="277"/>
      <c r="K555" s="245">
        <f t="shared" si="32"/>
        <v>5.4470999999999998</v>
      </c>
    </row>
    <row r="556" spans="1:14" ht="30.6" hidden="1" customHeight="1" x14ac:dyDescent="0.25">
      <c r="D556" s="288" t="s">
        <v>881</v>
      </c>
      <c r="E556" s="239"/>
      <c r="F556" s="245">
        <v>1</v>
      </c>
      <c r="G556" s="245">
        <v>33.9</v>
      </c>
      <c r="H556" s="245">
        <v>0.74</v>
      </c>
      <c r="I556" s="245">
        <v>0.61</v>
      </c>
      <c r="J556" s="277"/>
      <c r="K556" s="245">
        <f t="shared" si="32"/>
        <v>6.644400000000001</v>
      </c>
    </row>
    <row r="557" spans="1:14" ht="20.45" hidden="1" customHeight="1" x14ac:dyDescent="0.25">
      <c r="D557" s="288" t="s">
        <v>882</v>
      </c>
      <c r="E557" s="239"/>
      <c r="F557" s="245">
        <v>1</v>
      </c>
      <c r="G557" s="245">
        <v>12.4</v>
      </c>
      <c r="H557" s="245">
        <v>0.61</v>
      </c>
      <c r="I557" s="245">
        <v>0.38</v>
      </c>
      <c r="J557" s="277"/>
      <c r="K557" s="245">
        <f t="shared" si="32"/>
        <v>1.6988000000000003</v>
      </c>
    </row>
    <row r="560" spans="1:14" x14ac:dyDescent="0.25">
      <c r="G560" s="330"/>
    </row>
  </sheetData>
  <mergeCells count="285">
    <mergeCell ref="G438:I438"/>
    <mergeCell ref="C449:D449"/>
    <mergeCell ref="G442:I442"/>
    <mergeCell ref="G546:H546"/>
    <mergeCell ref="G550:I550"/>
    <mergeCell ref="G469:I469"/>
    <mergeCell ref="G499:I499"/>
    <mergeCell ref="G502:I502"/>
    <mergeCell ref="G508:I508"/>
    <mergeCell ref="G514:I514"/>
    <mergeCell ref="G544:I544"/>
    <mergeCell ref="G451:I451"/>
    <mergeCell ref="G454:I454"/>
    <mergeCell ref="G457:I457"/>
    <mergeCell ref="G460:I460"/>
    <mergeCell ref="G463:I463"/>
    <mergeCell ref="G466:I466"/>
    <mergeCell ref="G444:I444"/>
    <mergeCell ref="G445:I445"/>
    <mergeCell ref="G446:I446"/>
    <mergeCell ref="G447:I447"/>
    <mergeCell ref="G448:I448"/>
    <mergeCell ref="G421:I421"/>
    <mergeCell ref="G425:I425"/>
    <mergeCell ref="G436:I436"/>
    <mergeCell ref="G404:I404"/>
    <mergeCell ref="G405:I405"/>
    <mergeCell ref="G407:I407"/>
    <mergeCell ref="G409:I409"/>
    <mergeCell ref="G411:I411"/>
    <mergeCell ref="G418:I418"/>
    <mergeCell ref="G434:I434"/>
    <mergeCell ref="G415:I415"/>
    <mergeCell ref="G393:I393"/>
    <mergeCell ref="G395:I395"/>
    <mergeCell ref="G397:I397"/>
    <mergeCell ref="G399:I399"/>
    <mergeCell ref="G401:I401"/>
    <mergeCell ref="G403:I403"/>
    <mergeCell ref="G379:H379"/>
    <mergeCell ref="G380:H380"/>
    <mergeCell ref="G385:I385"/>
    <mergeCell ref="G387:I387"/>
    <mergeCell ref="G389:I389"/>
    <mergeCell ref="G391:I391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20:I20"/>
    <mergeCell ref="G22:I22"/>
    <mergeCell ref="F70:F71"/>
    <mergeCell ref="G70:I71"/>
    <mergeCell ref="G72:I72"/>
    <mergeCell ref="G73:H73"/>
    <mergeCell ref="G92:H92"/>
    <mergeCell ref="G93:H93"/>
    <mergeCell ref="G94:H94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B10:B11"/>
    <mergeCell ref="C10:C11"/>
    <mergeCell ref="D10:D11"/>
    <mergeCell ref="E10:E11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F10:F11"/>
    <mergeCell ref="G10:I10"/>
    <mergeCell ref="J10:N10"/>
  </mergeCells>
  <phoneticPr fontId="20" type="noConversion"/>
  <pageMargins left="0.511811024" right="0.511811024" top="0.78740157499999996" bottom="0.78740157499999996" header="0.31496062000000002" footer="0.31496062000000002"/>
  <pageSetup paperSize="9" scale="65" fitToHeight="0" orientation="landscape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2CF7-A10A-4227-ACAF-CAA048DC9659}">
  <sheetPr>
    <pageSetUpPr fitToPage="1"/>
  </sheetPr>
  <dimension ref="A1:U559"/>
  <sheetViews>
    <sheetView topLeftCell="A383" zoomScale="108" zoomScaleNormal="100" workbookViewId="0">
      <selection activeCell="G415" sqref="G415:I415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2:14" ht="21" thickBot="1" x14ac:dyDescent="0.3">
      <c r="B2" s="483" t="s">
        <v>986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f>'BOLETIM DE MEDIÇÃO 12'!B8:C8</f>
        <v>45985</v>
      </c>
      <c r="C8" s="498"/>
      <c r="D8" s="23" t="str">
        <f>'BOLETIM DE MEDIÇÃO 12'!D8</f>
        <v>27/09/2025 a 24/11/2025</v>
      </c>
      <c r="E8" s="499">
        <f>'BOLETIM DE MEDIÇÃO 12'!E8</f>
        <v>42245.579999999994</v>
      </c>
      <c r="F8" s="500"/>
      <c r="G8" s="501"/>
      <c r="H8" s="502">
        <f>'BOLETIM DE MEDIÇÃO 05'!H8</f>
        <v>274592.67562904983</v>
      </c>
      <c r="I8" s="503"/>
      <c r="J8" s="504" t="s">
        <v>965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07'!K14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07'!K15</f>
        <v>2.25</v>
      </c>
      <c r="K15" s="81">
        <f>F15*G15*H15</f>
        <v>2.75</v>
      </c>
      <c r="L15" s="82">
        <f t="shared" ref="L15:L414" si="0">J15+K15</f>
        <v>5</v>
      </c>
      <c r="M15" s="82">
        <f>'BOLETIM DE MEDIÇÃO 05'!G15</f>
        <v>5</v>
      </c>
      <c r="N15" s="86">
        <f t="shared" ref="N15:N414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07'!K16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07'!K17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07'!K19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07'!K21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07'!K24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07'!K25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0">
        <v>1</v>
      </c>
      <c r="G70" s="525">
        <f>43.05</f>
        <v>43.05</v>
      </c>
      <c r="H70" s="526"/>
      <c r="I70" s="527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1"/>
      <c r="G71" s="528"/>
      <c r="H71" s="529"/>
      <c r="I71" s="530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22" t="s">
        <v>883</v>
      </c>
      <c r="H72" s="523"/>
      <c r="I72" s="524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20" t="s">
        <v>838</v>
      </c>
      <c r="H73" s="521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20">
        <v>9</v>
      </c>
      <c r="H74" s="521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20">
        <v>5</v>
      </c>
      <c r="H75" s="521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20">
        <f xml:space="preserve"> (13.03 * 2.7)</f>
        <v>35.180999999999997</v>
      </c>
      <c r="H76" s="521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20">
        <v>3</v>
      </c>
      <c r="H77" s="521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20">
        <v>7</v>
      </c>
      <c r="H78" s="521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20">
        <v>21</v>
      </c>
      <c r="H79" s="521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20">
        <v>27</v>
      </c>
      <c r="H80" s="521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20">
        <v>26</v>
      </c>
      <c r="H81" s="521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20">
        <v>1.6</v>
      </c>
      <c r="H82" s="521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20">
        <v>1.6</v>
      </c>
      <c r="H83" s="521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20">
        <v>45</v>
      </c>
      <c r="H84" s="521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20">
        <v>19</v>
      </c>
      <c r="H85" s="521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20">
        <v>19</v>
      </c>
      <c r="H86" s="521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20">
        <v>5</v>
      </c>
      <c r="H87" s="521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20">
        <v>14</v>
      </c>
      <c r="H88" s="521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31">
        <v>36</v>
      </c>
      <c r="H89" s="532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31">
        <v>46</v>
      </c>
      <c r="H90" s="532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20">
        <v>41</v>
      </c>
      <c r="H91" s="521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20">
        <v>27</v>
      </c>
      <c r="H92" s="521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20">
        <v>53</v>
      </c>
      <c r="H93" s="521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20">
        <f xml:space="preserve"> (2.65*1.8)</f>
        <v>4.7699999999999996</v>
      </c>
      <c r="H94" s="521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20">
        <v>30</v>
      </c>
      <c r="H95" s="521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20">
        <v>30</v>
      </c>
      <c r="H96" s="521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20">
        <v>14</v>
      </c>
      <c r="H97" s="521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20">
        <v>14</v>
      </c>
      <c r="H98" s="521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20">
        <v>20</v>
      </c>
      <c r="H99" s="521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20">
        <v>3</v>
      </c>
      <c r="H100" s="521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20">
        <v>4</v>
      </c>
      <c r="H101" s="521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20">
        <v>12</v>
      </c>
      <c r="H102" s="521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20">
        <v>20</v>
      </c>
      <c r="H103" s="521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20">
        <v>4</v>
      </c>
      <c r="H104" s="521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20">
        <v>5</v>
      </c>
      <c r="H105" s="521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20">
        <f>1184.23-SUM(G74:H105)</f>
        <v>582.07900000000006</v>
      </c>
      <c r="H106" s="521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20"/>
      <c r="H107" s="521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09" t="s">
        <v>652</v>
      </c>
      <c r="H108" s="512"/>
      <c r="I108" s="51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07'!K154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07'!K163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6" t="s">
        <v>831</v>
      </c>
      <c r="H172" s="507"/>
      <c r="I172" s="508"/>
      <c r="J172" s="99">
        <f>'BOLETIM DE MEDIÇÃO 05'!O29-'MEMORIAL DE CALCULO 07'!K172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09">
        <v>492.78</v>
      </c>
      <c r="H173" s="512"/>
      <c r="I173" s="51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09">
        <f>(2*12)+(2*3.79)+(2*8.94)+(2*6.27)+ 1.39+0.99 +(2*1.85)+(2*1.7)+ (2*1.35)</f>
        <v>74.180000000000007</v>
      </c>
      <c r="H174" s="510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09">
        <f>(2*10.92)+(2*10.92)+ 1.3 + 1.1</f>
        <v>46.08</v>
      </c>
      <c r="H175" s="510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09">
        <f>(2*1.87)+(2*1.87)</f>
        <v>7.48</v>
      </c>
      <c r="H176" s="510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09">
        <f>(2*6.55)+(2*6.3)+1.75+1.35+1.19</f>
        <v>29.990000000000002</v>
      </c>
      <c r="H177" s="510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09">
        <f>(2*8.39)+(2*1.7)+ 1.1+ 3.13 + (2*5.24)+ (2*3.11)</f>
        <v>41.11</v>
      </c>
      <c r="H178" s="510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09"/>
      <c r="H179" s="510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09"/>
      <c r="H180" s="510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09"/>
      <c r="H181" s="510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09"/>
      <c r="H182" s="510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09"/>
      <c r="H183" s="510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09"/>
      <c r="H184" s="510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09"/>
      <c r="H185" s="510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09"/>
      <c r="H186" s="510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09"/>
      <c r="H187" s="510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09"/>
      <c r="H188" s="510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09"/>
      <c r="H189" s="510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09"/>
      <c r="H190" s="510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09"/>
      <c r="H191" s="510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09"/>
      <c r="H192" s="510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09"/>
      <c r="H193" s="510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09"/>
      <c r="H194" s="510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09"/>
      <c r="H195" s="510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09"/>
      <c r="H196" s="510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09"/>
      <c r="H197" s="510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09"/>
      <c r="H198" s="510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09"/>
      <c r="H199" s="510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6">
        <f xml:space="preserve"> (2*1.31) + (2*1.51) + (2*4.98)</f>
        <v>15.600000000000001</v>
      </c>
      <c r="H201" s="511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6">
        <f xml:space="preserve"> (3*3.37) + (1.37) + (2*3.47)</f>
        <v>18.420000000000002</v>
      </c>
      <c r="H202" s="511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6">
        <f xml:space="preserve"> (1.87) + (2*3.62)</f>
        <v>9.11</v>
      </c>
      <c r="H203" s="511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6">
        <f xml:space="preserve"> (4*0.88) + (2*3.36) + (2*5.03)</f>
        <v>20.3</v>
      </c>
      <c r="H204" s="511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6">
        <f xml:space="preserve"> (2*3.18) + (2*3.18)</f>
        <v>12.72</v>
      </c>
      <c r="H205" s="511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6">
        <f xml:space="preserve"> (4*2.15)</f>
        <v>8.6</v>
      </c>
      <c r="H206" s="511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6">
        <f xml:space="preserve"> (4*6.99)</f>
        <v>27.96</v>
      </c>
      <c r="H207" s="511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6" t="s">
        <v>831</v>
      </c>
      <c r="H208" s="507"/>
      <c r="I208" s="508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6"/>
      <c r="H209" s="507"/>
      <c r="I209" s="508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09" t="s">
        <v>679</v>
      </c>
      <c r="H217" s="510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6" t="s">
        <v>680</v>
      </c>
      <c r="H218" s="511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6" t="s">
        <v>681</v>
      </c>
      <c r="H219" s="511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6" t="s">
        <v>682</v>
      </c>
      <c r="H220" s="511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6" t="s">
        <v>684</v>
      </c>
      <c r="H221" s="511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6" t="s">
        <v>683</v>
      </c>
      <c r="H222" s="511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6" t="s">
        <v>685</v>
      </c>
      <c r="H223" s="511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09" t="s">
        <v>686</v>
      </c>
      <c r="H224" s="510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6" t="s">
        <v>687</v>
      </c>
      <c r="H225" s="511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6" t="s">
        <v>688</v>
      </c>
      <c r="H226" s="511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09" t="s">
        <v>689</v>
      </c>
      <c r="H227" s="510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6" t="s">
        <v>690</v>
      </c>
      <c r="H228" s="511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09" t="s">
        <v>691</v>
      </c>
      <c r="H229" s="510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6" t="s">
        <v>692</v>
      </c>
      <c r="H230" s="511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6" t="s">
        <v>693</v>
      </c>
      <c r="H231" s="511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09" t="s">
        <v>694</v>
      </c>
      <c r="H232" s="510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6" t="s">
        <v>695</v>
      </c>
      <c r="H233" s="511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6" t="s">
        <v>696</v>
      </c>
      <c r="H234" s="511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6" t="s">
        <v>697</v>
      </c>
      <c r="H235" s="511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6" t="s">
        <v>698</v>
      </c>
      <c r="H236" s="511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6" t="s">
        <v>699</v>
      </c>
      <c r="H237" s="511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6" t="s">
        <v>700</v>
      </c>
      <c r="H238" s="511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6" t="s">
        <v>701</v>
      </c>
      <c r="H239" s="511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09" t="s">
        <v>702</v>
      </c>
      <c r="H240" s="510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6" t="s">
        <v>704</v>
      </c>
      <c r="H241" s="511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6" t="s">
        <v>703</v>
      </c>
      <c r="H242" s="511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6" t="s">
        <v>703</v>
      </c>
      <c r="H243" s="511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6" t="s">
        <v>705</v>
      </c>
      <c r="H244" s="511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6" t="s">
        <v>704</v>
      </c>
      <c r="H245" s="511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6" t="s">
        <v>705</v>
      </c>
      <c r="H246" s="511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6" t="s">
        <v>704</v>
      </c>
      <c r="H247" s="511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6">
        <v>9.6</v>
      </c>
      <c r="H248" s="507"/>
      <c r="I248" s="508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6">
        <v>12.75</v>
      </c>
      <c r="H249" s="507"/>
      <c r="I249" s="508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36" t="s">
        <v>874</v>
      </c>
      <c r="H257" s="537"/>
      <c r="I257" s="538"/>
      <c r="J257" s="99">
        <f>'BOLETIM DE MEDIÇÃO 05'!O31-'MEMORIAL DE CALCULO 07'!K257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6"/>
      <c r="H258" s="507"/>
      <c r="I258" s="508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6">
        <v>9.6</v>
      </c>
      <c r="H259" s="507"/>
      <c r="I259" s="508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6" t="s">
        <v>831</v>
      </c>
      <c r="H260" s="507"/>
      <c r="I260" s="508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6">
        <f>G249</f>
        <v>12.75</v>
      </c>
      <c r="H261" s="507"/>
      <c r="I261" s="508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6" t="s">
        <v>831</v>
      </c>
      <c r="H262" s="507"/>
      <c r="I262" s="508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09" t="s">
        <v>647</v>
      </c>
      <c r="H263" s="510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6">
        <f xml:space="preserve"> ((0.59*(1.85/0.1)) * 2)</f>
        <v>21.83</v>
      </c>
      <c r="H264" s="511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6">
        <f>(0.69*(1.87/0.1)) + (0.79*(1.87/0.1))</f>
        <v>27.675999999999998</v>
      </c>
      <c r="H265" s="511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6">
        <f>((0.69*(1.9/0.1))*3) + ((0.59*(1.87/0.1))*2)</f>
        <v>61.395999999999987</v>
      </c>
      <c r="H266" s="511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6">
        <f>((0.69*(1.92/0.1))*1) + ((0.59*(1.92/0.1))*2)</f>
        <v>35.903999999999996</v>
      </c>
      <c r="H267" s="511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6">
        <f>((0.79*(1.94/0.1))*3)</f>
        <v>45.977999999999994</v>
      </c>
      <c r="H268" s="511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6">
        <f>((0.69*(1.96/0.1))*3) + ((0.59*(1.96/0.1))*2)</f>
        <v>63.699999999999989</v>
      </c>
      <c r="H269" s="511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6">
        <f>((0.59*(1.95/0.1))*2) + ((0.69*(1.95/0.1))*3) +((0.79*(1.95/0.1))*1)</f>
        <v>78.78</v>
      </c>
      <c r="H270" s="511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6">
        <f>((0.59*(1.97/0.1))*1)  +((0.79*(1.97/0.1))*2)</f>
        <v>42.749000000000002</v>
      </c>
      <c r="H271" s="511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6">
        <f>((0.59*(1.9/0.1))*3)</f>
        <v>33.629999999999995</v>
      </c>
      <c r="H272" s="511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6">
        <f>((0.69*(1.86/0.1))*1) + ((0.69*(1.86/0.1))*1) + ((0.89*(1.86/0.1))*1)</f>
        <v>42.222000000000001</v>
      </c>
      <c r="H273" s="511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6">
        <f>((0.69*(1.87/0.1))*3)</f>
        <v>38.708999999999996</v>
      </c>
      <c r="H274" s="511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6">
        <f>((0.69*(1.9/0.1))*1) + ((0.79*(1.9/0.1))*2) + ((0.59*(1.9/0.1))*1)</f>
        <v>54.339999999999989</v>
      </c>
      <c r="H275" s="511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6">
        <f>((0.79*(1.91/0.1))*1) +((0.59*(1.91/0.1))*1)</f>
        <v>26.357999999999997</v>
      </c>
      <c r="H276" s="511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6">
        <f>((0.79*(1.94/0.1))*1) +((0.59*(1.94/0.1))*5)</f>
        <v>72.555999999999983</v>
      </c>
      <c r="H277" s="511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6">
        <f>((0.69*(1.92/0.1))*2) + ((0.69*(1.92/0.1))*1)</f>
        <v>39.744</v>
      </c>
      <c r="H278" s="511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6">
        <f>((0.59*(1.93/0.1))*2) + ((0.79*(1.93/0.1))*1)</f>
        <v>38.020999999999994</v>
      </c>
      <c r="H279" s="511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6">
        <f>((0.59*(1.87/0.1))*2) + ((0.69*(1.87/0.1))*2)</f>
        <v>47.872</v>
      </c>
      <c r="H280" s="511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6">
        <f>((0.59*(1.88/0.1))*3) + ((0.69*(1.88/0.1))*1)</f>
        <v>46.24799999999999</v>
      </c>
      <c r="H281" s="511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6">
        <f>((0.79*(1.9/0.1))*1) + ((0.69*(1.9/0.1))*3)</f>
        <v>54.339999999999982</v>
      </c>
      <c r="H282" s="511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6">
        <f>((0.59*(1.9/0.1))*1)</f>
        <v>11.209999999999997</v>
      </c>
      <c r="H283" s="511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6">
        <f>((0.69*(1.87/0.1))*1) + ((0.59*(1.87/0.1))*1)</f>
        <v>23.936</v>
      </c>
      <c r="H284" s="511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6">
        <f>((0.69*(2/0.1))*1) + ((0.59*(2/0.1))*2)</f>
        <v>37.4</v>
      </c>
      <c r="H285" s="511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6">
        <f>((0.69*(2.01/0.1))*1) + ((0.59*(2.01/0.1))*5) + ((0.79*(2.01/0.1))*1)</f>
        <v>89.042999999999992</v>
      </c>
      <c r="H286" s="511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6">
        <f>(((1.39+0.47+0.47))*(1.86/0.15))</f>
        <v>28.892000000000003</v>
      </c>
      <c r="H287" s="511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6">
        <f>(((1.09+0.022))*(1.87/0.15))</f>
        <v>13.862933333333336</v>
      </c>
      <c r="H288" s="511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6">
        <f>(((1.09+0.022))*(1.89/0.15))</f>
        <v>14.011200000000001</v>
      </c>
      <c r="H289" s="511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6">
        <f>(((0.59))*(1.9/0.15))</f>
        <v>7.4733333333333327</v>
      </c>
      <c r="H290" s="511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6">
        <f>(((0.59))*(1.92/0.15))</f>
        <v>7.5519999999999996</v>
      </c>
      <c r="H291" s="511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6">
        <f>(((0.59))*(1.9/0.15))</f>
        <v>7.4733333333333327</v>
      </c>
      <c r="H292" s="511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6">
        <f>(((0.69))*(1.98/0.15))</f>
        <v>9.1080000000000005</v>
      </c>
      <c r="H293" s="511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09">
        <v>210.13</v>
      </c>
      <c r="H294" s="512"/>
      <c r="I294" s="51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6">
        <f xml:space="preserve"> (2*2.51) + (40*0.59)</f>
        <v>28.619999999999997</v>
      </c>
      <c r="H295" s="511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6">
        <f xml:space="preserve"> (19*0.79)</f>
        <v>15.010000000000002</v>
      </c>
      <c r="H296" s="511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6">
        <f xml:space="preserve"> (21*0.79)</f>
        <v>16.59</v>
      </c>
      <c r="H297" s="511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6">
        <f xml:space="preserve"> (2*3.86) + (29*0.79)</f>
        <v>30.63</v>
      </c>
      <c r="H298" s="511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6">
        <f xml:space="preserve"> (22*0.59)</f>
        <v>12.979999999999999</v>
      </c>
      <c r="H299" s="511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6">
        <f xml:space="preserve"> (14*0.059)</f>
        <v>0.82599999999999996</v>
      </c>
      <c r="H300" s="511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6">
        <f xml:space="preserve"> (59*0.59)</f>
        <v>34.809999999999995</v>
      </c>
      <c r="H301" s="511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07'!K302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6">
        <v>295</v>
      </c>
      <c r="H303" s="507"/>
      <c r="I303" s="508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09" t="s">
        <v>628</v>
      </c>
      <c r="H306" s="510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6">
        <f xml:space="preserve"> (4*(0.2+0.25+1.85+0.33)) * 2</f>
        <v>21.040000000000003</v>
      </c>
      <c r="H307" s="511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6">
        <f xml:space="preserve"> ((4*(0.2+0.25+1.87+0.33)) * 2)</f>
        <v>21.200000000000003</v>
      </c>
      <c r="H308" s="511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6">
        <f xml:space="preserve"> (4*(0.2+0.25+1.9+0.33)) * 5</f>
        <v>53.6</v>
      </c>
      <c r="H309" s="511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6">
        <f xml:space="preserve"> (4*(0.2+0.25+1.92+0.33)) *3</f>
        <v>32.400000000000006</v>
      </c>
      <c r="H310" s="511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6">
        <f xml:space="preserve"> (4*(0.2+0.25+1.94+0.33)) * 3</f>
        <v>32.64</v>
      </c>
      <c r="H311" s="511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6">
        <f xml:space="preserve"> (4*(0.2+0.25+1.96+0.33)) * 5</f>
        <v>54.800000000000004</v>
      </c>
      <c r="H312" s="511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6">
        <f xml:space="preserve"> (4*(0.2+0.25+1.95+0.33)) * 6</f>
        <v>65.52</v>
      </c>
      <c r="H313" s="511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6">
        <f xml:space="preserve"> (4*(0.2+0.25+1.97+0.33)) * 3</f>
        <v>33</v>
      </c>
      <c r="H314" s="511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6">
        <f xml:space="preserve"> (4*(0.2+0.25+1.9+0.33)) * 3</f>
        <v>32.160000000000004</v>
      </c>
      <c r="H315" s="511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6">
        <f xml:space="preserve"> ((4*(0.2+0.25+1.86+0.33)) * 3)</f>
        <v>31.68</v>
      </c>
      <c r="H316" s="511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6">
        <f xml:space="preserve"> ((4*(0.2+0.25+1.87+0.33)) * 3)</f>
        <v>31.800000000000004</v>
      </c>
      <c r="H317" s="511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6">
        <f xml:space="preserve"> ((4*(0.2+0.25+1.9+0.33)) * 4)</f>
        <v>42.88</v>
      </c>
      <c r="H318" s="511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6">
        <f xml:space="preserve"> ((4*(0.2+0.25+1.91+0.33)) * 2)</f>
        <v>21.52</v>
      </c>
      <c r="H319" s="511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6">
        <f xml:space="preserve"> ((4*(0.2+0.25+1.94+0.33)) * 6)</f>
        <v>65.28</v>
      </c>
      <c r="H320" s="511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6">
        <f xml:space="preserve"> ((4*(0.2+0.25+1.92+0.33)) *3)</f>
        <v>32.400000000000006</v>
      </c>
      <c r="H321" s="511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6">
        <f xml:space="preserve"> ((4*(0.2+0.25+1.93+0.33)) *3)</f>
        <v>32.519999999999996</v>
      </c>
      <c r="H322" s="511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6">
        <f xml:space="preserve"> ((4*(0.2+0.25+1.87+0.33)) *4)</f>
        <v>42.400000000000006</v>
      </c>
      <c r="H323" s="511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6">
        <f xml:space="preserve"> ((4*(0.2+0.25+1.88+0.33)) *4)</f>
        <v>42.56</v>
      </c>
      <c r="H324" s="511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6">
        <f xml:space="preserve"> ((4*(0.2+0.25+1.9+0.33)) *4)</f>
        <v>42.88</v>
      </c>
      <c r="H325" s="511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6">
        <f>((4*(0.2+0.25+1.9+0.33))) + ((8*(0.2+0.25+1.9)))</f>
        <v>29.520000000000003</v>
      </c>
      <c r="H326" s="511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6">
        <f xml:space="preserve"> ((4*(0.2+0.25+1.97+0.33)) *2)</f>
        <v>22</v>
      </c>
      <c r="H327" s="511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6">
        <f xml:space="preserve"> ((4*(0.2+0.25+2+0.33)) *3)</f>
        <v>33.36</v>
      </c>
      <c r="H328" s="511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6">
        <f xml:space="preserve"> ((4*(0.2+0.25+2.01+0.33)) *7)</f>
        <v>78.12</v>
      </c>
      <c r="H329" s="511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6" t="s">
        <v>831</v>
      </c>
      <c r="H330" s="507"/>
      <c r="I330" s="508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09" t="s">
        <v>628</v>
      </c>
      <c r="H331" s="510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6">
        <f>((8*(0.2+0.25+1.86+0.42)))</f>
        <v>21.84</v>
      </c>
      <c r="H332" s="511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6">
        <f>((6*(0.2+0.25+1.87+0.42)))</f>
        <v>16.440000000000001</v>
      </c>
      <c r="H333" s="511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6">
        <f>((6*(0.2+0.25+1.89+0.42)))</f>
        <v>16.559999999999999</v>
      </c>
      <c r="H334" s="511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6">
        <f>((4*(0.2+0.25+1.9+0.42)))</f>
        <v>11.08</v>
      </c>
      <c r="H335" s="511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6">
        <f>((4*(0.2+0.25+1.92+0.42)))</f>
        <v>11.16</v>
      </c>
      <c r="H336" s="511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6">
        <f>((4*(0.2+0.25+1.9+0.42)))</f>
        <v>11.08</v>
      </c>
      <c r="H337" s="511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6">
        <f>((4*(0.2+0.25+1.98+0.42)))+(2*(0.2+0.25+1.98))</f>
        <v>16.260000000000002</v>
      </c>
      <c r="H338" s="511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09">
        <v>52.34</v>
      </c>
      <c r="H339" s="512"/>
      <c r="I339" s="51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6"/>
      <c r="H340" s="507"/>
      <c r="I340" s="508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6">
        <v>223.49</v>
      </c>
      <c r="H341" s="507"/>
      <c r="I341" s="508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09" t="s">
        <v>706</v>
      </c>
      <c r="H350" s="510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6">
        <f xml:space="preserve"> ((0.15+0.25)*2) *2</f>
        <v>1.6</v>
      </c>
      <c r="H351" s="511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6">
        <f xml:space="preserve"> ((0.2+0.25)*2) + ((0.2+0.3)*2)</f>
        <v>1.9</v>
      </c>
      <c r="H352" s="511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6">
        <f xml:space="preserve"> ((0.2+0.25)*2*3) + ((0.2+0.2)*2*1) + ((0.15+0.2)*2*1)</f>
        <v>4.2</v>
      </c>
      <c r="H353" s="511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6">
        <f xml:space="preserve"> ((0.2+0.25)*2*1) + ((0.15+0.25)*2*2)</f>
        <v>2.5</v>
      </c>
      <c r="H354" s="511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6">
        <f xml:space="preserve"> ((0.15+0.3)*2*3)</f>
        <v>2.6999999999999997</v>
      </c>
      <c r="H355" s="511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6">
        <f xml:space="preserve"> ((0.2+0.25)*2*3) + ((0.15+0.25)*2*2)</f>
        <v>4.3000000000000007</v>
      </c>
      <c r="H356" s="511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6">
        <f xml:space="preserve"> ((0.2+0.25)*2*3) + ((0.15+0.25)*2*2) +  ((0.2+0.3)*2*1)</f>
        <v>5.3000000000000007</v>
      </c>
      <c r="H357" s="511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6">
        <f xml:space="preserve"> ((0.2+0.25)*2*2) + ((0.15+0.25)*2*1)</f>
        <v>2.6</v>
      </c>
      <c r="H358" s="511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6">
        <f>((0.15+0.25)*2*3)</f>
        <v>2.4000000000000004</v>
      </c>
      <c r="H359" s="511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6">
        <f xml:space="preserve"> ((0.2+0.25)*2*1) + ((0.15+0.25)*2*1) +  ((0.2+0.35)*2*1)</f>
        <v>2.8000000000000003</v>
      </c>
      <c r="H360" s="511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6">
        <f xml:space="preserve"> ((0.2+0.25)*2*1) + ((0.15+0.3)*2*2)</f>
        <v>2.6999999999999997</v>
      </c>
      <c r="H361" s="511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6">
        <f xml:space="preserve"> ((0.2+0.3)*2*1) + ((0.15+0.3)*2*1) +  ((0.15+0.25)*2*1) + ((0.15+0.35)*2*1)</f>
        <v>3.7</v>
      </c>
      <c r="H362" s="511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6">
        <f xml:space="preserve"> ((0.15+0.25)*2*1) + ((0.2+0.3)*2*1)</f>
        <v>1.8</v>
      </c>
      <c r="H363" s="511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6">
        <f xml:space="preserve"> ((0.15+0.25)*2*5) + ((0.25+0.25)*2*1)</f>
        <v>5</v>
      </c>
      <c r="H364" s="511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6">
        <f xml:space="preserve"> ((0.2+0.25)*2*1) + ((0.15+0.25)*2*1) +  ((0.25+0.25)*2*1)</f>
        <v>2.7</v>
      </c>
      <c r="H365" s="511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6">
        <f xml:space="preserve"> ((0.15+0.25)*2*2) + ((0.25+0.25)*2*1)</f>
        <v>2.6</v>
      </c>
      <c r="H366" s="511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6">
        <f xml:space="preserve"> ((0.15+0.25)*2*2) + ((0.2+0.25)*2*2)</f>
        <v>3.4000000000000004</v>
      </c>
      <c r="H367" s="511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6">
        <f xml:space="preserve"> ((0.15+0.25)*2*3) + ((0.2+0.25)*2*1)</f>
        <v>3.3000000000000003</v>
      </c>
      <c r="H368" s="511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6">
        <f>((0.2+0.25)*2*3) + ((0.25+0.25)*2*1)</f>
        <v>3.7</v>
      </c>
      <c r="H369" s="511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6">
        <f>((0.2+0.2)*2*1)</f>
        <v>0.8</v>
      </c>
      <c r="H370" s="511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6">
        <f>((0.2+0.25)*2*1) + ((0.15+0.25)*2*1)</f>
        <v>1.7000000000000002</v>
      </c>
      <c r="H371" s="511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6">
        <f>((0.2+0.25)*2*1) + ((0.15+0.25)*2*2)</f>
        <v>2.5</v>
      </c>
      <c r="H372" s="511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6">
        <f xml:space="preserve"> ((0.2+0.3)*2*1) + ((0.15+0.25)*2*5) +  ((0.25+0.25)*2*1)</f>
        <v>6</v>
      </c>
      <c r="H373" s="511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6">
        <f>((0.15+0.3)*2*1)</f>
        <v>0.89999999999999991</v>
      </c>
      <c r="H374" s="511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6">
        <f>((0.15+0.5)*2*1)</f>
        <v>1.3</v>
      </c>
      <c r="H375" s="511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6">
        <f>((0.15+0.5)*2*1)</f>
        <v>1.3</v>
      </c>
      <c r="H376" s="511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6">
        <f>((0.15+0.25)*2*1)</f>
        <v>0.8</v>
      </c>
      <c r="H377" s="511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6">
        <f t="shared" ref="G378" si="18">((0.15+0.3)*2*1)</f>
        <v>0.89999999999999991</v>
      </c>
      <c r="H378" s="511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6">
        <f>((0.15+0.25)*2*1)</f>
        <v>0.8</v>
      </c>
      <c r="H379" s="511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6">
        <f>((0.15+0.3)*2*1)</f>
        <v>0.89999999999999991</v>
      </c>
      <c r="H380" s="511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07'!K381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f>'BOLETIM DE MEDIÇÃO 12'!T41-'MEMORIAL DE CALCULO 07'!K384</f>
        <v>407.07119999999998</v>
      </c>
      <c r="K384" s="81">
        <f>G385</f>
        <v>32.747</v>
      </c>
      <c r="L384" s="82">
        <f t="shared" si="0"/>
        <v>439.81819999999999</v>
      </c>
      <c r="M384" s="82">
        <f>'BOLETIM DE MEDIÇÃO 05'!G41</f>
        <v>435.33</v>
      </c>
      <c r="N384" s="86">
        <f t="shared" si="1"/>
        <v>-4.4882000000000062</v>
      </c>
    </row>
    <row r="385" spans="2:14" ht="18" customHeight="1" x14ac:dyDescent="0.25">
      <c r="B385" s="49"/>
      <c r="C385" s="63"/>
      <c r="D385" s="143" t="s">
        <v>973</v>
      </c>
      <c r="E385" s="64"/>
      <c r="F385" s="94">
        <v>1</v>
      </c>
      <c r="G385" s="506">
        <v>32.747</v>
      </c>
      <c r="H385" s="507"/>
      <c r="I385" s="508"/>
      <c r="J385" s="99"/>
      <c r="K385" s="82">
        <f>F385*G385</f>
        <v>32.747</v>
      </c>
      <c r="L385" s="82"/>
      <c r="M385" s="82"/>
      <c r="N385" s="86"/>
    </row>
    <row r="386" spans="2:14" ht="18" hidden="1" customHeight="1" x14ac:dyDescent="0.25">
      <c r="B386" s="49" t="s">
        <v>98</v>
      </c>
      <c r="C386" s="57">
        <v>92267</v>
      </c>
      <c r="D386" s="61" t="s">
        <v>100</v>
      </c>
      <c r="E386" s="64"/>
      <c r="F386" s="94"/>
      <c r="G386" s="373"/>
      <c r="H386" s="374"/>
      <c r="I386" s="318"/>
      <c r="J386" s="99">
        <f>'BOLETIM DE MEDIÇÃO 12'!T42-'MEMORIAL DE CALCULO 07'!K386</f>
        <v>42.184950000000001</v>
      </c>
      <c r="K386" s="81">
        <f>K387</f>
        <v>88.64</v>
      </c>
      <c r="L386" s="82">
        <f>J386+K386</f>
        <v>130.82495</v>
      </c>
      <c r="M386" s="82">
        <f>'BOLETIM DE MEDIÇÃO 12'!G42</f>
        <v>130.82</v>
      </c>
      <c r="N386" s="86">
        <f>M386-L386</f>
        <v>-4.9500000000080036E-3</v>
      </c>
    </row>
    <row r="387" spans="2:14" ht="18" hidden="1" customHeight="1" x14ac:dyDescent="0.25">
      <c r="B387" s="49"/>
      <c r="C387" s="63"/>
      <c r="D387" s="143" t="s">
        <v>967</v>
      </c>
      <c r="E387" s="64"/>
      <c r="F387" s="94">
        <v>1</v>
      </c>
      <c r="G387" s="506">
        <v>88.64</v>
      </c>
      <c r="H387" s="507"/>
      <c r="I387" s="508"/>
      <c r="J387" s="99"/>
      <c r="K387" s="82">
        <f>G387</f>
        <v>88.64</v>
      </c>
      <c r="L387" s="82"/>
      <c r="M387" s="82"/>
      <c r="N387" s="86"/>
    </row>
    <row r="388" spans="2:14" ht="18" hidden="1" customHeight="1" x14ac:dyDescent="0.25">
      <c r="B388" s="49"/>
      <c r="C388" s="63"/>
      <c r="D388" s="294"/>
      <c r="E388" s="64"/>
      <c r="F388" s="94"/>
      <c r="G388" s="373"/>
      <c r="H388" s="374"/>
      <c r="I388" s="318"/>
      <c r="J388" s="99"/>
      <c r="K388" s="82"/>
      <c r="L388" s="82"/>
      <c r="M388" s="82"/>
      <c r="N388" s="86"/>
    </row>
    <row r="389" spans="2:14" ht="30.6" hidden="1" customHeight="1" x14ac:dyDescent="0.25">
      <c r="B389" s="49" t="s">
        <v>101</v>
      </c>
      <c r="C389" s="57">
        <v>92759</v>
      </c>
      <c r="D389" s="52" t="s">
        <v>103</v>
      </c>
      <c r="E389" s="64" t="s">
        <v>62</v>
      </c>
      <c r="F389" s="94"/>
      <c r="G389" s="104"/>
      <c r="H389" s="64"/>
      <c r="I389" s="105"/>
      <c r="J389" s="99">
        <f>'BOLETIM DE MEDIÇÃO 05'!O43-'MEMORIAL DE CALCULO 07'!K389</f>
        <v>468.20000000000005</v>
      </c>
      <c r="K389" s="82">
        <f>K390</f>
        <v>214.5</v>
      </c>
      <c r="L389" s="82">
        <f t="shared" si="0"/>
        <v>682.7</v>
      </c>
      <c r="M389" s="82">
        <f>'BOLETIM DE MEDIÇÃO 05'!G43</f>
        <v>1027.8</v>
      </c>
      <c r="N389" s="86">
        <f t="shared" si="1"/>
        <v>345.09999999999991</v>
      </c>
    </row>
    <row r="390" spans="2:14" ht="19.899999999999999" hidden="1" customHeight="1" x14ac:dyDescent="0.25">
      <c r="B390" s="49"/>
      <c r="C390" s="57"/>
      <c r="D390" s="294" t="s">
        <v>968</v>
      </c>
      <c r="E390" s="64"/>
      <c r="F390" s="94">
        <v>1</v>
      </c>
      <c r="G390" s="506">
        <f>0.6*357.5</f>
        <v>214.5</v>
      </c>
      <c r="H390" s="507"/>
      <c r="I390" s="508"/>
      <c r="J390" s="99"/>
      <c r="K390" s="82">
        <f>F390*G390</f>
        <v>214.5</v>
      </c>
      <c r="L390" s="82"/>
      <c r="M390" s="82"/>
      <c r="N390" s="86"/>
    </row>
    <row r="391" spans="2:14" ht="33.6" hidden="1" customHeight="1" x14ac:dyDescent="0.25">
      <c r="B391" s="49" t="s">
        <v>104</v>
      </c>
      <c r="C391" s="57">
        <v>92760</v>
      </c>
      <c r="D391" s="52" t="s">
        <v>106</v>
      </c>
      <c r="E391" s="64" t="s">
        <v>62</v>
      </c>
      <c r="F391" s="94"/>
      <c r="G391" s="104"/>
      <c r="H391" s="64"/>
      <c r="I391" s="105"/>
      <c r="J391" s="99">
        <f>'BOLETIM DE MEDIÇÃO 05'!O44-'MEMORIAL DE CALCULO 07'!K391</f>
        <v>7.82</v>
      </c>
      <c r="K391" s="82">
        <f>K392</f>
        <v>15.64</v>
      </c>
      <c r="L391" s="82">
        <f t="shared" ref="L391" si="19">J391+K391</f>
        <v>23.46</v>
      </c>
      <c r="M391" s="82">
        <f>'BOLETIM DE MEDIÇÃO 05'!G44</f>
        <v>39.1</v>
      </c>
      <c r="N391" s="86">
        <f t="shared" ref="N391" si="20">M391-L391</f>
        <v>15.64</v>
      </c>
    </row>
    <row r="392" spans="2:14" ht="22.9" hidden="1" customHeight="1" x14ac:dyDescent="0.25">
      <c r="B392" s="49"/>
      <c r="C392" s="57"/>
      <c r="D392" s="294" t="s">
        <v>964</v>
      </c>
      <c r="E392" s="64"/>
      <c r="F392" s="94">
        <v>1</v>
      </c>
      <c r="G392" s="468">
        <f>0.4*39.1</f>
        <v>15.64</v>
      </c>
      <c r="H392" s="469"/>
      <c r="I392" s="470"/>
      <c r="J392" s="99"/>
      <c r="K392" s="82">
        <f>F392*G392</f>
        <v>15.64</v>
      </c>
      <c r="L392" s="82"/>
      <c r="M392" s="82"/>
      <c r="N392" s="86"/>
    </row>
    <row r="393" spans="2:14" ht="30.6" hidden="1" customHeight="1" x14ac:dyDescent="0.25">
      <c r="B393" s="49" t="s">
        <v>107</v>
      </c>
      <c r="C393" s="57">
        <v>92761</v>
      </c>
      <c r="D393" s="52" t="s">
        <v>109</v>
      </c>
      <c r="E393" s="64" t="s">
        <v>62</v>
      </c>
      <c r="F393" s="94"/>
      <c r="G393" s="104"/>
      <c r="H393" s="64"/>
      <c r="I393" s="105"/>
      <c r="J393" s="99">
        <f>'BOLETIM DE MEDIÇÃO 05'!O45-'MEMORIAL DE CALCULO 07'!K393</f>
        <v>0</v>
      </c>
      <c r="K393" s="82">
        <f>K394</f>
        <v>415.67999999999995</v>
      </c>
      <c r="L393" s="82">
        <f t="shared" si="0"/>
        <v>415.67999999999995</v>
      </c>
      <c r="M393" s="82">
        <f>'BOLETIM DE MEDIÇÃO 05'!G45</f>
        <v>1000</v>
      </c>
      <c r="N393" s="86">
        <f t="shared" si="1"/>
        <v>584.32000000000005</v>
      </c>
    </row>
    <row r="394" spans="2:14" s="371" customFormat="1" ht="22.9" hidden="1" customHeight="1" x14ac:dyDescent="0.25">
      <c r="B394" s="363"/>
      <c r="C394" s="364"/>
      <c r="D394" s="365" t="s">
        <v>953</v>
      </c>
      <c r="E394" s="366"/>
      <c r="F394" s="367">
        <v>1</v>
      </c>
      <c r="G394" s="554">
        <f>0.6* 692.8</f>
        <v>415.67999999999995</v>
      </c>
      <c r="H394" s="555"/>
      <c r="I394" s="556"/>
      <c r="J394" s="368"/>
      <c r="K394" s="369">
        <f>F394*G394</f>
        <v>415.67999999999995</v>
      </c>
      <c r="L394" s="369"/>
      <c r="M394" s="369"/>
      <c r="N394" s="370"/>
    </row>
    <row r="395" spans="2:14" ht="30.6" hidden="1" customHeight="1" x14ac:dyDescent="0.25">
      <c r="B395" s="49" t="s">
        <v>110</v>
      </c>
      <c r="C395" s="57">
        <v>92762</v>
      </c>
      <c r="D395" s="52" t="s">
        <v>112</v>
      </c>
      <c r="E395" s="64" t="s">
        <v>62</v>
      </c>
      <c r="F395" s="94"/>
      <c r="G395" s="104"/>
      <c r="H395" s="64"/>
      <c r="I395" s="105"/>
      <c r="J395" s="99">
        <f>'BOLETIM DE MEDIÇÃO 05'!O46-'MEMORIAL DE CALCULO 07'!K395</f>
        <v>1180.4000000000001</v>
      </c>
      <c r="K395" s="82">
        <f>K396</f>
        <v>57</v>
      </c>
      <c r="L395" s="82">
        <f t="shared" si="0"/>
        <v>1237.4000000000001</v>
      </c>
      <c r="M395" s="82">
        <f>'BOLETIM DE MEDIÇÃO 05'!G46</f>
        <v>1306.0999999999999</v>
      </c>
      <c r="N395" s="86">
        <f t="shared" si="1"/>
        <v>68.699999999999818</v>
      </c>
    </row>
    <row r="396" spans="2:14" s="371" customFormat="1" ht="19.899999999999999" hidden="1" customHeight="1" x14ac:dyDescent="0.25">
      <c r="B396" s="363"/>
      <c r="C396" s="364"/>
      <c r="D396" s="365" t="s">
        <v>953</v>
      </c>
      <c r="E396" s="366"/>
      <c r="F396" s="372">
        <v>1</v>
      </c>
      <c r="G396" s="554">
        <f>0.6* 95</f>
        <v>57</v>
      </c>
      <c r="H396" s="555"/>
      <c r="I396" s="556"/>
      <c r="J396" s="368"/>
      <c r="K396" s="369">
        <f>F396*G396</f>
        <v>57</v>
      </c>
      <c r="L396" s="369"/>
      <c r="M396" s="369"/>
      <c r="N396" s="370"/>
    </row>
    <row r="397" spans="2:14" ht="33.75" hidden="1" x14ac:dyDescent="0.25">
      <c r="B397" s="49" t="s">
        <v>116</v>
      </c>
      <c r="C397" s="57">
        <v>92768</v>
      </c>
      <c r="D397" s="52" t="s">
        <v>118</v>
      </c>
      <c r="E397" s="64" t="s">
        <v>62</v>
      </c>
      <c r="F397" s="105"/>
      <c r="G397" s="99"/>
      <c r="H397" s="64"/>
      <c r="I397" s="105"/>
      <c r="J397" s="99">
        <f>'BOLETIM DE MEDIÇÃO 12'!T48-'MEMORIAL DE CALCULO 07'!K397</f>
        <v>177.17999999999998</v>
      </c>
      <c r="K397" s="81">
        <f>K398</f>
        <v>28.2</v>
      </c>
      <c r="L397" s="82">
        <f t="shared" si="0"/>
        <v>205.37999999999997</v>
      </c>
      <c r="M397" s="82">
        <f>'BOLETIM DE MEDIÇÃO 05'!G48</f>
        <v>158.69999999999999</v>
      </c>
      <c r="N397" s="86">
        <f t="shared" si="1"/>
        <v>-46.679999999999978</v>
      </c>
    </row>
    <row r="398" spans="2:14" hidden="1" x14ac:dyDescent="0.25">
      <c r="B398" s="49"/>
      <c r="C398" s="57"/>
      <c r="D398" s="143" t="s">
        <v>969</v>
      </c>
      <c r="E398" s="64"/>
      <c r="F398" s="105">
        <v>1</v>
      </c>
      <c r="G398" s="506">
        <v>28.2</v>
      </c>
      <c r="H398" s="507"/>
      <c r="I398" s="508"/>
      <c r="J398" s="99"/>
      <c r="K398" s="82">
        <f>F398*G398</f>
        <v>28.2</v>
      </c>
      <c r="L398" s="82"/>
      <c r="M398" s="82"/>
      <c r="N398" s="86"/>
    </row>
    <row r="399" spans="2:14" ht="33.75" hidden="1" x14ac:dyDescent="0.25">
      <c r="B399" s="49" t="s">
        <v>119</v>
      </c>
      <c r="C399" s="57">
        <v>92769</v>
      </c>
      <c r="D399" s="52" t="s">
        <v>121</v>
      </c>
      <c r="E399" s="64" t="s">
        <v>62</v>
      </c>
      <c r="F399" s="105"/>
      <c r="G399" s="99"/>
      <c r="H399" s="64"/>
      <c r="I399" s="105"/>
      <c r="J399" s="99">
        <f>'BOLETIM DE MEDIÇÃO 12'!T49-'MEMORIAL DE CALCULO 07'!K399</f>
        <v>165.8322</v>
      </c>
      <c r="K399" s="81">
        <f>K400</f>
        <v>12.9</v>
      </c>
      <c r="L399" s="82">
        <f t="shared" si="0"/>
        <v>178.73220000000001</v>
      </c>
      <c r="M399" s="82">
        <f>'BOLETIM DE MEDIÇÃO 05'!G49</f>
        <v>170.5</v>
      </c>
      <c r="N399" s="86">
        <f t="shared" si="1"/>
        <v>-8.232200000000006</v>
      </c>
    </row>
    <row r="400" spans="2:14" hidden="1" x14ac:dyDescent="0.25">
      <c r="B400" s="49"/>
      <c r="C400" s="57"/>
      <c r="D400" s="143" t="s">
        <v>969</v>
      </c>
      <c r="E400" s="64"/>
      <c r="F400" s="105">
        <v>1</v>
      </c>
      <c r="G400" s="506">
        <v>12.9</v>
      </c>
      <c r="H400" s="507"/>
      <c r="I400" s="508"/>
      <c r="J400" s="99"/>
      <c r="K400" s="82">
        <f>F400*G400</f>
        <v>12.9</v>
      </c>
      <c r="L400" s="82"/>
      <c r="M400" s="82"/>
      <c r="N400" s="86"/>
    </row>
    <row r="401" spans="2:14" ht="33.75" hidden="1" x14ac:dyDescent="0.25">
      <c r="B401" s="49" t="s">
        <v>122</v>
      </c>
      <c r="C401" s="57">
        <v>92770</v>
      </c>
      <c r="D401" s="52" t="s">
        <v>124</v>
      </c>
      <c r="E401" s="64" t="s">
        <v>62</v>
      </c>
      <c r="F401" s="105"/>
      <c r="G401" s="99"/>
      <c r="H401" s="64"/>
      <c r="I401" s="105"/>
      <c r="J401" s="99">
        <f>'BOLETIM DE MEDIÇÃO 12'!T50-'MEMORIAL DE CALCULO 07'!K401</f>
        <v>259.0009</v>
      </c>
      <c r="K401" s="81">
        <f>K402</f>
        <v>20.100000000000001</v>
      </c>
      <c r="L401" s="82">
        <f t="shared" si="0"/>
        <v>279.10090000000002</v>
      </c>
      <c r="M401" s="82">
        <f>'BOLETIM DE MEDIÇÃO 05'!G50</f>
        <v>279.10000000000002</v>
      </c>
      <c r="N401" s="86">
        <f t="shared" si="1"/>
        <v>-9.0000000000145519E-4</v>
      </c>
    </row>
    <row r="402" spans="2:14" ht="18" hidden="1" customHeight="1" x14ac:dyDescent="0.25">
      <c r="B402" s="49"/>
      <c r="C402" s="57"/>
      <c r="D402" s="143" t="s">
        <v>969</v>
      </c>
      <c r="E402" s="64"/>
      <c r="F402" s="105">
        <v>1</v>
      </c>
      <c r="G402" s="506">
        <v>20.100000000000001</v>
      </c>
      <c r="H402" s="507"/>
      <c r="I402" s="508"/>
      <c r="J402" s="99"/>
      <c r="K402" s="82">
        <f>F402*G402</f>
        <v>20.100000000000001</v>
      </c>
      <c r="L402" s="82"/>
      <c r="M402" s="82"/>
      <c r="N402" s="86"/>
    </row>
    <row r="403" spans="2:14" ht="33.75" x14ac:dyDescent="0.25">
      <c r="B403" s="49" t="s">
        <v>125</v>
      </c>
      <c r="C403" s="57">
        <v>94966</v>
      </c>
      <c r="D403" s="52" t="s">
        <v>65</v>
      </c>
      <c r="E403" s="64" t="s">
        <v>41</v>
      </c>
      <c r="F403" s="105"/>
      <c r="G403" s="99"/>
      <c r="H403" s="64"/>
      <c r="I403" s="105"/>
      <c r="J403" s="99">
        <f>'BOLETIM DE MEDIÇÃO 12'!T51-'MEMORIAL DE CALCULO 07'!K403</f>
        <v>76.808454999999981</v>
      </c>
      <c r="K403" s="81">
        <f>SUM(K404)</f>
        <v>4.84</v>
      </c>
      <c r="L403" s="82">
        <f t="shared" si="0"/>
        <v>81.648454999999984</v>
      </c>
      <c r="M403" s="82">
        <f>'BOLETIM DE MEDIÇÃO 05'!G51</f>
        <v>61.56</v>
      </c>
      <c r="N403" s="86">
        <f t="shared" si="1"/>
        <v>-20.088454999999982</v>
      </c>
    </row>
    <row r="404" spans="2:14" ht="19.149999999999999" customHeight="1" x14ac:dyDescent="0.25">
      <c r="B404" s="49"/>
      <c r="C404" s="57"/>
      <c r="D404" s="143" t="s">
        <v>974</v>
      </c>
      <c r="E404" s="64"/>
      <c r="F404" s="105">
        <v>1</v>
      </c>
      <c r="G404" s="550">
        <v>4.84</v>
      </c>
      <c r="H404" s="550"/>
      <c r="I404" s="551"/>
      <c r="J404" s="99"/>
      <c r="K404" s="82">
        <f>F404*G404</f>
        <v>4.84</v>
      </c>
      <c r="L404" s="82"/>
      <c r="M404" s="82"/>
      <c r="N404" s="86"/>
    </row>
    <row r="405" spans="2:14" ht="19.149999999999999" hidden="1" customHeight="1" x14ac:dyDescent="0.25">
      <c r="B405" s="49"/>
      <c r="C405" s="57"/>
      <c r="D405" s="143" t="s">
        <v>970</v>
      </c>
      <c r="E405" s="64"/>
      <c r="F405" s="105">
        <v>1</v>
      </c>
      <c r="G405" s="550">
        <v>9.5</v>
      </c>
      <c r="H405" s="550"/>
      <c r="I405" s="551"/>
      <c r="J405" s="99"/>
      <c r="K405" s="82">
        <f t="shared" ref="K405:K406" si="21">F405*G405</f>
        <v>9.5</v>
      </c>
      <c r="L405" s="82"/>
      <c r="M405" s="82"/>
      <c r="N405" s="86"/>
    </row>
    <row r="406" spans="2:14" ht="19.149999999999999" hidden="1" customHeight="1" x14ac:dyDescent="0.25">
      <c r="B406" s="49"/>
      <c r="C406" s="57"/>
      <c r="D406" s="143" t="s">
        <v>971</v>
      </c>
      <c r="E406" s="64"/>
      <c r="F406" s="105">
        <v>1</v>
      </c>
      <c r="G406" s="549">
        <v>2.48</v>
      </c>
      <c r="H406" s="550"/>
      <c r="I406" s="551"/>
      <c r="J406" s="99"/>
      <c r="K406" s="82">
        <f t="shared" si="21"/>
        <v>2.48</v>
      </c>
      <c r="L406" s="82"/>
      <c r="M406" s="82"/>
      <c r="N406" s="86"/>
    </row>
    <row r="407" spans="2:14" ht="22.5" x14ac:dyDescent="0.25">
      <c r="B407" s="49" t="s">
        <v>126</v>
      </c>
      <c r="C407" s="57">
        <v>103670</v>
      </c>
      <c r="D407" s="61" t="s">
        <v>71</v>
      </c>
      <c r="E407" s="64" t="s">
        <v>41</v>
      </c>
      <c r="F407" s="105"/>
      <c r="G407" s="99"/>
      <c r="H407" s="43"/>
      <c r="I407" s="105"/>
      <c r="J407" s="99">
        <f>'BOLETIM DE MEDIÇÃO 05'!O52-'MEMORIAL DE CALCULO 07'!K407</f>
        <v>14.59</v>
      </c>
      <c r="K407" s="81">
        <f>G408</f>
        <v>4.84</v>
      </c>
      <c r="L407" s="82">
        <f t="shared" si="0"/>
        <v>19.43</v>
      </c>
      <c r="M407" s="82">
        <f>'BOLETIM DE MEDIÇÃO 05'!G52</f>
        <v>61.56</v>
      </c>
      <c r="N407" s="86">
        <f t="shared" si="1"/>
        <v>42.13</v>
      </c>
    </row>
    <row r="408" spans="2:14" x14ac:dyDescent="0.25">
      <c r="B408" s="49"/>
      <c r="C408" s="63"/>
      <c r="D408" s="344" t="s">
        <v>932</v>
      </c>
      <c r="E408" s="64"/>
      <c r="F408" s="94">
        <v>1</v>
      </c>
      <c r="G408" s="506">
        <f>K403</f>
        <v>4.84</v>
      </c>
      <c r="H408" s="507"/>
      <c r="I408" s="508"/>
      <c r="J408" s="99"/>
      <c r="K408" s="82">
        <f>F408*G408</f>
        <v>4.84</v>
      </c>
      <c r="L408" s="82"/>
      <c r="M408" s="82"/>
      <c r="N408" s="86"/>
    </row>
    <row r="409" spans="2:14" ht="33.75" hidden="1" x14ac:dyDescent="0.25">
      <c r="B409" s="49" t="s">
        <v>127</v>
      </c>
      <c r="C409" s="57">
        <v>92771</v>
      </c>
      <c r="D409" s="61" t="s">
        <v>129</v>
      </c>
      <c r="E409" s="64" t="s">
        <v>62</v>
      </c>
      <c r="F409" s="94"/>
      <c r="G409" s="104"/>
      <c r="H409" s="43"/>
      <c r="I409" s="105"/>
      <c r="J409" s="99">
        <f>'BOLETIM DE MEDIÇÃO 12'!T53-'MEMORIAL DE CALCULO 07'!K409</f>
        <v>312.29999999999995</v>
      </c>
      <c r="K409" s="81">
        <f>K410</f>
        <v>94.6</v>
      </c>
      <c r="L409" s="82">
        <f t="shared" si="0"/>
        <v>406.9</v>
      </c>
      <c r="M409" s="82">
        <f>'BOLETIM DE MEDIÇÃO 05'!G53</f>
        <v>312.3</v>
      </c>
      <c r="N409" s="86">
        <f t="shared" si="1"/>
        <v>-94.599999999999966</v>
      </c>
    </row>
    <row r="410" spans="2:14" ht="18" hidden="1" customHeight="1" x14ac:dyDescent="0.25">
      <c r="B410" s="49"/>
      <c r="C410" s="57"/>
      <c r="D410" s="143" t="s">
        <v>969</v>
      </c>
      <c r="E410" s="64"/>
      <c r="F410" s="105">
        <v>1</v>
      </c>
      <c r="G410" s="506">
        <v>94.6</v>
      </c>
      <c r="H410" s="507"/>
      <c r="I410" s="508"/>
      <c r="J410" s="99"/>
      <c r="K410" s="82">
        <f>F410*G410</f>
        <v>94.6</v>
      </c>
      <c r="L410" s="82"/>
      <c r="M410" s="82"/>
      <c r="N410" s="86"/>
    </row>
    <row r="411" spans="2:14" ht="33.75" hidden="1" x14ac:dyDescent="0.25">
      <c r="B411" s="49" t="s">
        <v>130</v>
      </c>
      <c r="C411" s="57">
        <v>92772</v>
      </c>
      <c r="D411" s="52" t="s">
        <v>132</v>
      </c>
      <c r="E411" s="64" t="s">
        <v>62</v>
      </c>
      <c r="F411" s="94"/>
      <c r="G411" s="104"/>
      <c r="H411" s="64"/>
      <c r="I411" s="105"/>
      <c r="J411" s="99">
        <v>0</v>
      </c>
      <c r="K411" s="82">
        <f>K412</f>
        <v>154.80000000000001</v>
      </c>
      <c r="L411" s="82">
        <f t="shared" si="0"/>
        <v>154.80000000000001</v>
      </c>
      <c r="M411" s="82">
        <f>'BOLETIM DE MEDIÇÃO 05'!G54</f>
        <v>154.80000000000001</v>
      </c>
      <c r="N411" s="86">
        <f t="shared" si="1"/>
        <v>0</v>
      </c>
    </row>
    <row r="412" spans="2:14" ht="18" hidden="1" customHeight="1" x14ac:dyDescent="0.25">
      <c r="B412" s="49"/>
      <c r="C412" s="57"/>
      <c r="D412" s="294" t="s">
        <v>958</v>
      </c>
      <c r="E412" s="64"/>
      <c r="F412" s="105">
        <v>1</v>
      </c>
      <c r="G412" s="506">
        <v>154.80000000000001</v>
      </c>
      <c r="H412" s="507"/>
      <c r="I412" s="508"/>
      <c r="J412" s="99"/>
      <c r="K412" s="82">
        <f>F412*G412</f>
        <v>154.80000000000001</v>
      </c>
      <c r="L412" s="82"/>
      <c r="M412" s="82"/>
      <c r="N412" s="86"/>
    </row>
    <row r="413" spans="2:14" ht="14.45" customHeight="1" x14ac:dyDescent="0.25">
      <c r="B413" s="56">
        <v>1.6</v>
      </c>
      <c r="C413" s="60" t="s">
        <v>148</v>
      </c>
      <c r="D413" s="52"/>
      <c r="E413" s="64"/>
      <c r="F413" s="105"/>
      <c r="G413" s="99"/>
      <c r="H413" s="64"/>
      <c r="I413" s="105"/>
      <c r="J413" s="99"/>
      <c r="K413" s="82"/>
      <c r="L413" s="82"/>
      <c r="M413" s="82"/>
      <c r="N413" s="86"/>
    </row>
    <row r="414" spans="2:14" ht="56.25" x14ac:dyDescent="0.25">
      <c r="B414" s="49" t="s">
        <v>152</v>
      </c>
      <c r="C414" s="57">
        <v>87548</v>
      </c>
      <c r="D414" s="52" t="s">
        <v>154</v>
      </c>
      <c r="E414" s="64" t="s">
        <v>17</v>
      </c>
      <c r="F414" s="105"/>
      <c r="G414" s="99"/>
      <c r="H414" s="64"/>
      <c r="I414" s="105"/>
      <c r="J414" s="99">
        <v>0</v>
      </c>
      <c r="K414" s="81">
        <f>K415</f>
        <v>697.98</v>
      </c>
      <c r="L414" s="82">
        <f t="shared" si="0"/>
        <v>697.98</v>
      </c>
      <c r="M414" s="82">
        <f>'BOLETIM DE MEDIÇÃO 05'!G62</f>
        <v>997.11</v>
      </c>
      <c r="N414" s="86">
        <f t="shared" si="1"/>
        <v>299.13</v>
      </c>
    </row>
    <row r="415" spans="2:14" x14ac:dyDescent="0.25">
      <c r="B415" s="49"/>
      <c r="C415" s="57"/>
      <c r="D415" s="344" t="s">
        <v>972</v>
      </c>
      <c r="E415" s="64"/>
      <c r="F415" s="105">
        <v>1</v>
      </c>
      <c r="G415" s="506">
        <v>697.98</v>
      </c>
      <c r="H415" s="507"/>
      <c r="I415" s="508"/>
      <c r="J415" s="99"/>
      <c r="K415" s="82">
        <f>F415*G415</f>
        <v>697.98</v>
      </c>
      <c r="L415" s="82"/>
      <c r="M415" s="82"/>
      <c r="N415" s="86"/>
    </row>
    <row r="416" spans="2:14" x14ac:dyDescent="0.25">
      <c r="B416" s="49"/>
      <c r="C416" s="57"/>
      <c r="D416" s="344"/>
      <c r="E416" s="64"/>
      <c r="F416" s="105"/>
      <c r="G416" s="374"/>
      <c r="H416" s="374"/>
      <c r="I416" s="318"/>
      <c r="J416" s="99"/>
      <c r="K416" s="82"/>
      <c r="L416" s="82"/>
      <c r="M416" s="82"/>
      <c r="N416" s="86"/>
    </row>
    <row r="417" spans="2:14" ht="56.25" x14ac:dyDescent="0.25">
      <c r="B417" s="49" t="s">
        <v>155</v>
      </c>
      <c r="C417" s="57">
        <v>87536</v>
      </c>
      <c r="D417" s="52" t="s">
        <v>157</v>
      </c>
      <c r="E417" s="64" t="s">
        <v>17</v>
      </c>
      <c r="F417" s="105"/>
      <c r="G417" s="374"/>
      <c r="H417" s="374"/>
      <c r="I417" s="318"/>
      <c r="J417" s="99">
        <f>'BOLETIM DE MEDIÇÃO 12'!T63-'MEMORIAL DE CALCULO 07'!K417</f>
        <v>0</v>
      </c>
      <c r="K417" s="81">
        <f>K418</f>
        <v>351.87</v>
      </c>
      <c r="L417" s="82">
        <f>J417+K417</f>
        <v>351.87</v>
      </c>
      <c r="M417" s="82">
        <f>'BOLETIM DE MEDIÇÃO 12'!G63</f>
        <v>351.87</v>
      </c>
      <c r="N417" s="86">
        <f>M417-L417</f>
        <v>0</v>
      </c>
    </row>
    <row r="418" spans="2:14" x14ac:dyDescent="0.25">
      <c r="B418" s="49"/>
      <c r="C418" s="57"/>
      <c r="D418" s="344" t="s">
        <v>972</v>
      </c>
      <c r="E418" s="64"/>
      <c r="F418" s="105">
        <v>1</v>
      </c>
      <c r="G418" s="506">
        <v>351.87</v>
      </c>
      <c r="H418" s="507"/>
      <c r="I418" s="508"/>
      <c r="J418" s="99"/>
      <c r="K418" s="82">
        <f>F418*G418</f>
        <v>351.87</v>
      </c>
      <c r="L418" s="82"/>
      <c r="M418" s="82"/>
      <c r="N418" s="86"/>
    </row>
    <row r="419" spans="2:14" x14ac:dyDescent="0.25">
      <c r="B419" s="49"/>
      <c r="C419" s="57"/>
      <c r="D419" s="344"/>
      <c r="E419" s="64"/>
      <c r="F419" s="105"/>
      <c r="G419" s="374"/>
      <c r="H419" s="374"/>
      <c r="I419" s="318"/>
      <c r="J419" s="99"/>
      <c r="K419" s="82"/>
      <c r="L419" s="82"/>
      <c r="M419" s="82"/>
      <c r="N419" s="86"/>
    </row>
    <row r="420" spans="2:14" x14ac:dyDescent="0.25">
      <c r="B420" s="347" t="s">
        <v>208</v>
      </c>
      <c r="C420" s="348" t="s">
        <v>209</v>
      </c>
      <c r="D420" s="344"/>
      <c r="E420" s="64"/>
      <c r="F420" s="105"/>
      <c r="G420" s="374"/>
      <c r="H420" s="374"/>
      <c r="I420" s="318"/>
      <c r="J420" s="99"/>
      <c r="K420" s="82"/>
      <c r="L420" s="82"/>
      <c r="M420" s="82"/>
      <c r="N420" s="86"/>
    </row>
    <row r="421" spans="2:14" ht="45" x14ac:dyDescent="0.25">
      <c r="B421" s="203" t="s">
        <v>210</v>
      </c>
      <c r="C421" s="211">
        <v>87894</v>
      </c>
      <c r="D421" s="205" t="s">
        <v>212</v>
      </c>
      <c r="E421" s="64"/>
      <c r="F421" s="105"/>
      <c r="G421" s="374"/>
      <c r="H421" s="374"/>
      <c r="I421" s="318"/>
      <c r="J421" s="99">
        <f>'BOLETIM DE MEDIÇÃO 12'!T82-'MEMORIAL DE CALCULO 07'!K421</f>
        <v>145.93099999999998</v>
      </c>
      <c r="K421" s="81">
        <f>K422</f>
        <v>320.44</v>
      </c>
      <c r="L421" s="82">
        <f>J421+K421</f>
        <v>466.37099999999998</v>
      </c>
      <c r="M421" s="82">
        <f>'BOLETIM DE MEDIÇÃO 12'!G83</f>
        <v>466.37</v>
      </c>
      <c r="N421" s="86">
        <f>M421-L421</f>
        <v>-9.9999999997635314E-4</v>
      </c>
    </row>
    <row r="422" spans="2:14" x14ac:dyDescent="0.25">
      <c r="B422" s="49"/>
      <c r="C422" s="57"/>
      <c r="D422" s="344" t="s">
        <v>975</v>
      </c>
      <c r="E422" s="64"/>
      <c r="F422" s="105">
        <v>1</v>
      </c>
      <c r="G422" s="506">
        <v>320.44</v>
      </c>
      <c r="H422" s="507"/>
      <c r="I422" s="508"/>
      <c r="J422" s="99"/>
      <c r="K422" s="82">
        <f>F422*G422</f>
        <v>320.44</v>
      </c>
      <c r="L422" s="82"/>
      <c r="M422" s="82"/>
      <c r="N422" s="86"/>
    </row>
    <row r="423" spans="2:14" x14ac:dyDescent="0.25">
      <c r="B423" s="49"/>
      <c r="C423" s="57"/>
      <c r="D423" s="344"/>
      <c r="E423" s="64"/>
      <c r="F423" s="105"/>
      <c r="G423" s="374"/>
      <c r="H423" s="374"/>
      <c r="I423" s="318"/>
      <c r="J423" s="99"/>
      <c r="K423" s="82"/>
      <c r="L423" s="82"/>
      <c r="M423" s="82"/>
      <c r="N423" s="86"/>
    </row>
    <row r="424" spans="2:14" ht="14.45" hidden="1" customHeight="1" x14ac:dyDescent="0.25">
      <c r="B424" s="65">
        <v>1.1000000000000001</v>
      </c>
      <c r="C424" s="65" t="s">
        <v>229</v>
      </c>
      <c r="D424" s="53"/>
      <c r="E424" s="44"/>
      <c r="F424" s="130"/>
      <c r="G424" s="121"/>
      <c r="H424" s="70"/>
      <c r="I424" s="105"/>
      <c r="J424" s="99"/>
      <c r="K424" s="82">
        <f t="shared" ref="K424:K429" si="22">(F424*G424*I424)</f>
        <v>0</v>
      </c>
      <c r="L424" s="82"/>
      <c r="M424" s="82"/>
      <c r="N424" s="86"/>
    </row>
    <row r="425" spans="2:14" ht="33.75" hidden="1" x14ac:dyDescent="0.25">
      <c r="B425" s="50" t="s">
        <v>284</v>
      </c>
      <c r="C425" s="68">
        <v>91834</v>
      </c>
      <c r="D425" s="67" t="s">
        <v>286</v>
      </c>
      <c r="E425" s="69" t="s">
        <v>37</v>
      </c>
      <c r="F425" s="312"/>
      <c r="G425" s="121"/>
      <c r="H425" s="44"/>
      <c r="I425" s="105"/>
      <c r="J425" s="99">
        <v>0</v>
      </c>
      <c r="K425" s="82">
        <f>K426</f>
        <v>150</v>
      </c>
      <c r="L425" s="82">
        <f t="shared" ref="L425:L429" si="23">J425+K425</f>
        <v>150</v>
      </c>
      <c r="M425" s="82">
        <f>'BOLETIM DE MEDIÇÃO 05'!G108</f>
        <v>830.48</v>
      </c>
      <c r="N425" s="86">
        <f t="shared" ref="N425:N429" si="24">M425-L425</f>
        <v>680.48</v>
      </c>
    </row>
    <row r="426" spans="2:14" hidden="1" x14ac:dyDescent="0.25">
      <c r="B426" s="50"/>
      <c r="C426" s="68"/>
      <c r="D426" s="344" t="s">
        <v>959</v>
      </c>
      <c r="E426" s="69"/>
      <c r="F426" s="312">
        <v>1</v>
      </c>
      <c r="G426" s="468">
        <v>150</v>
      </c>
      <c r="H426" s="469"/>
      <c r="I426" s="470"/>
      <c r="J426" s="99"/>
      <c r="K426" s="82">
        <f>F426*G426</f>
        <v>150</v>
      </c>
      <c r="L426" s="82"/>
      <c r="M426" s="82"/>
      <c r="N426" s="86"/>
    </row>
    <row r="427" spans="2:14" ht="33.75" hidden="1" x14ac:dyDescent="0.25">
      <c r="B427" s="50" t="s">
        <v>287</v>
      </c>
      <c r="C427" s="66">
        <v>91868</v>
      </c>
      <c r="D427" s="53" t="s">
        <v>289</v>
      </c>
      <c r="E427" s="69" t="s">
        <v>37</v>
      </c>
      <c r="F427" s="312"/>
      <c r="G427" s="121"/>
      <c r="H427" s="70"/>
      <c r="I427" s="105"/>
      <c r="J427" s="99">
        <f>'BOLETIM DE MEDIÇÃO 05'!O109-'MEMORIAL DE CALCULO 07'!K427</f>
        <v>0</v>
      </c>
      <c r="K427" s="82">
        <f t="shared" si="22"/>
        <v>0</v>
      </c>
      <c r="L427" s="82">
        <f t="shared" si="23"/>
        <v>0</v>
      </c>
      <c r="M427" s="82">
        <f>'BOLETIM DE MEDIÇÃO 05'!G109</f>
        <v>55.97</v>
      </c>
      <c r="N427" s="86">
        <f t="shared" si="24"/>
        <v>55.97</v>
      </c>
    </row>
    <row r="428" spans="2:14" hidden="1" x14ac:dyDescent="0.25">
      <c r="B428" s="50"/>
      <c r="C428" s="66"/>
      <c r="D428" s="53"/>
      <c r="E428" s="69"/>
      <c r="F428" s="312"/>
      <c r="G428" s="121"/>
      <c r="H428" s="70"/>
      <c r="I428" s="105"/>
      <c r="J428" s="99"/>
      <c r="K428" s="82"/>
      <c r="L428" s="82"/>
      <c r="M428" s="82"/>
      <c r="N428" s="86"/>
    </row>
    <row r="429" spans="2:14" ht="33.75" hidden="1" x14ac:dyDescent="0.25">
      <c r="B429" s="50" t="s">
        <v>290</v>
      </c>
      <c r="C429" s="66">
        <v>91867</v>
      </c>
      <c r="D429" s="53" t="s">
        <v>292</v>
      </c>
      <c r="E429" s="69" t="s">
        <v>37</v>
      </c>
      <c r="F429" s="312"/>
      <c r="G429" s="121"/>
      <c r="H429" s="70"/>
      <c r="I429" s="105"/>
      <c r="J429" s="99">
        <f>'BOLETIM DE MEDIÇÃO 05'!O110-'MEMORIAL DE CALCULO 07'!K429</f>
        <v>0</v>
      </c>
      <c r="K429" s="82">
        <f t="shared" si="22"/>
        <v>0</v>
      </c>
      <c r="L429" s="82">
        <f t="shared" si="23"/>
        <v>0</v>
      </c>
      <c r="M429" s="82">
        <f>'BOLETIM DE MEDIÇÃO 05'!G110</f>
        <v>36.19</v>
      </c>
      <c r="N429" s="86">
        <f t="shared" si="24"/>
        <v>36.19</v>
      </c>
    </row>
    <row r="430" spans="2:14" x14ac:dyDescent="0.25">
      <c r="B430" s="50"/>
      <c r="C430" s="66"/>
      <c r="D430" s="53"/>
      <c r="E430" s="69"/>
      <c r="F430" s="312"/>
      <c r="G430" s="121"/>
      <c r="H430" s="70"/>
      <c r="I430" s="105"/>
      <c r="J430" s="99"/>
      <c r="K430" s="82"/>
      <c r="L430" s="82"/>
      <c r="M430" s="82"/>
      <c r="N430" s="86"/>
    </row>
    <row r="431" spans="2:14" x14ac:dyDescent="0.25">
      <c r="B431" s="347" t="s">
        <v>312</v>
      </c>
      <c r="C431" s="349" t="s">
        <v>313</v>
      </c>
      <c r="D431" s="53"/>
      <c r="E431" s="69"/>
      <c r="F431" s="312"/>
      <c r="G431" s="121"/>
      <c r="H431" s="70"/>
      <c r="I431" s="105"/>
      <c r="J431" s="99"/>
      <c r="K431" s="82"/>
      <c r="L431" s="82"/>
      <c r="M431" s="82"/>
      <c r="N431" s="86"/>
    </row>
    <row r="432" spans="2:14" ht="22.5" x14ac:dyDescent="0.25">
      <c r="B432" s="50" t="s">
        <v>314</v>
      </c>
      <c r="C432" s="66">
        <v>96620</v>
      </c>
      <c r="D432" s="53" t="s">
        <v>316</v>
      </c>
      <c r="E432" s="217" t="s">
        <v>41</v>
      </c>
      <c r="F432" s="312"/>
      <c r="G432" s="121"/>
      <c r="H432" s="70"/>
      <c r="I432" s="105"/>
      <c r="J432" s="99">
        <f>'BOLETIM DE MEDIÇÃO 12'!T119-'MEMORIAL DE CALCULO 07'!K432</f>
        <v>18.479999999999997</v>
      </c>
      <c r="K432" s="81">
        <f>SUM(K434:K445)</f>
        <v>13.250000000000002</v>
      </c>
      <c r="L432" s="82">
        <f>J432+K432</f>
        <v>31.729999999999997</v>
      </c>
      <c r="M432" s="82">
        <f>'BOLETIM DE MEDIÇÃO 12'!G119</f>
        <v>35.340000000000003</v>
      </c>
      <c r="N432" s="86">
        <f>M432-L432</f>
        <v>3.6100000000000065</v>
      </c>
    </row>
    <row r="433" spans="2:14" x14ac:dyDescent="0.25">
      <c r="B433" s="50"/>
      <c r="C433" s="66"/>
      <c r="D433" s="187" t="s">
        <v>976</v>
      </c>
      <c r="E433" s="69"/>
      <c r="F433" s="312"/>
      <c r="G433" s="468" t="s">
        <v>838</v>
      </c>
      <c r="H433" s="471"/>
      <c r="I433" s="376" t="s">
        <v>982</v>
      </c>
      <c r="J433" s="99"/>
      <c r="K433" s="82"/>
      <c r="L433" s="82"/>
      <c r="M433" s="82"/>
      <c r="N433" s="86"/>
    </row>
    <row r="434" spans="2:14" x14ac:dyDescent="0.25">
      <c r="B434" s="50"/>
      <c r="C434" s="66"/>
      <c r="D434" s="375" t="s">
        <v>977</v>
      </c>
      <c r="E434" s="69"/>
      <c r="F434" s="312">
        <v>1</v>
      </c>
      <c r="G434" s="468">
        <v>9</v>
      </c>
      <c r="H434" s="469"/>
      <c r="I434" s="130">
        <v>0.05</v>
      </c>
      <c r="J434" s="99"/>
      <c r="K434" s="82">
        <f>F434*G434*I434</f>
        <v>0.45</v>
      </c>
      <c r="L434" s="82"/>
      <c r="M434" s="82"/>
      <c r="N434" s="86"/>
    </row>
    <row r="435" spans="2:14" x14ac:dyDescent="0.25">
      <c r="B435" s="50"/>
      <c r="C435" s="66"/>
      <c r="D435" s="375" t="s">
        <v>840</v>
      </c>
      <c r="E435" s="69"/>
      <c r="F435" s="97">
        <v>1</v>
      </c>
      <c r="G435" s="468">
        <v>7</v>
      </c>
      <c r="H435" s="471"/>
      <c r="I435" s="130">
        <v>0.05</v>
      </c>
      <c r="J435" s="99"/>
      <c r="K435" s="82">
        <f t="shared" ref="K435:K447" si="25">F435*G435*I435</f>
        <v>0.35000000000000003</v>
      </c>
      <c r="L435" s="82"/>
      <c r="M435" s="82"/>
      <c r="N435" s="86"/>
    </row>
    <row r="436" spans="2:14" x14ac:dyDescent="0.25">
      <c r="B436" s="50"/>
      <c r="C436" s="66"/>
      <c r="D436" s="375" t="s">
        <v>978</v>
      </c>
      <c r="E436" s="69"/>
      <c r="F436" s="97">
        <v>1</v>
      </c>
      <c r="G436" s="468">
        <v>3</v>
      </c>
      <c r="H436" s="471"/>
      <c r="I436" s="130">
        <v>0.05</v>
      </c>
      <c r="J436" s="99"/>
      <c r="K436" s="82">
        <f t="shared" si="25"/>
        <v>0.15000000000000002</v>
      </c>
      <c r="L436" s="82"/>
      <c r="M436" s="82"/>
      <c r="N436" s="86"/>
    </row>
    <row r="437" spans="2:14" x14ac:dyDescent="0.25">
      <c r="B437" s="50"/>
      <c r="C437" s="66"/>
      <c r="D437" s="375" t="s">
        <v>841</v>
      </c>
      <c r="E437" s="69"/>
      <c r="F437" s="97">
        <v>1</v>
      </c>
      <c r="G437" s="468">
        <v>21</v>
      </c>
      <c r="H437" s="471"/>
      <c r="I437" s="130">
        <v>0.05</v>
      </c>
      <c r="J437" s="99"/>
      <c r="K437" s="82">
        <f t="shared" si="25"/>
        <v>1.05</v>
      </c>
      <c r="L437" s="82"/>
      <c r="M437" s="82"/>
      <c r="N437" s="86"/>
    </row>
    <row r="438" spans="2:14" x14ac:dyDescent="0.25">
      <c r="B438" s="50"/>
      <c r="C438" s="66"/>
      <c r="D438" s="375" t="s">
        <v>849</v>
      </c>
      <c r="E438" s="69"/>
      <c r="F438" s="312">
        <v>1</v>
      </c>
      <c r="G438" s="469">
        <v>19</v>
      </c>
      <c r="H438" s="471"/>
      <c r="I438" s="130">
        <v>0.05</v>
      </c>
      <c r="J438" s="99"/>
      <c r="K438" s="82">
        <f t="shared" si="25"/>
        <v>0.95000000000000007</v>
      </c>
      <c r="L438" s="82"/>
      <c r="M438" s="82"/>
      <c r="N438" s="86"/>
    </row>
    <row r="439" spans="2:14" x14ac:dyDescent="0.25">
      <c r="B439" s="50"/>
      <c r="C439" s="66"/>
      <c r="D439" s="375" t="s">
        <v>979</v>
      </c>
      <c r="E439" s="69"/>
      <c r="F439" s="97">
        <v>1</v>
      </c>
      <c r="G439" s="468">
        <v>19</v>
      </c>
      <c r="H439" s="471"/>
      <c r="I439" s="130">
        <v>0.05</v>
      </c>
      <c r="J439" s="99"/>
      <c r="K439" s="82">
        <f t="shared" si="25"/>
        <v>0.95000000000000007</v>
      </c>
      <c r="L439" s="82"/>
      <c r="M439" s="82"/>
      <c r="N439" s="86"/>
    </row>
    <row r="440" spans="2:14" x14ac:dyDescent="0.25">
      <c r="B440" s="50"/>
      <c r="C440" s="66"/>
      <c r="D440" s="375" t="s">
        <v>980</v>
      </c>
      <c r="E440" s="69"/>
      <c r="F440" s="312">
        <v>1</v>
      </c>
      <c r="G440" s="469">
        <v>46</v>
      </c>
      <c r="H440" s="471"/>
      <c r="I440" s="130">
        <v>0.05</v>
      </c>
      <c r="J440" s="99"/>
      <c r="K440" s="82">
        <f t="shared" si="25"/>
        <v>2.3000000000000003</v>
      </c>
      <c r="L440" s="82"/>
      <c r="M440" s="82"/>
      <c r="N440" s="86"/>
    </row>
    <row r="441" spans="2:14" x14ac:dyDescent="0.25">
      <c r="B441" s="50"/>
      <c r="C441" s="66"/>
      <c r="D441" s="375" t="s">
        <v>846</v>
      </c>
      <c r="E441" s="69"/>
      <c r="F441" s="312">
        <v>1</v>
      </c>
      <c r="G441" s="468">
        <v>27</v>
      </c>
      <c r="H441" s="469"/>
      <c r="I441" s="130">
        <v>0.05</v>
      </c>
      <c r="J441" s="99"/>
      <c r="K441" s="82">
        <f t="shared" si="25"/>
        <v>1.35</v>
      </c>
      <c r="L441" s="82"/>
      <c r="M441" s="82"/>
      <c r="N441" s="86"/>
    </row>
    <row r="442" spans="2:14" x14ac:dyDescent="0.25">
      <c r="B442" s="50"/>
      <c r="C442" s="66"/>
      <c r="D442" s="375" t="s">
        <v>842</v>
      </c>
      <c r="E442" s="69"/>
      <c r="F442" s="312">
        <v>1</v>
      </c>
      <c r="G442" s="468">
        <v>26</v>
      </c>
      <c r="H442" s="469"/>
      <c r="I442" s="130">
        <v>0.05</v>
      </c>
      <c r="J442" s="99"/>
      <c r="K442" s="82">
        <f t="shared" si="25"/>
        <v>1.3</v>
      </c>
      <c r="L442" s="82"/>
      <c r="M442" s="82"/>
      <c r="N442" s="86"/>
    </row>
    <row r="443" spans="2:14" x14ac:dyDescent="0.25">
      <c r="B443" s="50"/>
      <c r="C443" s="66"/>
      <c r="D443" s="375" t="s">
        <v>847</v>
      </c>
      <c r="E443" s="69"/>
      <c r="F443" s="312">
        <v>1</v>
      </c>
      <c r="G443" s="468">
        <v>27</v>
      </c>
      <c r="H443" s="471"/>
      <c r="I443" s="130">
        <v>0.05</v>
      </c>
      <c r="J443" s="99"/>
      <c r="K443" s="82">
        <f t="shared" si="25"/>
        <v>1.35</v>
      </c>
      <c r="L443" s="82"/>
      <c r="M443" s="82"/>
      <c r="N443" s="86"/>
    </row>
    <row r="444" spans="2:14" x14ac:dyDescent="0.25">
      <c r="B444" s="50"/>
      <c r="C444" s="66"/>
      <c r="D444" s="375" t="s">
        <v>854</v>
      </c>
      <c r="E444" s="69"/>
      <c r="F444" s="312">
        <v>1</v>
      </c>
      <c r="G444" s="468">
        <v>41</v>
      </c>
      <c r="H444" s="471"/>
      <c r="I444" s="130">
        <v>0.05</v>
      </c>
      <c r="J444" s="99"/>
      <c r="K444" s="82">
        <f t="shared" si="25"/>
        <v>2.0500000000000003</v>
      </c>
      <c r="L444" s="82"/>
      <c r="M444" s="82"/>
      <c r="N444" s="86"/>
    </row>
    <row r="445" spans="2:14" x14ac:dyDescent="0.25">
      <c r="B445" s="50"/>
      <c r="C445" s="66"/>
      <c r="D445" s="375" t="s">
        <v>859</v>
      </c>
      <c r="E445" s="69"/>
      <c r="F445" s="312">
        <v>1</v>
      </c>
      <c r="G445" s="468">
        <v>20</v>
      </c>
      <c r="H445" s="469"/>
      <c r="I445" s="130">
        <v>0.05</v>
      </c>
      <c r="J445" s="99"/>
      <c r="K445" s="82">
        <f t="shared" si="25"/>
        <v>1</v>
      </c>
      <c r="L445" s="82"/>
      <c r="M445" s="82"/>
      <c r="N445" s="86"/>
    </row>
    <row r="446" spans="2:14" hidden="1" x14ac:dyDescent="0.25">
      <c r="B446" s="50"/>
      <c r="C446" s="66"/>
      <c r="D446" s="375" t="s">
        <v>856</v>
      </c>
      <c r="E446" s="69"/>
      <c r="F446" s="312"/>
      <c r="G446" s="468">
        <v>30</v>
      </c>
      <c r="H446" s="469"/>
      <c r="I446" s="130">
        <v>0.05</v>
      </c>
      <c r="J446" s="99"/>
      <c r="K446" s="82">
        <f t="shared" si="25"/>
        <v>0</v>
      </c>
      <c r="L446" s="82"/>
      <c r="M446" s="82"/>
      <c r="N446" s="86"/>
    </row>
    <row r="447" spans="2:14" hidden="1" x14ac:dyDescent="0.25">
      <c r="B447" s="50"/>
      <c r="C447" s="66"/>
      <c r="D447" s="375" t="s">
        <v>981</v>
      </c>
      <c r="E447" s="69"/>
      <c r="F447" s="312"/>
      <c r="G447" s="468">
        <v>30</v>
      </c>
      <c r="H447" s="471"/>
      <c r="I447" s="130">
        <v>0.05</v>
      </c>
      <c r="J447" s="99"/>
      <c r="K447" s="82">
        <f t="shared" si="25"/>
        <v>0</v>
      </c>
      <c r="L447" s="82"/>
      <c r="M447" s="82"/>
      <c r="N447" s="86"/>
    </row>
    <row r="448" spans="2:14" x14ac:dyDescent="0.25">
      <c r="B448" s="50"/>
      <c r="C448" s="66"/>
      <c r="D448" s="53"/>
      <c r="E448" s="69"/>
      <c r="F448" s="312"/>
      <c r="G448" s="121"/>
      <c r="H448" s="70"/>
      <c r="I448" s="105"/>
      <c r="J448" s="99"/>
      <c r="K448" s="82"/>
      <c r="L448" s="82"/>
      <c r="M448" s="82"/>
      <c r="N448" s="86"/>
    </row>
    <row r="449" spans="2:14" ht="56.25" x14ac:dyDescent="0.25">
      <c r="B449" s="203" t="s">
        <v>369</v>
      </c>
      <c r="C449" s="211">
        <v>91785</v>
      </c>
      <c r="D449" s="205" t="s">
        <v>371</v>
      </c>
      <c r="E449" s="217" t="s">
        <v>37</v>
      </c>
      <c r="F449" s="312"/>
      <c r="G449" s="121"/>
      <c r="H449" s="70"/>
      <c r="I449" s="105"/>
      <c r="J449" s="99">
        <f>'BOLETIM DE MEDIÇÃO 12'!T138-'MEMORIAL DE CALCULO 07'!K449</f>
        <v>69.138999999999996</v>
      </c>
      <c r="K449" s="81">
        <f>K450</f>
        <v>29.630999999999997</v>
      </c>
      <c r="L449" s="82">
        <f>J449+K449</f>
        <v>98.77</v>
      </c>
      <c r="M449" s="206">
        <v>98.77</v>
      </c>
      <c r="N449" s="86">
        <f>M449-L449</f>
        <v>0</v>
      </c>
    </row>
    <row r="450" spans="2:14" x14ac:dyDescent="0.25">
      <c r="B450" s="203"/>
      <c r="C450" s="211"/>
      <c r="D450" s="377" t="s">
        <v>984</v>
      </c>
      <c r="E450" s="217"/>
      <c r="F450" s="312">
        <v>1</v>
      </c>
      <c r="G450" s="468">
        <f>0.3*98.77</f>
        <v>29.630999999999997</v>
      </c>
      <c r="H450" s="469"/>
      <c r="I450" s="470"/>
      <c r="J450" s="99"/>
      <c r="K450" s="82">
        <f>G450</f>
        <v>29.630999999999997</v>
      </c>
      <c r="L450" s="82"/>
      <c r="M450" s="206"/>
      <c r="N450" s="86"/>
    </row>
    <row r="451" spans="2:14" x14ac:dyDescent="0.25">
      <c r="B451" s="203"/>
      <c r="C451" s="211"/>
      <c r="D451" s="205"/>
      <c r="E451" s="217"/>
      <c r="F451" s="312"/>
      <c r="G451" s="121"/>
      <c r="H451" s="70"/>
      <c r="I451" s="105"/>
      <c r="J451" s="99"/>
      <c r="K451" s="82"/>
      <c r="L451" s="82"/>
      <c r="M451" s="206"/>
      <c r="N451" s="86"/>
    </row>
    <row r="452" spans="2:14" ht="56.25" x14ac:dyDescent="0.25">
      <c r="B452" s="203" t="s">
        <v>372</v>
      </c>
      <c r="C452" s="211">
        <v>91784</v>
      </c>
      <c r="D452" s="205" t="s">
        <v>374</v>
      </c>
      <c r="E452" s="217" t="s">
        <v>37</v>
      </c>
      <c r="F452" s="312"/>
      <c r="G452" s="121"/>
      <c r="H452" s="70"/>
      <c r="I452" s="105"/>
      <c r="J452" s="99">
        <f>'BOLETIM DE MEDIÇÃO 12'!T139-'MEMORIAL DE CALCULO 07'!K452</f>
        <v>43.519000000000005</v>
      </c>
      <c r="K452" s="81">
        <f>K453</f>
        <v>18.651</v>
      </c>
      <c r="L452" s="82">
        <f t="shared" ref="L452:L512" si="26">J452+K452</f>
        <v>62.17</v>
      </c>
      <c r="M452" s="206">
        <v>62.17</v>
      </c>
      <c r="N452" s="86">
        <f>M452-L452</f>
        <v>0</v>
      </c>
    </row>
    <row r="453" spans="2:14" x14ac:dyDescent="0.25">
      <c r="B453" s="203"/>
      <c r="C453" s="211"/>
      <c r="D453" s="377" t="s">
        <v>984</v>
      </c>
      <c r="E453" s="217"/>
      <c r="F453" s="312">
        <v>1</v>
      </c>
      <c r="G453" s="468">
        <f>0.3*62.17</f>
        <v>18.651</v>
      </c>
      <c r="H453" s="469"/>
      <c r="I453" s="470"/>
      <c r="J453" s="99"/>
      <c r="K453" s="82">
        <f>G453</f>
        <v>18.651</v>
      </c>
      <c r="L453" s="82"/>
      <c r="M453" s="206"/>
      <c r="N453" s="86"/>
    </row>
    <row r="454" spans="2:14" x14ac:dyDescent="0.25">
      <c r="B454" s="203"/>
      <c r="C454" s="211"/>
      <c r="D454" s="205"/>
      <c r="E454" s="217"/>
      <c r="F454" s="312"/>
      <c r="G454" s="121"/>
      <c r="H454" s="70"/>
      <c r="I454" s="105"/>
      <c r="J454" s="99"/>
      <c r="K454" s="82"/>
      <c r="L454" s="82"/>
      <c r="M454" s="206"/>
      <c r="N454" s="86"/>
    </row>
    <row r="455" spans="2:14" ht="56.25" x14ac:dyDescent="0.25">
      <c r="B455" s="203" t="s">
        <v>375</v>
      </c>
      <c r="C455" s="211">
        <v>91786</v>
      </c>
      <c r="D455" s="205" t="s">
        <v>377</v>
      </c>
      <c r="E455" s="217" t="s">
        <v>37</v>
      </c>
      <c r="F455" s="312"/>
      <c r="G455" s="121"/>
      <c r="H455" s="70"/>
      <c r="I455" s="105"/>
      <c r="J455" s="99">
        <f>'BOLETIM DE MEDIÇÃO 12'!T140-'MEMORIAL DE CALCULO 07'!K455</f>
        <v>17.324999999999999</v>
      </c>
      <c r="K455" s="81">
        <f>K456</f>
        <v>7.4249999999999998</v>
      </c>
      <c r="L455" s="82">
        <f t="shared" si="26"/>
        <v>24.75</v>
      </c>
      <c r="M455" s="206">
        <v>24.75</v>
      </c>
      <c r="N455" s="86">
        <f>M455-L455</f>
        <v>0</v>
      </c>
    </row>
    <row r="456" spans="2:14" x14ac:dyDescent="0.25">
      <c r="B456" s="203"/>
      <c r="C456" s="211"/>
      <c r="D456" s="377" t="s">
        <v>984</v>
      </c>
      <c r="E456" s="217"/>
      <c r="F456" s="312">
        <v>1</v>
      </c>
      <c r="G456" s="468">
        <f>0.3*24.75</f>
        <v>7.4249999999999998</v>
      </c>
      <c r="H456" s="469"/>
      <c r="I456" s="470"/>
      <c r="J456" s="99"/>
      <c r="K456" s="82">
        <f>G456</f>
        <v>7.4249999999999998</v>
      </c>
      <c r="L456" s="82"/>
      <c r="M456" s="206"/>
      <c r="N456" s="86"/>
    </row>
    <row r="457" spans="2:14" x14ac:dyDescent="0.25">
      <c r="B457" s="203"/>
      <c r="C457" s="211"/>
      <c r="D457" s="205"/>
      <c r="E457" s="217"/>
      <c r="F457" s="312"/>
      <c r="G457" s="121"/>
      <c r="H457" s="70"/>
      <c r="I457" s="105"/>
      <c r="J457" s="99"/>
      <c r="K457" s="82"/>
      <c r="L457" s="82"/>
      <c r="M457" s="206"/>
      <c r="N457" s="86"/>
    </row>
    <row r="458" spans="2:14" ht="56.25" x14ac:dyDescent="0.25">
      <c r="B458" s="203" t="s">
        <v>378</v>
      </c>
      <c r="C458" s="211">
        <v>91787</v>
      </c>
      <c r="D458" s="205" t="s">
        <v>380</v>
      </c>
      <c r="E458" s="217" t="s">
        <v>37</v>
      </c>
      <c r="F458" s="312"/>
      <c r="G458" s="121"/>
      <c r="H458" s="70"/>
      <c r="I458" s="105"/>
      <c r="J458" s="99">
        <f>'BOLETIM DE MEDIÇÃO 12'!T141-'MEMORIAL DE CALCULO 07'!K458</f>
        <v>18.144000000000002</v>
      </c>
      <c r="K458" s="81">
        <f>K459</f>
        <v>7.7759999999999998</v>
      </c>
      <c r="L458" s="82">
        <f t="shared" si="26"/>
        <v>25.92</v>
      </c>
      <c r="M458" s="206">
        <v>25.92</v>
      </c>
      <c r="N458" s="86">
        <f>M458-L458</f>
        <v>0</v>
      </c>
    </row>
    <row r="459" spans="2:14" x14ac:dyDescent="0.25">
      <c r="B459" s="203"/>
      <c r="C459" s="211"/>
      <c r="D459" s="377" t="s">
        <v>984</v>
      </c>
      <c r="E459" s="217"/>
      <c r="F459" s="312">
        <v>1</v>
      </c>
      <c r="G459" s="468">
        <f>0.3*25.92</f>
        <v>7.7759999999999998</v>
      </c>
      <c r="H459" s="469"/>
      <c r="I459" s="470"/>
      <c r="J459" s="99"/>
      <c r="K459" s="82">
        <f>G459</f>
        <v>7.7759999999999998</v>
      </c>
      <c r="L459" s="82"/>
      <c r="M459" s="206"/>
      <c r="N459" s="86"/>
    </row>
    <row r="460" spans="2:14" x14ac:dyDescent="0.25">
      <c r="B460" s="203"/>
      <c r="C460" s="211"/>
      <c r="D460" s="205"/>
      <c r="E460" s="217"/>
      <c r="F460" s="312"/>
      <c r="G460" s="121"/>
      <c r="H460" s="70"/>
      <c r="I460" s="105"/>
      <c r="J460" s="99"/>
      <c r="K460" s="82"/>
      <c r="L460" s="82"/>
      <c r="M460" s="206"/>
      <c r="N460" s="86"/>
    </row>
    <row r="461" spans="2:14" ht="33.75" x14ac:dyDescent="0.25">
      <c r="B461" s="203" t="s">
        <v>381</v>
      </c>
      <c r="C461" s="211">
        <v>89987</v>
      </c>
      <c r="D461" s="205" t="s">
        <v>383</v>
      </c>
      <c r="E461" s="217" t="s">
        <v>166</v>
      </c>
      <c r="F461" s="312"/>
      <c r="G461" s="121"/>
      <c r="H461" s="70"/>
      <c r="I461" s="105"/>
      <c r="J461" s="99">
        <f>'BOLETIM DE MEDIÇÃO 12'!T142-'MEMORIAL DE CALCULO 07'!K461</f>
        <v>7</v>
      </c>
      <c r="K461" s="81">
        <f>K462</f>
        <v>3</v>
      </c>
      <c r="L461" s="82">
        <f t="shared" si="26"/>
        <v>10</v>
      </c>
      <c r="M461" s="206">
        <v>10</v>
      </c>
      <c r="N461" s="86">
        <f>M461-L461</f>
        <v>0</v>
      </c>
    </row>
    <row r="462" spans="2:14" x14ac:dyDescent="0.25">
      <c r="B462" s="203"/>
      <c r="C462" s="211"/>
      <c r="D462" s="377" t="s">
        <v>984</v>
      </c>
      <c r="E462" s="217"/>
      <c r="F462" s="312">
        <v>1</v>
      </c>
      <c r="G462" s="468">
        <f>0.3*10</f>
        <v>3</v>
      </c>
      <c r="H462" s="469"/>
      <c r="I462" s="470"/>
      <c r="J462" s="99"/>
      <c r="K462" s="82">
        <f>G462</f>
        <v>3</v>
      </c>
      <c r="L462" s="82"/>
      <c r="M462" s="206"/>
      <c r="N462" s="86"/>
    </row>
    <row r="463" spans="2:14" x14ac:dyDescent="0.25">
      <c r="B463" s="203"/>
      <c r="C463" s="211"/>
      <c r="D463" s="205"/>
      <c r="E463" s="217"/>
      <c r="F463" s="312"/>
      <c r="G463" s="121"/>
      <c r="H463" s="70"/>
      <c r="I463" s="105"/>
      <c r="J463" s="99"/>
      <c r="K463" s="82"/>
      <c r="L463" s="82"/>
      <c r="M463" s="206"/>
      <c r="N463" s="86"/>
    </row>
    <row r="464" spans="2:14" ht="22.5" x14ac:dyDescent="0.25">
      <c r="B464" s="203" t="s">
        <v>384</v>
      </c>
      <c r="C464" s="211">
        <v>94490</v>
      </c>
      <c r="D464" s="205" t="s">
        <v>386</v>
      </c>
      <c r="E464" s="217" t="s">
        <v>166</v>
      </c>
      <c r="F464" s="312"/>
      <c r="G464" s="121"/>
      <c r="H464" s="70"/>
      <c r="I464" s="105"/>
      <c r="J464" s="99">
        <f>'BOLETIM DE MEDIÇÃO 12'!T143-'MEMORIAL DE CALCULO 07'!K464</f>
        <v>-1</v>
      </c>
      <c r="K464" s="81">
        <f>K465</f>
        <v>1</v>
      </c>
      <c r="L464" s="82">
        <f t="shared" si="26"/>
        <v>0</v>
      </c>
      <c r="M464" s="206">
        <v>2</v>
      </c>
      <c r="N464" s="86">
        <f>M464-L464</f>
        <v>2</v>
      </c>
    </row>
    <row r="465" spans="2:14" x14ac:dyDescent="0.25">
      <c r="B465" s="203"/>
      <c r="C465" s="211"/>
      <c r="D465" s="377" t="s">
        <v>983</v>
      </c>
      <c r="E465" s="217"/>
      <c r="F465" s="312">
        <v>1</v>
      </c>
      <c r="G465" s="468">
        <v>1</v>
      </c>
      <c r="H465" s="469"/>
      <c r="I465" s="470"/>
      <c r="J465" s="99"/>
      <c r="K465" s="82">
        <v>1</v>
      </c>
      <c r="L465" s="82"/>
      <c r="M465" s="206"/>
      <c r="N465" s="86"/>
    </row>
    <row r="466" spans="2:14" x14ac:dyDescent="0.25">
      <c r="B466" s="203"/>
      <c r="C466" s="211"/>
      <c r="D466" s="205"/>
      <c r="E466" s="217"/>
      <c r="F466" s="312"/>
      <c r="G466" s="121"/>
      <c r="H466" s="70"/>
      <c r="I466" s="105"/>
      <c r="J466" s="99"/>
      <c r="K466" s="82"/>
      <c r="L466" s="82"/>
      <c r="M466" s="206"/>
      <c r="N466" s="86"/>
    </row>
    <row r="467" spans="2:14" ht="33.75" x14ac:dyDescent="0.25">
      <c r="B467" s="203" t="s">
        <v>387</v>
      </c>
      <c r="C467" s="211">
        <v>89985</v>
      </c>
      <c r="D467" s="205" t="s">
        <v>389</v>
      </c>
      <c r="E467" s="217" t="s">
        <v>166</v>
      </c>
      <c r="F467" s="312"/>
      <c r="G467" s="121"/>
      <c r="H467" s="70"/>
      <c r="I467" s="105"/>
      <c r="J467" s="99">
        <f>'BOLETIM DE MEDIÇÃO 12'!T144-'MEMORIAL DE CALCULO 07'!K467</f>
        <v>3</v>
      </c>
      <c r="K467" s="81">
        <f>K468</f>
        <v>3</v>
      </c>
      <c r="L467" s="82">
        <f t="shared" si="26"/>
        <v>6</v>
      </c>
      <c r="M467" s="206">
        <v>6</v>
      </c>
      <c r="N467" s="86">
        <f>M467-L467</f>
        <v>0</v>
      </c>
    </row>
    <row r="468" spans="2:14" x14ac:dyDescent="0.25">
      <c r="B468" s="203"/>
      <c r="C468" s="211"/>
      <c r="D468" s="377" t="s">
        <v>983</v>
      </c>
      <c r="E468" s="217"/>
      <c r="F468" s="312">
        <v>1</v>
      </c>
      <c r="G468" s="468">
        <v>3</v>
      </c>
      <c r="H468" s="469"/>
      <c r="I468" s="470"/>
      <c r="J468" s="99"/>
      <c r="K468" s="82">
        <f>G468</f>
        <v>3</v>
      </c>
      <c r="L468" s="82"/>
      <c r="M468" s="206"/>
      <c r="N468" s="86"/>
    </row>
    <row r="469" spans="2:14" x14ac:dyDescent="0.25">
      <c r="B469" s="203"/>
      <c r="C469" s="211"/>
      <c r="D469" s="205"/>
      <c r="E469" s="217"/>
      <c r="F469" s="312"/>
      <c r="G469" s="121"/>
      <c r="H469" s="70"/>
      <c r="I469" s="105"/>
      <c r="J469" s="99"/>
      <c r="K469" s="82"/>
      <c r="L469" s="82"/>
      <c r="M469" s="206"/>
      <c r="N469" s="86"/>
    </row>
    <row r="470" spans="2:14" ht="33.75" hidden="1" x14ac:dyDescent="0.25">
      <c r="B470" s="203" t="s">
        <v>390</v>
      </c>
      <c r="C470" s="211">
        <v>102613</v>
      </c>
      <c r="D470" s="205" t="s">
        <v>392</v>
      </c>
      <c r="E470" s="217" t="s">
        <v>166</v>
      </c>
      <c r="F470" s="312"/>
      <c r="G470" s="121"/>
      <c r="H470" s="70"/>
      <c r="I470" s="105"/>
      <c r="J470" s="99">
        <f>'BOLETIM DE MEDIÇÃO 12'!T145-'MEMORIAL DE CALCULO 07'!K470</f>
        <v>2</v>
      </c>
      <c r="K470" s="82"/>
      <c r="L470" s="82">
        <f t="shared" si="26"/>
        <v>2</v>
      </c>
      <c r="M470" s="206">
        <v>2</v>
      </c>
      <c r="N470" s="86"/>
    </row>
    <row r="471" spans="2:14" hidden="1" x14ac:dyDescent="0.25">
      <c r="B471" s="203"/>
      <c r="C471" s="211"/>
      <c r="D471" s="205"/>
      <c r="E471" s="217"/>
      <c r="F471" s="312"/>
      <c r="G471" s="121"/>
      <c r="H471" s="70"/>
      <c r="I471" s="105"/>
      <c r="J471" s="99"/>
      <c r="K471" s="82"/>
      <c r="L471" s="82"/>
      <c r="M471" s="206"/>
      <c r="N471" s="86"/>
    </row>
    <row r="472" spans="2:14" hidden="1" x14ac:dyDescent="0.25">
      <c r="B472" s="203"/>
      <c r="C472" s="211"/>
      <c r="D472" s="205"/>
      <c r="E472" s="217"/>
      <c r="F472" s="312"/>
      <c r="G472" s="121"/>
      <c r="H472" s="70"/>
      <c r="I472" s="105"/>
      <c r="J472" s="99"/>
      <c r="K472" s="82"/>
      <c r="L472" s="82"/>
      <c r="M472" s="206"/>
      <c r="N472" s="86"/>
    </row>
    <row r="473" spans="2:14" ht="22.5" hidden="1" x14ac:dyDescent="0.25">
      <c r="B473" s="203" t="s">
        <v>393</v>
      </c>
      <c r="C473" s="211">
        <v>102609</v>
      </c>
      <c r="D473" s="205" t="s">
        <v>395</v>
      </c>
      <c r="E473" s="217" t="s">
        <v>166</v>
      </c>
      <c r="F473" s="312"/>
      <c r="G473" s="121"/>
      <c r="H473" s="70"/>
      <c r="I473" s="105"/>
      <c r="J473" s="99">
        <f>'BOLETIM DE MEDIÇÃO 12'!T146-'MEMORIAL DE CALCULO 07'!K473</f>
        <v>2</v>
      </c>
      <c r="K473" s="82"/>
      <c r="L473" s="82">
        <f t="shared" si="26"/>
        <v>2</v>
      </c>
      <c r="M473" s="206">
        <v>2</v>
      </c>
      <c r="N473" s="86"/>
    </row>
    <row r="474" spans="2:14" hidden="1" x14ac:dyDescent="0.25">
      <c r="B474" s="203"/>
      <c r="C474" s="211"/>
      <c r="D474" s="205"/>
      <c r="E474" s="217"/>
      <c r="F474" s="312"/>
      <c r="G474" s="121"/>
      <c r="H474" s="70"/>
      <c r="I474" s="105"/>
      <c r="J474" s="99"/>
      <c r="K474" s="82"/>
      <c r="L474" s="82"/>
      <c r="M474" s="206"/>
      <c r="N474" s="86"/>
    </row>
    <row r="475" spans="2:14" hidden="1" x14ac:dyDescent="0.25">
      <c r="B475" s="203"/>
      <c r="C475" s="211"/>
      <c r="D475" s="205"/>
      <c r="E475" s="217"/>
      <c r="F475" s="312"/>
      <c r="G475" s="121"/>
      <c r="H475" s="70"/>
      <c r="I475" s="105"/>
      <c r="J475" s="99"/>
      <c r="K475" s="82"/>
      <c r="L475" s="82"/>
      <c r="M475" s="206"/>
      <c r="N475" s="86"/>
    </row>
    <row r="476" spans="2:14" ht="22.5" hidden="1" x14ac:dyDescent="0.25">
      <c r="B476" s="203" t="s">
        <v>396</v>
      </c>
      <c r="C476" s="211">
        <v>94796</v>
      </c>
      <c r="D476" s="205" t="s">
        <v>398</v>
      </c>
      <c r="E476" s="217" t="s">
        <v>166</v>
      </c>
      <c r="F476" s="312"/>
      <c r="G476" s="121"/>
      <c r="H476" s="70"/>
      <c r="I476" s="105"/>
      <c r="J476" s="99">
        <f>'BOLETIM DE MEDIÇÃO 12'!T147-'MEMORIAL DE CALCULO 07'!K476</f>
        <v>0</v>
      </c>
      <c r="K476" s="82"/>
      <c r="L476" s="82">
        <f t="shared" si="26"/>
        <v>0</v>
      </c>
      <c r="M476" s="206">
        <v>4</v>
      </c>
      <c r="N476" s="86"/>
    </row>
    <row r="477" spans="2:14" hidden="1" x14ac:dyDescent="0.25">
      <c r="B477" s="203"/>
      <c r="C477" s="211"/>
      <c r="D477" s="205"/>
      <c r="E477" s="217"/>
      <c r="F477" s="312"/>
      <c r="G477" s="121"/>
      <c r="H477" s="70"/>
      <c r="I477" s="105"/>
      <c r="J477" s="99"/>
      <c r="K477" s="82"/>
      <c r="L477" s="82"/>
      <c r="M477" s="206"/>
      <c r="N477" s="86"/>
    </row>
    <row r="478" spans="2:14" hidden="1" x14ac:dyDescent="0.25">
      <c r="B478" s="203"/>
      <c r="C478" s="211"/>
      <c r="D478" s="205"/>
      <c r="E478" s="217"/>
      <c r="F478" s="312"/>
      <c r="G478" s="121"/>
      <c r="H478" s="70"/>
      <c r="I478" s="105"/>
      <c r="J478" s="99"/>
      <c r="K478" s="82"/>
      <c r="L478" s="82"/>
      <c r="M478" s="206"/>
      <c r="N478" s="86"/>
    </row>
    <row r="479" spans="2:14" ht="22.5" hidden="1" x14ac:dyDescent="0.25">
      <c r="B479" s="203" t="s">
        <v>399</v>
      </c>
      <c r="C479" s="211">
        <v>94491</v>
      </c>
      <c r="D479" s="205" t="s">
        <v>401</v>
      </c>
      <c r="E479" s="217" t="s">
        <v>166</v>
      </c>
      <c r="F479" s="312"/>
      <c r="G479" s="121"/>
      <c r="H479" s="70"/>
      <c r="I479" s="105"/>
      <c r="J479" s="99">
        <f>'BOLETIM DE MEDIÇÃO 12'!T148-'MEMORIAL DE CALCULO 07'!K479</f>
        <v>0</v>
      </c>
      <c r="K479" s="82"/>
      <c r="L479" s="82">
        <f t="shared" si="26"/>
        <v>0</v>
      </c>
      <c r="M479" s="206">
        <v>4</v>
      </c>
      <c r="N479" s="86"/>
    </row>
    <row r="480" spans="2:14" hidden="1" x14ac:dyDescent="0.25">
      <c r="B480" s="203"/>
      <c r="C480" s="211"/>
      <c r="D480" s="205"/>
      <c r="E480" s="217"/>
      <c r="F480" s="312"/>
      <c r="G480" s="121"/>
      <c r="H480" s="70"/>
      <c r="I480" s="105"/>
      <c r="J480" s="99"/>
      <c r="K480" s="82"/>
      <c r="L480" s="82"/>
      <c r="M480" s="206"/>
      <c r="N480" s="86"/>
    </row>
    <row r="481" spans="2:14" hidden="1" x14ac:dyDescent="0.25">
      <c r="B481" s="203"/>
      <c r="C481" s="211"/>
      <c r="D481" s="205"/>
      <c r="E481" s="217"/>
      <c r="F481" s="312"/>
      <c r="G481" s="121"/>
      <c r="H481" s="70"/>
      <c r="I481" s="105"/>
      <c r="J481" s="99"/>
      <c r="K481" s="82"/>
      <c r="L481" s="82"/>
      <c r="M481" s="206"/>
      <c r="N481" s="86"/>
    </row>
    <row r="482" spans="2:14" ht="22.5" hidden="1" x14ac:dyDescent="0.25">
      <c r="B482" s="203" t="s">
        <v>402</v>
      </c>
      <c r="C482" s="211">
        <v>94492</v>
      </c>
      <c r="D482" s="205" t="s">
        <v>404</v>
      </c>
      <c r="E482" s="217" t="s">
        <v>166</v>
      </c>
      <c r="F482" s="312"/>
      <c r="G482" s="121"/>
      <c r="H482" s="70"/>
      <c r="I482" s="105"/>
      <c r="J482" s="99">
        <f>'BOLETIM DE MEDIÇÃO 12'!T149-'MEMORIAL DE CALCULO 07'!K482</f>
        <v>0</v>
      </c>
      <c r="K482" s="82"/>
      <c r="L482" s="82">
        <f t="shared" si="26"/>
        <v>0</v>
      </c>
      <c r="M482" s="206">
        <v>2</v>
      </c>
      <c r="N482" s="86"/>
    </row>
    <row r="483" spans="2:14" hidden="1" x14ac:dyDescent="0.25">
      <c r="B483" s="203"/>
      <c r="C483" s="211"/>
      <c r="D483" s="205"/>
      <c r="E483" s="217"/>
      <c r="F483" s="312"/>
      <c r="G483" s="121"/>
      <c r="H483" s="70"/>
      <c r="I483" s="105"/>
      <c r="J483" s="99"/>
      <c r="K483" s="82"/>
      <c r="L483" s="82"/>
      <c r="M483" s="206"/>
      <c r="N483" s="86"/>
    </row>
    <row r="484" spans="2:14" hidden="1" x14ac:dyDescent="0.25">
      <c r="B484" s="203"/>
      <c r="C484" s="211"/>
      <c r="D484" s="205"/>
      <c r="E484" s="217"/>
      <c r="F484" s="312"/>
      <c r="G484" s="121"/>
      <c r="H484" s="70"/>
      <c r="I484" s="105"/>
      <c r="J484" s="99"/>
      <c r="K484" s="82"/>
      <c r="L484" s="82"/>
      <c r="M484" s="206"/>
      <c r="N484" s="86"/>
    </row>
    <row r="485" spans="2:14" ht="22.5" hidden="1" x14ac:dyDescent="0.25">
      <c r="B485" s="203" t="s">
        <v>405</v>
      </c>
      <c r="C485" s="211">
        <v>95675</v>
      </c>
      <c r="D485" s="205" t="s">
        <v>407</v>
      </c>
      <c r="E485" s="217" t="s">
        <v>166</v>
      </c>
      <c r="F485" s="312"/>
      <c r="G485" s="121"/>
      <c r="H485" s="70"/>
      <c r="I485" s="105"/>
      <c r="J485" s="99">
        <f>'BOLETIM DE MEDIÇÃO 12'!T150-'MEMORIAL DE CALCULO 07'!K485</f>
        <v>0</v>
      </c>
      <c r="K485" s="82"/>
      <c r="L485" s="82">
        <f t="shared" si="26"/>
        <v>0</v>
      </c>
      <c r="M485" s="206">
        <v>1</v>
      </c>
      <c r="N485" s="86"/>
    </row>
    <row r="486" spans="2:14" hidden="1" x14ac:dyDescent="0.25">
      <c r="B486" s="203"/>
      <c r="C486" s="211"/>
      <c r="D486" s="205"/>
      <c r="E486" s="217"/>
      <c r="F486" s="312"/>
      <c r="G486" s="121"/>
      <c r="H486" s="70"/>
      <c r="I486" s="105"/>
      <c r="J486" s="99"/>
      <c r="K486" s="82"/>
      <c r="L486" s="82"/>
      <c r="M486" s="206"/>
      <c r="N486" s="86"/>
    </row>
    <row r="487" spans="2:14" hidden="1" x14ac:dyDescent="0.25">
      <c r="B487" s="203"/>
      <c r="C487" s="211"/>
      <c r="D487" s="205"/>
      <c r="E487" s="217"/>
      <c r="F487" s="312"/>
      <c r="G487" s="121"/>
      <c r="H487" s="70"/>
      <c r="I487" s="105"/>
      <c r="J487" s="99"/>
      <c r="K487" s="82"/>
      <c r="L487" s="82"/>
      <c r="M487" s="206"/>
      <c r="N487" s="86"/>
    </row>
    <row r="488" spans="2:14" ht="45" hidden="1" x14ac:dyDescent="0.25">
      <c r="B488" s="203" t="s">
        <v>408</v>
      </c>
      <c r="C488" s="211">
        <v>97902</v>
      </c>
      <c r="D488" s="205" t="s">
        <v>410</v>
      </c>
      <c r="E488" s="217" t="s">
        <v>166</v>
      </c>
      <c r="F488" s="312"/>
      <c r="G488" s="121"/>
      <c r="H488" s="70"/>
      <c r="I488" s="105"/>
      <c r="J488" s="99">
        <f>'BOLETIM DE MEDIÇÃO 12'!T151-'MEMORIAL DE CALCULO 07'!K488</f>
        <v>7</v>
      </c>
      <c r="K488" s="82"/>
      <c r="L488" s="82">
        <f t="shared" si="26"/>
        <v>7</v>
      </c>
      <c r="M488" s="206">
        <v>7</v>
      </c>
      <c r="N488" s="86"/>
    </row>
    <row r="489" spans="2:14" hidden="1" x14ac:dyDescent="0.25">
      <c r="B489" s="203"/>
      <c r="C489" s="211"/>
      <c r="D489" s="205"/>
      <c r="E489" s="217"/>
      <c r="F489" s="312"/>
      <c r="G489" s="121"/>
      <c r="H489" s="70"/>
      <c r="I489" s="105"/>
      <c r="J489" s="99"/>
      <c r="K489" s="82"/>
      <c r="L489" s="82"/>
      <c r="M489" s="206"/>
      <c r="N489" s="86"/>
    </row>
    <row r="490" spans="2:14" hidden="1" x14ac:dyDescent="0.25">
      <c r="B490" s="203"/>
      <c r="C490" s="211"/>
      <c r="D490" s="205"/>
      <c r="E490" s="217"/>
      <c r="F490" s="312"/>
      <c r="G490" s="121"/>
      <c r="H490" s="70"/>
      <c r="I490" s="105"/>
      <c r="J490" s="99"/>
      <c r="K490" s="82"/>
      <c r="L490" s="82"/>
      <c r="M490" s="206"/>
      <c r="N490" s="86"/>
    </row>
    <row r="491" spans="2:14" ht="45" hidden="1" x14ac:dyDescent="0.25">
      <c r="B491" s="203" t="s">
        <v>411</v>
      </c>
      <c r="C491" s="211">
        <v>99258</v>
      </c>
      <c r="D491" s="205" t="s">
        <v>413</v>
      </c>
      <c r="E491" s="217" t="s">
        <v>166</v>
      </c>
      <c r="F491" s="312"/>
      <c r="G491" s="121"/>
      <c r="H491" s="70"/>
      <c r="I491" s="105"/>
      <c r="J491" s="99">
        <f>'BOLETIM DE MEDIÇÃO 12'!T152-'MEMORIAL DE CALCULO 07'!K491</f>
        <v>1</v>
      </c>
      <c r="K491" s="82"/>
      <c r="L491" s="82">
        <f t="shared" si="26"/>
        <v>1</v>
      </c>
      <c r="M491" s="206">
        <v>1</v>
      </c>
      <c r="N491" s="86"/>
    </row>
    <row r="492" spans="2:14" hidden="1" x14ac:dyDescent="0.25">
      <c r="B492" s="203"/>
      <c r="C492" s="211"/>
      <c r="D492" s="205"/>
      <c r="E492" s="217"/>
      <c r="F492" s="312"/>
      <c r="G492" s="121"/>
      <c r="H492" s="70"/>
      <c r="I492" s="105"/>
      <c r="J492" s="99"/>
      <c r="K492" s="82"/>
      <c r="L492" s="82"/>
      <c r="M492" s="206"/>
      <c r="N492" s="86"/>
    </row>
    <row r="493" spans="2:14" hidden="1" x14ac:dyDescent="0.25">
      <c r="B493" s="203"/>
      <c r="C493" s="211"/>
      <c r="D493" s="205"/>
      <c r="E493" s="217"/>
      <c r="F493" s="312"/>
      <c r="G493" s="121"/>
      <c r="H493" s="70"/>
      <c r="I493" s="105"/>
      <c r="J493" s="99"/>
      <c r="K493" s="82"/>
      <c r="L493" s="82"/>
      <c r="M493" s="206"/>
      <c r="N493" s="86"/>
    </row>
    <row r="494" spans="2:14" ht="33.75" hidden="1" x14ac:dyDescent="0.25">
      <c r="B494" s="203" t="s">
        <v>414</v>
      </c>
      <c r="C494" s="211">
        <v>89482</v>
      </c>
      <c r="D494" s="205" t="s">
        <v>416</v>
      </c>
      <c r="E494" s="217" t="s">
        <v>166</v>
      </c>
      <c r="F494" s="312"/>
      <c r="G494" s="121"/>
      <c r="H494" s="70"/>
      <c r="I494" s="105"/>
      <c r="J494" s="99">
        <f>'BOLETIM DE MEDIÇÃO 12'!T153-'MEMORIAL DE CALCULO 07'!K494</f>
        <v>10</v>
      </c>
      <c r="K494" s="82"/>
      <c r="L494" s="82">
        <f t="shared" si="26"/>
        <v>10</v>
      </c>
      <c r="M494" s="206">
        <v>10</v>
      </c>
      <c r="N494" s="86"/>
    </row>
    <row r="495" spans="2:14" hidden="1" x14ac:dyDescent="0.25">
      <c r="B495" s="203"/>
      <c r="C495" s="211"/>
      <c r="D495" s="205"/>
      <c r="E495" s="217"/>
      <c r="F495" s="312"/>
      <c r="G495" s="121"/>
      <c r="H495" s="70"/>
      <c r="I495" s="105"/>
      <c r="J495" s="99"/>
      <c r="K495" s="82"/>
      <c r="L495" s="82"/>
      <c r="M495" s="206"/>
      <c r="N495" s="86"/>
    </row>
    <row r="496" spans="2:14" hidden="1" x14ac:dyDescent="0.25">
      <c r="B496" s="203"/>
      <c r="C496" s="211"/>
      <c r="D496" s="205"/>
      <c r="E496" s="217"/>
      <c r="F496" s="312"/>
      <c r="G496" s="121"/>
      <c r="H496" s="70"/>
      <c r="I496" s="105"/>
      <c r="J496" s="99"/>
      <c r="K496" s="82"/>
      <c r="L496" s="82"/>
      <c r="M496" s="206"/>
      <c r="N496" s="86"/>
    </row>
    <row r="497" spans="2:14" ht="56.25" x14ac:dyDescent="0.25">
      <c r="B497" s="203" t="s">
        <v>417</v>
      </c>
      <c r="C497" s="211">
        <v>91792</v>
      </c>
      <c r="D497" s="205" t="s">
        <v>419</v>
      </c>
      <c r="E497" s="217" t="s">
        <v>37</v>
      </c>
      <c r="F497" s="312"/>
      <c r="G497" s="121"/>
      <c r="H497" s="70"/>
      <c r="I497" s="105"/>
      <c r="J497" s="99">
        <f>'BOLETIM DE MEDIÇÃO 12'!T154-'MEMORIAL DE CALCULO 07'!K497</f>
        <v>27.195</v>
      </c>
      <c r="K497" s="81">
        <f>K498</f>
        <v>11.654999999999999</v>
      </c>
      <c r="L497" s="82">
        <f t="shared" si="26"/>
        <v>38.85</v>
      </c>
      <c r="M497" s="206">
        <v>38.85</v>
      </c>
      <c r="N497" s="86"/>
    </row>
    <row r="498" spans="2:14" x14ac:dyDescent="0.25">
      <c r="B498" s="203"/>
      <c r="C498" s="211"/>
      <c r="D498" s="377" t="s">
        <v>984</v>
      </c>
      <c r="E498" s="217"/>
      <c r="F498" s="312">
        <v>1</v>
      </c>
      <c r="G498" s="468">
        <f>0.3*38.85</f>
        <v>11.654999999999999</v>
      </c>
      <c r="H498" s="469"/>
      <c r="I498" s="470"/>
      <c r="J498" s="99"/>
      <c r="K498" s="82">
        <f>G498</f>
        <v>11.654999999999999</v>
      </c>
      <c r="L498" s="82"/>
      <c r="M498" s="206"/>
      <c r="N498" s="86"/>
    </row>
    <row r="499" spans="2:14" x14ac:dyDescent="0.25">
      <c r="B499" s="203"/>
      <c r="C499" s="211"/>
      <c r="D499" s="205"/>
      <c r="E499" s="217"/>
      <c r="F499" s="312"/>
      <c r="G499" s="121"/>
      <c r="H499" s="70"/>
      <c r="I499" s="105"/>
      <c r="J499" s="99"/>
      <c r="K499" s="82"/>
      <c r="L499" s="82"/>
      <c r="M499" s="206"/>
      <c r="N499" s="86"/>
    </row>
    <row r="500" spans="2:14" ht="56.25" x14ac:dyDescent="0.25">
      <c r="B500" s="203" t="s">
        <v>420</v>
      </c>
      <c r="C500" s="211">
        <v>91793</v>
      </c>
      <c r="D500" s="205" t="s">
        <v>422</v>
      </c>
      <c r="E500" s="217" t="s">
        <v>37</v>
      </c>
      <c r="F500" s="312"/>
      <c r="G500" s="121"/>
      <c r="H500" s="70"/>
      <c r="I500" s="105"/>
      <c r="J500" s="99">
        <f>'BOLETIM DE MEDIÇÃO 12'!T155-'MEMORIAL DE CALCULO 07'!K500</f>
        <v>32.557000000000002</v>
      </c>
      <c r="K500" s="81">
        <f>K501</f>
        <v>13.952999999999999</v>
      </c>
      <c r="L500" s="82">
        <f t="shared" si="26"/>
        <v>46.510000000000005</v>
      </c>
      <c r="M500" s="206">
        <v>46.51</v>
      </c>
      <c r="N500" s="86"/>
    </row>
    <row r="501" spans="2:14" x14ac:dyDescent="0.25">
      <c r="B501" s="203"/>
      <c r="C501" s="211"/>
      <c r="D501" s="377" t="s">
        <v>984</v>
      </c>
      <c r="E501" s="217"/>
      <c r="F501" s="312">
        <v>1</v>
      </c>
      <c r="G501" s="468">
        <f>0.3*46.51</f>
        <v>13.952999999999999</v>
      </c>
      <c r="H501" s="469"/>
      <c r="I501" s="470"/>
      <c r="J501" s="99"/>
      <c r="K501" s="82">
        <f>G501</f>
        <v>13.952999999999999</v>
      </c>
      <c r="L501" s="82"/>
      <c r="M501" s="206"/>
      <c r="N501" s="86"/>
    </row>
    <row r="502" spans="2:14" x14ac:dyDescent="0.25">
      <c r="B502" s="203"/>
      <c r="C502" s="211"/>
      <c r="D502" s="205"/>
      <c r="E502" s="217"/>
      <c r="F502" s="312"/>
      <c r="G502" s="121"/>
      <c r="H502" s="70"/>
      <c r="I502" s="105"/>
      <c r="J502" s="99"/>
      <c r="K502" s="82"/>
      <c r="L502" s="82"/>
      <c r="M502" s="206"/>
      <c r="N502" s="86"/>
    </row>
    <row r="503" spans="2:14" ht="45" hidden="1" x14ac:dyDescent="0.25">
      <c r="B503" s="203" t="s">
        <v>423</v>
      </c>
      <c r="C503" s="211">
        <v>98107</v>
      </c>
      <c r="D503" s="205" t="s">
        <v>425</v>
      </c>
      <c r="E503" s="217" t="s">
        <v>166</v>
      </c>
      <c r="F503" s="312"/>
      <c r="G503" s="121"/>
      <c r="H503" s="70"/>
      <c r="I503" s="105"/>
      <c r="J503" s="99">
        <f>'BOLETIM DE MEDIÇÃO 12'!T156-'MEMORIAL DE CALCULO 07'!K503</f>
        <v>1</v>
      </c>
      <c r="K503" s="82"/>
      <c r="L503" s="82">
        <f t="shared" si="26"/>
        <v>1</v>
      </c>
      <c r="M503" s="206">
        <v>1</v>
      </c>
      <c r="N503" s="86"/>
    </row>
    <row r="504" spans="2:14" hidden="1" x14ac:dyDescent="0.25">
      <c r="B504" s="203"/>
      <c r="C504" s="211"/>
      <c r="D504" s="205"/>
      <c r="E504" s="217"/>
      <c r="F504" s="312"/>
      <c r="G504" s="121"/>
      <c r="H504" s="70"/>
      <c r="I504" s="105"/>
      <c r="J504" s="99"/>
      <c r="K504" s="82"/>
      <c r="L504" s="82"/>
      <c r="M504" s="206"/>
      <c r="N504" s="86"/>
    </row>
    <row r="505" spans="2:14" hidden="1" x14ac:dyDescent="0.25">
      <c r="B505" s="203"/>
      <c r="C505" s="211"/>
      <c r="D505" s="205"/>
      <c r="E505" s="217"/>
      <c r="F505" s="312"/>
      <c r="G505" s="121"/>
      <c r="H505" s="70"/>
      <c r="I505" s="105"/>
      <c r="J505" s="99"/>
      <c r="K505" s="82"/>
      <c r="L505" s="82"/>
      <c r="M505" s="206"/>
      <c r="N505" s="86"/>
    </row>
    <row r="506" spans="2:14" ht="56.25" x14ac:dyDescent="0.25">
      <c r="B506" s="203" t="s">
        <v>426</v>
      </c>
      <c r="C506" s="211">
        <v>91795</v>
      </c>
      <c r="D506" s="205" t="s">
        <v>428</v>
      </c>
      <c r="E506" s="217" t="s">
        <v>37</v>
      </c>
      <c r="F506" s="312"/>
      <c r="G506" s="121"/>
      <c r="H506" s="70"/>
      <c r="I506" s="105"/>
      <c r="J506" s="99">
        <f>'BOLETIM DE MEDIÇÃO 12'!T157-'MEMORIAL DE CALCULO 07'!K506</f>
        <v>92.934000000000012</v>
      </c>
      <c r="K506" s="81">
        <f>K507</f>
        <v>39.831000000000003</v>
      </c>
      <c r="L506" s="82">
        <f t="shared" si="26"/>
        <v>132.76500000000001</v>
      </c>
      <c r="M506" s="206">
        <v>132.77000000000001</v>
      </c>
      <c r="N506" s="86"/>
    </row>
    <row r="507" spans="2:14" x14ac:dyDescent="0.25">
      <c r="B507" s="203"/>
      <c r="C507" s="211"/>
      <c r="D507" s="377" t="s">
        <v>984</v>
      </c>
      <c r="E507" s="217"/>
      <c r="F507" s="312">
        <v>1</v>
      </c>
      <c r="G507" s="468">
        <f>0.3*132.77</f>
        <v>39.831000000000003</v>
      </c>
      <c r="H507" s="469"/>
      <c r="I507" s="470"/>
      <c r="J507" s="99"/>
      <c r="K507" s="82">
        <f>G507</f>
        <v>39.831000000000003</v>
      </c>
      <c r="L507" s="82"/>
      <c r="M507" s="206"/>
      <c r="N507" s="86"/>
    </row>
    <row r="508" spans="2:14" x14ac:dyDescent="0.25">
      <c r="B508" s="203"/>
      <c r="C508" s="211"/>
      <c r="D508" s="205"/>
      <c r="E508" s="217"/>
      <c r="F508" s="312"/>
      <c r="G508" s="121"/>
      <c r="H508" s="70"/>
      <c r="I508" s="105"/>
      <c r="J508" s="99"/>
      <c r="K508" s="82"/>
      <c r="L508" s="82"/>
      <c r="M508" s="206"/>
      <c r="N508" s="86"/>
    </row>
    <row r="509" spans="2:14" ht="45" hidden="1" x14ac:dyDescent="0.25">
      <c r="B509" s="203" t="s">
        <v>429</v>
      </c>
      <c r="C509" s="211">
        <v>99251</v>
      </c>
      <c r="D509" s="215" t="s">
        <v>431</v>
      </c>
      <c r="E509" s="217" t="s">
        <v>166</v>
      </c>
      <c r="F509" s="312"/>
      <c r="G509" s="121"/>
      <c r="H509" s="70"/>
      <c r="I509" s="105"/>
      <c r="J509" s="99">
        <f>'BOLETIM DE MEDIÇÃO 12'!T158-'MEMORIAL DE CALCULO 07'!K509</f>
        <v>0</v>
      </c>
      <c r="K509" s="82"/>
      <c r="L509" s="82">
        <f t="shared" si="26"/>
        <v>0</v>
      </c>
      <c r="M509" s="206">
        <v>2</v>
      </c>
      <c r="N509" s="86"/>
    </row>
    <row r="510" spans="2:14" hidden="1" x14ac:dyDescent="0.25">
      <c r="B510" s="203"/>
      <c r="C510" s="211"/>
      <c r="D510" s="215"/>
      <c r="E510" s="217"/>
      <c r="F510" s="312"/>
      <c r="G510" s="121"/>
      <c r="H510" s="70"/>
      <c r="I510" s="105"/>
      <c r="J510" s="99"/>
      <c r="K510" s="82"/>
      <c r="L510" s="82"/>
      <c r="M510" s="206"/>
      <c r="N510" s="86"/>
    </row>
    <row r="511" spans="2:14" hidden="1" x14ac:dyDescent="0.25">
      <c r="B511" s="203"/>
      <c r="C511" s="211"/>
      <c r="D511" s="215"/>
      <c r="E511" s="217"/>
      <c r="F511" s="312"/>
      <c r="G511" s="121"/>
      <c r="H511" s="70"/>
      <c r="I511" s="105"/>
      <c r="J511" s="99"/>
      <c r="K511" s="82"/>
      <c r="L511" s="82"/>
      <c r="M511" s="206"/>
      <c r="N511" s="86"/>
    </row>
    <row r="512" spans="2:14" ht="56.25" x14ac:dyDescent="0.25">
      <c r="B512" s="203" t="s">
        <v>432</v>
      </c>
      <c r="C512" s="211">
        <v>91790</v>
      </c>
      <c r="D512" s="215" t="s">
        <v>434</v>
      </c>
      <c r="E512" s="217" t="s">
        <v>37</v>
      </c>
      <c r="F512" s="312"/>
      <c r="G512" s="121"/>
      <c r="H512" s="70"/>
      <c r="I512" s="105"/>
      <c r="J512" s="99">
        <f>'BOLETIM DE MEDIÇÃO 12'!T159-'MEMORIAL DE CALCULO 07'!K512</f>
        <v>-12.902999999999999</v>
      </c>
      <c r="K512" s="81">
        <f>K513</f>
        <v>12.902999999999999</v>
      </c>
      <c r="L512" s="82">
        <f t="shared" si="26"/>
        <v>0</v>
      </c>
      <c r="M512" s="206">
        <v>43.01</v>
      </c>
      <c r="N512" s="86"/>
    </row>
    <row r="513" spans="2:14" x14ac:dyDescent="0.25">
      <c r="B513" s="50"/>
      <c r="C513" s="66"/>
      <c r="D513" s="377" t="s">
        <v>984</v>
      </c>
      <c r="E513" s="69"/>
      <c r="F513" s="312">
        <v>1</v>
      </c>
      <c r="G513" s="468">
        <f>0.3*43.01</f>
        <v>12.902999999999999</v>
      </c>
      <c r="H513" s="469"/>
      <c r="I513" s="470"/>
      <c r="J513" s="99"/>
      <c r="K513" s="82">
        <f>G513</f>
        <v>12.902999999999999</v>
      </c>
      <c r="L513" s="82"/>
      <c r="M513" s="82"/>
      <c r="N513" s="86"/>
    </row>
    <row r="514" spans="2:14" x14ac:dyDescent="0.25">
      <c r="B514" s="50"/>
      <c r="C514" s="66"/>
      <c r="D514" s="53"/>
      <c r="E514" s="69"/>
      <c r="F514" s="312"/>
      <c r="G514" s="121"/>
      <c r="H514" s="70"/>
      <c r="I514" s="105"/>
      <c r="J514" s="99"/>
      <c r="K514" s="82"/>
      <c r="L514" s="82"/>
      <c r="M514" s="82"/>
      <c r="N514" s="86"/>
    </row>
    <row r="515" spans="2:14" hidden="1" x14ac:dyDescent="0.25">
      <c r="B515" s="50"/>
      <c r="C515" s="66"/>
      <c r="D515" s="53"/>
      <c r="E515" s="69"/>
      <c r="F515" s="312"/>
      <c r="G515" s="121"/>
      <c r="H515" s="70"/>
      <c r="I515" s="105"/>
      <c r="J515" s="99"/>
      <c r="K515" s="82"/>
      <c r="L515" s="82"/>
      <c r="M515" s="82"/>
      <c r="N515" s="86"/>
    </row>
    <row r="516" spans="2:14" hidden="1" x14ac:dyDescent="0.25">
      <c r="B516" s="50"/>
      <c r="C516" s="66"/>
      <c r="D516" s="53"/>
      <c r="E516" s="69"/>
      <c r="F516" s="312"/>
      <c r="G516" s="121"/>
      <c r="H516" s="70"/>
      <c r="I516" s="105"/>
      <c r="J516" s="99"/>
      <c r="K516" s="82"/>
      <c r="L516" s="82"/>
      <c r="M516" s="82"/>
      <c r="N516" s="86"/>
    </row>
    <row r="517" spans="2:14" hidden="1" x14ac:dyDescent="0.25">
      <c r="B517" s="50"/>
      <c r="C517" s="66"/>
      <c r="D517" s="53"/>
      <c r="E517" s="69"/>
      <c r="F517" s="312"/>
      <c r="G517" s="121"/>
      <c r="H517" s="70"/>
      <c r="I517" s="105"/>
      <c r="J517" s="99"/>
      <c r="K517" s="82"/>
      <c r="L517" s="82"/>
      <c r="M517" s="82"/>
      <c r="N517" s="86"/>
    </row>
    <row r="518" spans="2:14" hidden="1" x14ac:dyDescent="0.25">
      <c r="B518" s="50"/>
      <c r="C518" s="66"/>
      <c r="D518" s="53"/>
      <c r="E518" s="69"/>
      <c r="F518" s="312"/>
      <c r="G518" s="121"/>
      <c r="H518" s="70"/>
      <c r="I518" s="105"/>
      <c r="J518" s="99"/>
      <c r="K518" s="82"/>
      <c r="L518" s="82"/>
      <c r="M518" s="82"/>
      <c r="N518" s="86"/>
    </row>
    <row r="519" spans="2:14" hidden="1" x14ac:dyDescent="0.25">
      <c r="B519" s="50"/>
      <c r="C519" s="66"/>
      <c r="D519" s="53"/>
      <c r="E519" s="69"/>
      <c r="F519" s="312"/>
      <c r="G519" s="121"/>
      <c r="H519" s="70"/>
      <c r="I519" s="105"/>
      <c r="J519" s="99"/>
      <c r="K519" s="82"/>
      <c r="L519" s="82"/>
      <c r="M519" s="82"/>
      <c r="N519" s="86"/>
    </row>
    <row r="520" spans="2:14" hidden="1" x14ac:dyDescent="0.25">
      <c r="B520" s="50"/>
      <c r="C520" s="66"/>
      <c r="D520" s="53"/>
      <c r="E520" s="69"/>
      <c r="F520" s="312"/>
      <c r="G520" s="121"/>
      <c r="H520" s="70"/>
      <c r="I520" s="105"/>
      <c r="J520" s="99"/>
      <c r="K520" s="82"/>
      <c r="L520" s="82"/>
      <c r="M520" s="82"/>
      <c r="N520" s="86"/>
    </row>
    <row r="521" spans="2:14" hidden="1" x14ac:dyDescent="0.25">
      <c r="B521" s="50"/>
      <c r="C521" s="66"/>
      <c r="D521" s="53"/>
      <c r="E521" s="69"/>
      <c r="F521" s="312"/>
      <c r="G521" s="121"/>
      <c r="H521" s="70"/>
      <c r="I521" s="105"/>
      <c r="J521" s="99"/>
      <c r="K521" s="82"/>
      <c r="L521" s="82"/>
      <c r="M521" s="82"/>
      <c r="N521" s="86"/>
    </row>
    <row r="522" spans="2:14" hidden="1" x14ac:dyDescent="0.25">
      <c r="B522" s="50"/>
      <c r="C522" s="66"/>
      <c r="D522" s="53"/>
      <c r="E522" s="69"/>
      <c r="F522" s="312"/>
      <c r="G522" s="121"/>
      <c r="H522" s="70"/>
      <c r="I522" s="105"/>
      <c r="J522" s="99"/>
      <c r="K522" s="82"/>
      <c r="L522" s="82"/>
      <c r="M522" s="82"/>
      <c r="N522" s="86"/>
    </row>
    <row r="523" spans="2:14" hidden="1" x14ac:dyDescent="0.25">
      <c r="B523" s="50"/>
      <c r="C523" s="66"/>
      <c r="D523" s="53"/>
      <c r="E523" s="69"/>
      <c r="F523" s="312"/>
      <c r="G523" s="121"/>
      <c r="H523" s="70"/>
      <c r="I523" s="105"/>
      <c r="J523" s="99"/>
      <c r="K523" s="82"/>
      <c r="L523" s="82"/>
      <c r="M523" s="82"/>
      <c r="N523" s="86"/>
    </row>
    <row r="524" spans="2:14" hidden="1" x14ac:dyDescent="0.25">
      <c r="B524" s="50"/>
      <c r="C524" s="66"/>
      <c r="D524" s="53"/>
      <c r="E524" s="69"/>
      <c r="F524" s="312"/>
      <c r="G524" s="121"/>
      <c r="H524" s="70"/>
      <c r="I524" s="105"/>
      <c r="J524" s="99"/>
      <c r="K524" s="82"/>
      <c r="L524" s="82"/>
      <c r="M524" s="82"/>
      <c r="N524" s="86"/>
    </row>
    <row r="525" spans="2:14" hidden="1" x14ac:dyDescent="0.25">
      <c r="B525" s="50"/>
      <c r="C525" s="66"/>
      <c r="D525" s="53"/>
      <c r="E525" s="69"/>
      <c r="F525" s="312"/>
      <c r="G525" s="121"/>
      <c r="H525" s="70"/>
      <c r="I525" s="105"/>
      <c r="J525" s="99"/>
      <c r="K525" s="82"/>
      <c r="L525" s="82"/>
      <c r="M525" s="82"/>
      <c r="N525" s="86"/>
    </row>
    <row r="526" spans="2:14" hidden="1" x14ac:dyDescent="0.25">
      <c r="B526" s="50"/>
      <c r="C526" s="66"/>
      <c r="D526" s="53"/>
      <c r="E526" s="69"/>
      <c r="F526" s="312"/>
      <c r="G526" s="121"/>
      <c r="H526" s="70"/>
      <c r="I526" s="105"/>
      <c r="J526" s="99"/>
      <c r="K526" s="82"/>
      <c r="L526" s="82"/>
      <c r="M526" s="82"/>
      <c r="N526" s="86"/>
    </row>
    <row r="527" spans="2:14" hidden="1" x14ac:dyDescent="0.25">
      <c r="B527" s="50"/>
      <c r="C527" s="66"/>
      <c r="D527" s="53"/>
      <c r="E527" s="69"/>
      <c r="F527" s="312"/>
      <c r="G527" s="121"/>
      <c r="H527" s="70"/>
      <c r="I527" s="105"/>
      <c r="J527" s="99"/>
      <c r="K527" s="82"/>
      <c r="L527" s="82"/>
      <c r="M527" s="82"/>
      <c r="N527" s="86"/>
    </row>
    <row r="528" spans="2:14" hidden="1" x14ac:dyDescent="0.25">
      <c r="B528" s="50"/>
      <c r="C528" s="66"/>
      <c r="D528" s="53"/>
      <c r="E528" s="69"/>
      <c r="F528" s="312"/>
      <c r="G528" s="121"/>
      <c r="H528" s="70"/>
      <c r="I528" s="105"/>
      <c r="J528" s="99"/>
      <c r="K528" s="82"/>
      <c r="L528" s="82"/>
      <c r="M528" s="82"/>
      <c r="N528" s="86"/>
    </row>
    <row r="529" spans="1:14" hidden="1" x14ac:dyDescent="0.25">
      <c r="B529" s="50"/>
      <c r="C529" s="66"/>
      <c r="D529" s="53"/>
      <c r="E529" s="69"/>
      <c r="F529" s="312"/>
      <c r="G529" s="121"/>
      <c r="H529" s="70"/>
      <c r="I529" s="105"/>
      <c r="J529" s="99"/>
      <c r="K529" s="82"/>
      <c r="L529" s="82"/>
      <c r="M529" s="82"/>
      <c r="N529" s="86"/>
    </row>
    <row r="530" spans="1:14" hidden="1" x14ac:dyDescent="0.25">
      <c r="B530" s="50"/>
      <c r="C530" s="66"/>
      <c r="D530" s="53"/>
      <c r="E530" s="69"/>
      <c r="F530" s="312"/>
      <c r="G530" s="121"/>
      <c r="H530" s="70"/>
      <c r="I530" s="105"/>
      <c r="J530" s="99"/>
      <c r="K530" s="82"/>
      <c r="L530" s="82"/>
      <c r="M530" s="82"/>
      <c r="N530" s="86"/>
    </row>
    <row r="531" spans="1:14" hidden="1" x14ac:dyDescent="0.25">
      <c r="B531" s="50"/>
      <c r="C531" s="66"/>
      <c r="D531" s="53"/>
      <c r="E531" s="69"/>
      <c r="F531" s="312"/>
      <c r="G531" s="121"/>
      <c r="H531" s="70"/>
      <c r="I531" s="105"/>
      <c r="J531" s="99"/>
      <c r="K531" s="82"/>
      <c r="L531" s="82"/>
      <c r="M531" s="82"/>
      <c r="N531" s="86"/>
    </row>
    <row r="532" spans="1:14" hidden="1" x14ac:dyDescent="0.25">
      <c r="B532" s="50"/>
      <c r="C532" s="66"/>
      <c r="D532" s="53"/>
      <c r="E532" s="69"/>
      <c r="F532" s="312"/>
      <c r="G532" s="121"/>
      <c r="H532" s="70"/>
      <c r="I532" s="105"/>
      <c r="J532" s="99"/>
      <c r="K532" s="82"/>
      <c r="L532" s="82"/>
      <c r="M532" s="82"/>
      <c r="N532" s="86"/>
    </row>
    <row r="533" spans="1:14" hidden="1" x14ac:dyDescent="0.25">
      <c r="B533" s="50"/>
      <c r="C533" s="66"/>
      <c r="D533" s="53"/>
      <c r="E533" s="69"/>
      <c r="F533" s="312"/>
      <c r="G533" s="121"/>
      <c r="H533" s="70"/>
      <c r="I533" s="105"/>
      <c r="J533" s="99"/>
      <c r="K533" s="82"/>
      <c r="L533" s="82"/>
      <c r="M533" s="82"/>
      <c r="N533" s="86"/>
    </row>
    <row r="534" spans="1:14" hidden="1" x14ac:dyDescent="0.25">
      <c r="B534" s="50"/>
      <c r="C534" s="66"/>
      <c r="D534" s="53"/>
      <c r="E534" s="69"/>
      <c r="F534" s="312"/>
      <c r="G534" s="121"/>
      <c r="H534" s="70"/>
      <c r="I534" s="105"/>
      <c r="J534" s="99"/>
      <c r="K534" s="82"/>
      <c r="L534" s="82"/>
      <c r="M534" s="82"/>
      <c r="N534" s="86"/>
    </row>
    <row r="535" spans="1:14" hidden="1" x14ac:dyDescent="0.25">
      <c r="B535" s="50"/>
      <c r="C535" s="66"/>
      <c r="D535" s="53"/>
      <c r="E535" s="69"/>
      <c r="F535" s="312"/>
      <c r="G535" s="121"/>
      <c r="H535" s="70"/>
      <c r="I535" s="105"/>
      <c r="J535" s="99"/>
      <c r="K535" s="82"/>
      <c r="L535" s="82"/>
      <c r="M535" s="82"/>
      <c r="N535" s="86"/>
    </row>
    <row r="536" spans="1:14" hidden="1" x14ac:dyDescent="0.25">
      <c r="B536" s="50"/>
      <c r="C536" s="66"/>
      <c r="D536" s="53"/>
      <c r="E536" s="69"/>
      <c r="F536" s="312"/>
      <c r="G536" s="121"/>
      <c r="H536" s="70"/>
      <c r="I536" s="105"/>
      <c r="J536" s="99"/>
      <c r="K536" s="82"/>
      <c r="L536" s="82"/>
      <c r="M536" s="82"/>
      <c r="N536" s="86"/>
    </row>
    <row r="537" spans="1:14" hidden="1" x14ac:dyDescent="0.25">
      <c r="B537" s="50"/>
      <c r="C537" s="66"/>
      <c r="D537" s="53"/>
      <c r="E537" s="69"/>
      <c r="F537" s="312"/>
      <c r="G537" s="121"/>
      <c r="H537" s="70"/>
      <c r="I537" s="105"/>
      <c r="J537" s="99"/>
      <c r="K537" s="82"/>
      <c r="L537" s="82"/>
      <c r="M537" s="82"/>
      <c r="N537" s="86"/>
    </row>
    <row r="538" spans="1:14" hidden="1" x14ac:dyDescent="0.25">
      <c r="B538" s="50"/>
      <c r="C538" s="66"/>
      <c r="D538" s="53"/>
      <c r="E538" s="69"/>
      <c r="F538" s="312"/>
      <c r="G538" s="121"/>
      <c r="H538" s="70"/>
      <c r="I538" s="105"/>
      <c r="J538" s="99"/>
      <c r="K538" s="82"/>
      <c r="L538" s="82"/>
      <c r="M538" s="82"/>
      <c r="N538" s="86"/>
    </row>
    <row r="539" spans="1:14" hidden="1" x14ac:dyDescent="0.25">
      <c r="B539" s="50"/>
      <c r="C539" s="66"/>
      <c r="D539" s="53"/>
      <c r="E539" s="69"/>
      <c r="F539" s="312"/>
      <c r="G539" s="121"/>
      <c r="H539" s="70"/>
      <c r="I539" s="105"/>
      <c r="J539" s="99"/>
      <c r="K539" s="82"/>
      <c r="L539" s="82"/>
      <c r="M539" s="82"/>
      <c r="N539" s="86"/>
    </row>
    <row r="540" spans="1:14" hidden="1" x14ac:dyDescent="0.25">
      <c r="B540" s="50"/>
      <c r="C540" s="66"/>
      <c r="D540" s="53"/>
      <c r="E540" s="69"/>
      <c r="F540" s="312"/>
      <c r="G540" s="121"/>
      <c r="H540" s="70"/>
      <c r="I540" s="105"/>
      <c r="J540" s="99"/>
      <c r="K540" s="82"/>
      <c r="L540" s="82"/>
      <c r="M540" s="82"/>
      <c r="N540" s="86"/>
    </row>
    <row r="541" spans="1:14" hidden="1" x14ac:dyDescent="0.25">
      <c r="B541" s="50"/>
      <c r="C541" s="66"/>
      <c r="D541" s="53"/>
      <c r="E541" s="69"/>
      <c r="F541" s="312"/>
      <c r="G541" s="121"/>
      <c r="H541" s="70"/>
      <c r="I541" s="105"/>
      <c r="J541" s="99"/>
      <c r="K541" s="82"/>
      <c r="L541" s="82"/>
      <c r="M541" s="82"/>
      <c r="N541" s="86"/>
    </row>
    <row r="542" spans="1:14" hidden="1" x14ac:dyDescent="0.25">
      <c r="B542" s="50"/>
      <c r="C542" s="66"/>
      <c r="D542" s="53"/>
      <c r="E542" s="69"/>
      <c r="F542" s="312"/>
      <c r="G542" s="121"/>
      <c r="H542" s="70"/>
      <c r="I542" s="105"/>
      <c r="J542" s="99"/>
      <c r="K542" s="82"/>
      <c r="L542" s="82"/>
      <c r="M542" s="82"/>
      <c r="N542" s="86"/>
    </row>
    <row r="543" spans="1:14" ht="14.45" hidden="1" customHeight="1" x14ac:dyDescent="0.25">
      <c r="B543" s="51">
        <v>1.1499999999999999</v>
      </c>
      <c r="C543" s="65" t="s">
        <v>474</v>
      </c>
      <c r="D543" s="53"/>
      <c r="E543" s="44"/>
      <c r="F543" s="130"/>
      <c r="G543" s="469"/>
      <c r="H543" s="469"/>
      <c r="I543" s="470"/>
      <c r="J543" s="99"/>
      <c r="K543" s="81"/>
      <c r="L543" s="82"/>
      <c r="M543" s="82"/>
      <c r="N543" s="86"/>
    </row>
    <row r="544" spans="1:14" ht="56.25" hidden="1" x14ac:dyDescent="0.25">
      <c r="A544" s="79"/>
      <c r="B544" s="50" t="s">
        <v>495</v>
      </c>
      <c r="C544" s="66">
        <v>87548</v>
      </c>
      <c r="D544" s="53" t="s">
        <v>154</v>
      </c>
      <c r="E544" s="44" t="s">
        <v>17</v>
      </c>
      <c r="F544" s="259"/>
      <c r="G544" s="121"/>
      <c r="H544" s="70"/>
      <c r="I544" s="105"/>
      <c r="J544" s="99">
        <f>'BOLETIM DE MEDIÇÃO 05'!O190-'MEMORIAL DE CALCULO 07'!K544</f>
        <v>6.2000000000011823E-2</v>
      </c>
      <c r="K544" s="351">
        <f>K545</f>
        <v>405.60400000000004</v>
      </c>
      <c r="L544" s="82">
        <f t="shared" ref="L544" si="27">J544+K544</f>
        <v>405.66600000000005</v>
      </c>
      <c r="M544" s="82">
        <f>'BOLETIM DE MEDIÇÃO 05'!G190</f>
        <v>811.27</v>
      </c>
      <c r="N544" s="86">
        <f t="shared" ref="N544" si="28">M544-L544</f>
        <v>405.60399999999993</v>
      </c>
    </row>
    <row r="545" spans="1:14" hidden="1" x14ac:dyDescent="0.25">
      <c r="A545" s="79"/>
      <c r="B545" s="50"/>
      <c r="C545" s="66"/>
      <c r="D545" s="344" t="s">
        <v>960</v>
      </c>
      <c r="E545" s="44"/>
      <c r="F545" s="130">
        <v>2</v>
      </c>
      <c r="G545" s="468">
        <f>65.42</f>
        <v>65.42</v>
      </c>
      <c r="H545" s="471"/>
      <c r="I545" s="105">
        <v>3.1</v>
      </c>
      <c r="J545" s="99"/>
      <c r="K545" s="351">
        <f>F545*G545*I545</f>
        <v>405.60400000000004</v>
      </c>
      <c r="L545" s="82"/>
      <c r="M545" s="82"/>
      <c r="N545" s="86"/>
    </row>
    <row r="546" spans="1:14" ht="14.45" customHeight="1" x14ac:dyDescent="0.25">
      <c r="A546" s="79"/>
      <c r="B546" s="266"/>
      <c r="C546" s="266"/>
      <c r="D546" s="255"/>
      <c r="E546" s="238"/>
      <c r="F546" s="261"/>
      <c r="G546" s="272"/>
      <c r="H546" s="273"/>
      <c r="I546" s="274"/>
      <c r="J546" s="255"/>
      <c r="K546" s="238"/>
      <c r="L546" s="238"/>
      <c r="M546" s="238"/>
      <c r="N546" s="258"/>
    </row>
    <row r="549" spans="1:14" ht="69.599999999999994" hidden="1" customHeight="1" x14ac:dyDescent="0.25">
      <c r="D549" s="278" t="s">
        <v>832</v>
      </c>
      <c r="E549" s="277" t="s">
        <v>41</v>
      </c>
      <c r="F549" s="279"/>
      <c r="G549" s="546" t="s">
        <v>836</v>
      </c>
      <c r="H549" s="547"/>
      <c r="I549" s="548"/>
      <c r="J549" s="279"/>
      <c r="K549" s="280">
        <f>SUM(K552:K556)</f>
        <v>16.472439999999999</v>
      </c>
      <c r="M549" s="282"/>
    </row>
    <row r="550" spans="1:14" ht="14.45" hidden="1" customHeight="1" x14ac:dyDescent="0.25">
      <c r="D550" s="239"/>
      <c r="E550" s="239"/>
      <c r="F550" s="239"/>
      <c r="G550" s="239"/>
      <c r="H550" s="239"/>
      <c r="I550" s="239"/>
      <c r="J550" s="239"/>
      <c r="K550" s="239"/>
    </row>
    <row r="551" spans="1:14" ht="36.6" hidden="1" customHeight="1" x14ac:dyDescent="0.25">
      <c r="D551" s="281"/>
      <c r="E551" s="239"/>
      <c r="F551" s="275" t="s">
        <v>556</v>
      </c>
      <c r="G551" s="276" t="s">
        <v>833</v>
      </c>
      <c r="H551" s="276" t="s">
        <v>834</v>
      </c>
      <c r="I551" s="276" t="s">
        <v>835</v>
      </c>
      <c r="J551" s="239"/>
      <c r="K551" s="239"/>
    </row>
    <row r="552" spans="1:14" ht="14.45" hidden="1" customHeight="1" x14ac:dyDescent="0.25">
      <c r="D552" s="288" t="s">
        <v>879</v>
      </c>
      <c r="E552" s="239"/>
      <c r="F552" s="245">
        <v>1</v>
      </c>
      <c r="G552" s="245">
        <v>12.5</v>
      </c>
      <c r="H552" s="245">
        <v>0.1</v>
      </c>
      <c r="I552" s="245">
        <v>0.36</v>
      </c>
      <c r="J552" s="277"/>
      <c r="K552" s="245">
        <f>((I552+H552/2)*G552)*0.2</f>
        <v>1.0250000000000001</v>
      </c>
    </row>
    <row r="553" spans="1:14" ht="20.45" hidden="1" customHeight="1" x14ac:dyDescent="0.25">
      <c r="D553" s="288" t="s">
        <v>876</v>
      </c>
      <c r="E553" s="239"/>
      <c r="F553" s="245">
        <v>1</v>
      </c>
      <c r="G553" s="245">
        <v>11.67</v>
      </c>
      <c r="H553" s="245">
        <v>0.36</v>
      </c>
      <c r="I553" s="245">
        <v>0.53</v>
      </c>
      <c r="J553" s="277"/>
      <c r="K553" s="245">
        <f t="shared" ref="K553:K556" si="29">((I553+H553/2)*G553)*0.2</f>
        <v>1.6571400000000001</v>
      </c>
    </row>
    <row r="554" spans="1:14" ht="20.45" hidden="1" customHeight="1" x14ac:dyDescent="0.25">
      <c r="D554" s="288" t="s">
        <v>880</v>
      </c>
      <c r="E554" s="239"/>
      <c r="F554" s="245">
        <v>1</v>
      </c>
      <c r="G554" s="245">
        <v>27.1</v>
      </c>
      <c r="H554" s="245">
        <v>0.53</v>
      </c>
      <c r="I554" s="245">
        <v>0.74</v>
      </c>
      <c r="J554" s="277"/>
      <c r="K554" s="245">
        <f t="shared" si="29"/>
        <v>5.4470999999999998</v>
      </c>
    </row>
    <row r="555" spans="1:14" ht="30.6" hidden="1" customHeight="1" x14ac:dyDescent="0.25">
      <c r="D555" s="288" t="s">
        <v>881</v>
      </c>
      <c r="E555" s="239"/>
      <c r="F555" s="245">
        <v>1</v>
      </c>
      <c r="G555" s="245">
        <v>33.9</v>
      </c>
      <c r="H555" s="245">
        <v>0.74</v>
      </c>
      <c r="I555" s="245">
        <v>0.61</v>
      </c>
      <c r="J555" s="277"/>
      <c r="K555" s="245">
        <f t="shared" si="29"/>
        <v>6.644400000000001</v>
      </c>
    </row>
    <row r="556" spans="1:14" ht="20.45" hidden="1" customHeight="1" x14ac:dyDescent="0.25">
      <c r="D556" s="288" t="s">
        <v>882</v>
      </c>
      <c r="E556" s="239"/>
      <c r="F556" s="245">
        <v>1</v>
      </c>
      <c r="G556" s="245">
        <v>12.4</v>
      </c>
      <c r="H556" s="245">
        <v>0.61</v>
      </c>
      <c r="I556" s="245">
        <v>0.38</v>
      </c>
      <c r="J556" s="277"/>
      <c r="K556" s="245">
        <f t="shared" si="29"/>
        <v>1.6988000000000003</v>
      </c>
    </row>
    <row r="559" spans="1:14" x14ac:dyDescent="0.25">
      <c r="G559" s="330"/>
    </row>
  </sheetData>
  <mergeCells count="290">
    <mergeCell ref="G507:I507"/>
    <mergeCell ref="G513:I513"/>
    <mergeCell ref="G450:I450"/>
    <mergeCell ref="G453:I453"/>
    <mergeCell ref="G456:I456"/>
    <mergeCell ref="G459:I459"/>
    <mergeCell ref="G462:I462"/>
    <mergeCell ref="G465:I465"/>
    <mergeCell ref="G468:I468"/>
    <mergeCell ref="G498:I498"/>
    <mergeCell ref="G501:I501"/>
    <mergeCell ref="G433:H433"/>
    <mergeCell ref="G434:H434"/>
    <mergeCell ref="G435:H435"/>
    <mergeCell ref="G436:H436"/>
    <mergeCell ref="G437:H437"/>
    <mergeCell ref="G438:H438"/>
    <mergeCell ref="G439:H439"/>
    <mergeCell ref="G440:H440"/>
    <mergeCell ref="G441:H441"/>
    <mergeCell ref="B10:B11"/>
    <mergeCell ref="C10:C11"/>
    <mergeCell ref="D10:D11"/>
    <mergeCell ref="E10:E11"/>
    <mergeCell ref="F10:F11"/>
    <mergeCell ref="G10:I10"/>
    <mergeCell ref="J10:N10"/>
    <mergeCell ref="G74:H74"/>
    <mergeCell ref="G75:H75"/>
    <mergeCell ref="G20:I20"/>
    <mergeCell ref="G22:I22"/>
    <mergeCell ref="F70:F71"/>
    <mergeCell ref="G70:I71"/>
    <mergeCell ref="G72:I72"/>
    <mergeCell ref="G73:H73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  <mergeCell ref="J8:M8"/>
    <mergeCell ref="G76:H76"/>
    <mergeCell ref="G77:H77"/>
    <mergeCell ref="G78:H78"/>
    <mergeCell ref="G79:H79"/>
    <mergeCell ref="G98:H98"/>
    <mergeCell ref="G99:H99"/>
    <mergeCell ref="G100:H100"/>
    <mergeCell ref="G101:H101"/>
    <mergeCell ref="G102:H102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103:H103"/>
    <mergeCell ref="G92:H92"/>
    <mergeCell ref="G93:H93"/>
    <mergeCell ref="G94:H94"/>
    <mergeCell ref="G95:H95"/>
    <mergeCell ref="G96:H96"/>
    <mergeCell ref="G97:H97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79:H379"/>
    <mergeCell ref="G380:H380"/>
    <mergeCell ref="G385:I385"/>
    <mergeCell ref="G390:I390"/>
    <mergeCell ref="G392:I392"/>
    <mergeCell ref="G394:I394"/>
    <mergeCell ref="G373:H373"/>
    <mergeCell ref="G374:H374"/>
    <mergeCell ref="G375:H375"/>
    <mergeCell ref="G376:H376"/>
    <mergeCell ref="G377:H377"/>
    <mergeCell ref="G378:H378"/>
    <mergeCell ref="G545:H545"/>
    <mergeCell ref="G549:I549"/>
    <mergeCell ref="G387:I387"/>
    <mergeCell ref="G405:I405"/>
    <mergeCell ref="G408:I408"/>
    <mergeCell ref="G410:I410"/>
    <mergeCell ref="G412:I412"/>
    <mergeCell ref="G415:I415"/>
    <mergeCell ref="G426:I426"/>
    <mergeCell ref="G543:I543"/>
    <mergeCell ref="G396:I396"/>
    <mergeCell ref="G398:I398"/>
    <mergeCell ref="G400:I400"/>
    <mergeCell ref="G402:I402"/>
    <mergeCell ref="G404:I404"/>
    <mergeCell ref="G406:I406"/>
    <mergeCell ref="G418:I418"/>
    <mergeCell ref="G422:I422"/>
    <mergeCell ref="G442:H442"/>
    <mergeCell ref="G443:H443"/>
    <mergeCell ref="G444:H444"/>
    <mergeCell ref="G445:H445"/>
    <mergeCell ref="G446:H446"/>
    <mergeCell ref="G447:H447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ignoredErrors>
    <ignoredError sqref="K397:K401 K407 K409:K411 K403" formula="1"/>
    <ignoredError sqref="B420 B431" numberStoredAsText="1"/>
  </ignoredErrors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U435"/>
  <sheetViews>
    <sheetView topLeftCell="A12" zoomScaleNormal="100" workbookViewId="0">
      <selection activeCell="A386" sqref="A386:XFD386"/>
    </sheetView>
  </sheetViews>
  <sheetFormatPr defaultRowHeight="15" x14ac:dyDescent="0.25"/>
  <cols>
    <col min="2" max="2" width="6.28515625" customWidth="1"/>
    <col min="3" max="3" width="10.7109375" customWidth="1"/>
    <col min="4" max="4" width="45.140625" customWidth="1"/>
    <col min="7" max="7" width="14.7109375" customWidth="1"/>
    <col min="8" max="8" width="14.5703125" customWidth="1"/>
    <col min="9" max="9" width="21.7109375" customWidth="1"/>
    <col min="10" max="10" width="15.7109375" customWidth="1"/>
    <col min="11" max="11" width="13.28515625" customWidth="1"/>
    <col min="12" max="12" width="8.85546875" customWidth="1"/>
    <col min="13" max="13" width="13.5703125" bestFit="1" customWidth="1"/>
    <col min="14" max="14" width="17.28515625" bestFit="1" customWidth="1"/>
  </cols>
  <sheetData>
    <row r="1" spans="2:14" ht="15.75" thickBot="1" x14ac:dyDescent="0.3"/>
    <row r="2" spans="2:14" ht="21" thickBot="1" x14ac:dyDescent="0.3">
      <c r="B2" s="483" t="s">
        <v>956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5"/>
    </row>
    <row r="3" spans="2:14" x14ac:dyDescent="0.25">
      <c r="B3" s="11" t="s">
        <v>511</v>
      </c>
      <c r="C3" s="12"/>
      <c r="D3" s="12"/>
      <c r="E3" s="12"/>
      <c r="F3" s="12"/>
      <c r="G3" s="12"/>
      <c r="H3" s="13"/>
      <c r="I3" s="13" t="s">
        <v>512</v>
      </c>
      <c r="J3" s="15" t="s">
        <v>514</v>
      </c>
      <c r="K3" s="15"/>
      <c r="L3" s="15"/>
      <c r="M3" s="15"/>
      <c r="N3" s="486"/>
    </row>
    <row r="4" spans="2:14" ht="16.5" x14ac:dyDescent="0.25">
      <c r="B4" s="489" t="s">
        <v>542</v>
      </c>
      <c r="C4" s="490"/>
      <c r="D4" s="490"/>
      <c r="E4" s="490"/>
      <c r="F4" s="490"/>
      <c r="G4" s="490"/>
      <c r="H4" s="490"/>
      <c r="I4" s="16" t="s">
        <v>544</v>
      </c>
      <c r="J4" s="491">
        <v>1240378.43</v>
      </c>
      <c r="K4" s="492"/>
      <c r="L4" s="492"/>
      <c r="M4" s="492"/>
      <c r="N4" s="487"/>
    </row>
    <row r="5" spans="2:14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 t="s">
        <v>517</v>
      </c>
      <c r="J5" s="21"/>
      <c r="K5" s="21"/>
      <c r="L5" s="21"/>
      <c r="M5" s="21"/>
      <c r="N5" s="487"/>
    </row>
    <row r="6" spans="2:14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5" t="s">
        <v>592</v>
      </c>
      <c r="J6" s="496"/>
      <c r="K6" s="496"/>
      <c r="L6" s="496"/>
      <c r="M6" s="496"/>
      <c r="N6" s="487"/>
    </row>
    <row r="7" spans="2:14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1" t="s">
        <v>524</v>
      </c>
      <c r="K7" s="21"/>
      <c r="L7" s="21"/>
      <c r="M7" s="21"/>
      <c r="N7" s="487"/>
    </row>
    <row r="8" spans="2:14" ht="17.25" thickBot="1" x14ac:dyDescent="0.3">
      <c r="B8" s="497">
        <v>45453</v>
      </c>
      <c r="C8" s="498"/>
      <c r="D8" s="23" t="s">
        <v>957</v>
      </c>
      <c r="E8" s="499">
        <f>'BOLETIM DE MEDIÇÃO 12'!AB209</f>
        <v>70347.038280000008</v>
      </c>
      <c r="F8" s="500"/>
      <c r="G8" s="501"/>
      <c r="H8" s="502">
        <f>'BOLETIM DE MEDIÇÃO 05'!H8</f>
        <v>274592.67562904983</v>
      </c>
      <c r="I8" s="503"/>
      <c r="J8" s="504" t="s">
        <v>955</v>
      </c>
      <c r="K8" s="505"/>
      <c r="L8" s="505"/>
      <c r="M8" s="505"/>
      <c r="N8" s="488"/>
    </row>
    <row r="9" spans="2:14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8"/>
      <c r="K9" s="28"/>
      <c r="L9" s="28"/>
      <c r="M9" s="28"/>
      <c r="N9" s="28"/>
    </row>
    <row r="10" spans="2:14" x14ac:dyDescent="0.25">
      <c r="B10" s="477" t="s">
        <v>526</v>
      </c>
      <c r="C10" s="477" t="s">
        <v>527</v>
      </c>
      <c r="D10" s="479" t="s">
        <v>528</v>
      </c>
      <c r="E10" s="477" t="s">
        <v>529</v>
      </c>
      <c r="F10" s="481" t="s">
        <v>556</v>
      </c>
      <c r="G10" s="472" t="s">
        <v>557</v>
      </c>
      <c r="H10" s="473"/>
      <c r="I10" s="473"/>
      <c r="J10" s="474" t="s">
        <v>594</v>
      </c>
      <c r="K10" s="475"/>
      <c r="L10" s="475"/>
      <c r="M10" s="475"/>
      <c r="N10" s="476"/>
    </row>
    <row r="11" spans="2:14" ht="18" x14ac:dyDescent="0.25">
      <c r="B11" s="478"/>
      <c r="C11" s="478"/>
      <c r="D11" s="480"/>
      <c r="E11" s="478"/>
      <c r="F11" s="482"/>
      <c r="G11" s="146" t="s">
        <v>558</v>
      </c>
      <c r="H11" s="148" t="s">
        <v>559</v>
      </c>
      <c r="I11" s="150" t="s">
        <v>560</v>
      </c>
      <c r="J11" s="35" t="s">
        <v>561</v>
      </c>
      <c r="K11" s="36" t="s">
        <v>562</v>
      </c>
      <c r="L11" s="36" t="s">
        <v>563</v>
      </c>
      <c r="M11" s="37" t="s">
        <v>564</v>
      </c>
      <c r="N11" s="39" t="s">
        <v>541</v>
      </c>
    </row>
    <row r="12" spans="2:14" ht="14.45" customHeight="1" x14ac:dyDescent="0.25">
      <c r="B12" s="173">
        <v>1</v>
      </c>
      <c r="C12" s="174" t="s">
        <v>10</v>
      </c>
      <c r="D12" s="170"/>
      <c r="E12" s="41"/>
      <c r="F12" s="175"/>
      <c r="G12" s="176"/>
      <c r="H12" s="177"/>
      <c r="I12" s="178"/>
      <c r="J12" s="179"/>
      <c r="K12" s="180"/>
      <c r="L12" s="180"/>
      <c r="M12" s="180"/>
      <c r="N12" s="181"/>
    </row>
    <row r="13" spans="2:14" hidden="1" x14ac:dyDescent="0.25">
      <c r="B13" s="173">
        <v>1.1000000000000001</v>
      </c>
      <c r="C13" s="174" t="s">
        <v>12</v>
      </c>
      <c r="D13" s="170"/>
      <c r="E13" s="41"/>
      <c r="F13" s="175"/>
      <c r="G13" s="182"/>
      <c r="H13" s="183"/>
      <c r="I13" s="184"/>
      <c r="J13" s="179"/>
      <c r="K13" s="180"/>
      <c r="L13" s="180"/>
      <c r="M13" s="180"/>
      <c r="N13" s="181"/>
    </row>
    <row r="14" spans="2:14" ht="22.5" hidden="1" x14ac:dyDescent="0.25">
      <c r="B14" s="49" t="s">
        <v>13</v>
      </c>
      <c r="C14" s="58" t="s">
        <v>14</v>
      </c>
      <c r="D14" s="52" t="s">
        <v>15</v>
      </c>
      <c r="E14" s="64" t="s">
        <v>17</v>
      </c>
      <c r="F14" s="94">
        <v>1</v>
      </c>
      <c r="G14" s="104">
        <v>2</v>
      </c>
      <c r="H14" s="92"/>
      <c r="I14" s="105">
        <v>3</v>
      </c>
      <c r="J14" s="99">
        <f>'BOLETIM DE MEDIÇÃO 05'!O14-'MEMORIAL DE CALCULO 06'!K14</f>
        <v>0</v>
      </c>
      <c r="K14" s="81">
        <f>G14*I14*F14</f>
        <v>6</v>
      </c>
      <c r="L14" s="82">
        <f>J14+K14</f>
        <v>6</v>
      </c>
      <c r="M14" s="82">
        <f>'BOLETIM DE MEDIÇÃO 05'!G14</f>
        <v>6</v>
      </c>
      <c r="N14" s="86">
        <f>M14-L14</f>
        <v>0</v>
      </c>
    </row>
    <row r="15" spans="2:14" ht="22.5" hidden="1" x14ac:dyDescent="0.25">
      <c r="B15" s="49" t="s">
        <v>18</v>
      </c>
      <c r="C15" s="58">
        <v>93209</v>
      </c>
      <c r="D15" s="52" t="s">
        <v>20</v>
      </c>
      <c r="E15" s="64" t="s">
        <v>17</v>
      </c>
      <c r="F15" s="94">
        <v>1</v>
      </c>
      <c r="G15" s="104">
        <v>1</v>
      </c>
      <c r="H15" s="92">
        <v>2.75</v>
      </c>
      <c r="I15" s="105"/>
      <c r="J15" s="99">
        <f>'BOLETIM DE MEDIÇÃO 05'!O15-'MEMORIAL DE CALCULO 06'!K15</f>
        <v>2.25</v>
      </c>
      <c r="K15" s="81">
        <f>F15*G15*H15</f>
        <v>2.75</v>
      </c>
      <c r="L15" s="82">
        <f t="shared" ref="L15:L410" si="0">J15+K15</f>
        <v>5</v>
      </c>
      <c r="M15" s="82">
        <f>'BOLETIM DE MEDIÇÃO 05'!G15</f>
        <v>5</v>
      </c>
      <c r="N15" s="86">
        <f t="shared" ref="N15:N410" si="1">M15-L15</f>
        <v>0</v>
      </c>
    </row>
    <row r="16" spans="2:14" ht="33.75" hidden="1" x14ac:dyDescent="0.25">
      <c r="B16" s="49" t="s">
        <v>22</v>
      </c>
      <c r="C16" s="58">
        <v>93206</v>
      </c>
      <c r="D16" s="52" t="s">
        <v>23</v>
      </c>
      <c r="E16" s="64" t="s">
        <v>17</v>
      </c>
      <c r="F16" s="94">
        <v>1</v>
      </c>
      <c r="G16" s="104">
        <v>1</v>
      </c>
      <c r="H16" s="92">
        <v>2.75</v>
      </c>
      <c r="I16" s="105"/>
      <c r="J16" s="99">
        <f>'BOLETIM DE MEDIÇÃO 05'!O16-'MEMORIAL DE CALCULO 06'!K16</f>
        <v>2.25</v>
      </c>
      <c r="K16" s="81">
        <f>F16*G16*H16</f>
        <v>2.75</v>
      </c>
      <c r="L16" s="82">
        <f t="shared" si="0"/>
        <v>5</v>
      </c>
      <c r="M16" s="82">
        <f>'BOLETIM DE MEDIÇÃO 05'!G16</f>
        <v>5</v>
      </c>
      <c r="N16" s="86">
        <f t="shared" si="1"/>
        <v>0</v>
      </c>
    </row>
    <row r="17" spans="2:14" ht="22.5" hidden="1" x14ac:dyDescent="0.25">
      <c r="B17" s="49" t="s">
        <v>24</v>
      </c>
      <c r="C17" s="58" t="s">
        <v>25</v>
      </c>
      <c r="D17" s="52" t="s">
        <v>26</v>
      </c>
      <c r="E17" s="64" t="s">
        <v>17</v>
      </c>
      <c r="F17" s="94"/>
      <c r="G17" s="104"/>
      <c r="H17" s="92"/>
      <c r="I17" s="105"/>
      <c r="J17" s="99">
        <f>'BOLETIM DE MEDIÇÃO 05'!O17-'MEMORIAL DE CALCULO 06'!K17</f>
        <v>258.39999999999998</v>
      </c>
      <c r="K17" s="81">
        <f>K18</f>
        <v>19</v>
      </c>
      <c r="L17" s="82">
        <f t="shared" si="0"/>
        <v>277.39999999999998</v>
      </c>
      <c r="M17" s="82">
        <f>'BOLETIM DE MEDIÇÃO 05'!G17</f>
        <v>277.39999999999998</v>
      </c>
      <c r="N17" s="86">
        <f t="shared" si="1"/>
        <v>0</v>
      </c>
    </row>
    <row r="18" spans="2:14" hidden="1" x14ac:dyDescent="0.25">
      <c r="B18" s="49"/>
      <c r="C18" s="58"/>
      <c r="D18" s="143" t="s">
        <v>568</v>
      </c>
      <c r="E18" s="64"/>
      <c r="F18" s="94">
        <v>1</v>
      </c>
      <c r="G18" s="104">
        <v>9.5</v>
      </c>
      <c r="H18" s="92"/>
      <c r="I18" s="151">
        <v>2</v>
      </c>
      <c r="J18" s="104"/>
      <c r="K18" s="82">
        <f>F18*(G18*I18)</f>
        <v>19</v>
      </c>
      <c r="L18" s="82"/>
      <c r="M18" s="82"/>
      <c r="N18" s="86"/>
    </row>
    <row r="19" spans="2:14" ht="22.5" hidden="1" x14ac:dyDescent="0.25">
      <c r="B19" s="49" t="s">
        <v>27</v>
      </c>
      <c r="C19" s="58">
        <v>98524</v>
      </c>
      <c r="D19" s="52" t="s">
        <v>28</v>
      </c>
      <c r="E19" s="64" t="s">
        <v>17</v>
      </c>
      <c r="F19" s="94"/>
      <c r="G19" s="104"/>
      <c r="H19" s="92"/>
      <c r="I19" s="105"/>
      <c r="J19" s="99">
        <f>'BOLETIM DE MEDIÇÃO 05'!O18-'MEMORIAL DE CALCULO 06'!K19</f>
        <v>0</v>
      </c>
      <c r="K19" s="81">
        <f>K20</f>
        <v>0</v>
      </c>
      <c r="L19" s="82">
        <f t="shared" si="0"/>
        <v>0</v>
      </c>
      <c r="M19" s="82">
        <f>'BOLETIM DE MEDIÇÃO 05'!G18</f>
        <v>1430.2</v>
      </c>
      <c r="N19" s="86">
        <f t="shared" si="1"/>
        <v>1430.2</v>
      </c>
    </row>
    <row r="20" spans="2:14" hidden="1" x14ac:dyDescent="0.25">
      <c r="B20" s="49"/>
      <c r="C20" s="58"/>
      <c r="D20" s="143" t="s">
        <v>599</v>
      </c>
      <c r="E20" s="64"/>
      <c r="F20" s="94">
        <v>0</v>
      </c>
      <c r="G20" s="506">
        <v>1430.2</v>
      </c>
      <c r="H20" s="507"/>
      <c r="I20" s="508"/>
      <c r="J20" s="99"/>
      <c r="K20" s="82">
        <f>F20*G20</f>
        <v>0</v>
      </c>
      <c r="L20" s="82"/>
      <c r="M20" s="82"/>
      <c r="N20" s="86"/>
    </row>
    <row r="21" spans="2:14" ht="22.5" hidden="1" x14ac:dyDescent="0.25">
      <c r="B21" s="49" t="s">
        <v>29</v>
      </c>
      <c r="C21" s="57">
        <v>100575</v>
      </c>
      <c r="D21" s="52" t="s">
        <v>31</v>
      </c>
      <c r="E21" s="64" t="s">
        <v>17</v>
      </c>
      <c r="F21" s="94"/>
      <c r="G21" s="104"/>
      <c r="H21" s="92"/>
      <c r="I21" s="105"/>
      <c r="J21" s="99">
        <f>'BOLETIM DE MEDIÇÃO 05'!O19-'MEMORIAL DE CALCULO 06'!K21</f>
        <v>0</v>
      </c>
      <c r="K21" s="81">
        <f>K22</f>
        <v>0</v>
      </c>
      <c r="L21" s="82">
        <f t="shared" si="0"/>
        <v>0</v>
      </c>
      <c r="M21" s="82">
        <f>'BOLETIM DE MEDIÇÃO 05'!G19</f>
        <v>1430.2</v>
      </c>
      <c r="N21" s="86">
        <f t="shared" si="1"/>
        <v>1430.2</v>
      </c>
    </row>
    <row r="22" spans="2:14" hidden="1" x14ac:dyDescent="0.25">
      <c r="B22" s="49"/>
      <c r="C22" s="57"/>
      <c r="D22" s="143" t="s">
        <v>599</v>
      </c>
      <c r="E22" s="64"/>
      <c r="F22" s="94">
        <v>0</v>
      </c>
      <c r="G22" s="506">
        <v>1430.2</v>
      </c>
      <c r="H22" s="507"/>
      <c r="I22" s="508"/>
      <c r="J22" s="99"/>
      <c r="K22" s="82">
        <f t="shared" ref="K22" si="2">F22*G22</f>
        <v>0</v>
      </c>
      <c r="L22" s="82"/>
      <c r="M22" s="82"/>
      <c r="N22" s="86"/>
    </row>
    <row r="23" spans="2:14" ht="14.45" hidden="1" customHeight="1" x14ac:dyDescent="0.25">
      <c r="B23" s="56">
        <v>1.2</v>
      </c>
      <c r="C23" s="60" t="s">
        <v>33</v>
      </c>
      <c r="D23" s="52"/>
      <c r="E23" s="64"/>
      <c r="F23" s="94"/>
      <c r="G23" s="104"/>
      <c r="H23" s="92"/>
      <c r="I23" s="105"/>
      <c r="J23" s="99"/>
      <c r="K23" s="81"/>
      <c r="L23" s="82"/>
      <c r="M23" s="82"/>
      <c r="N23" s="86"/>
    </row>
    <row r="24" spans="2:14" ht="33.75" hidden="1" x14ac:dyDescent="0.25">
      <c r="B24" s="49" t="s">
        <v>34</v>
      </c>
      <c r="C24" s="57">
        <v>99059</v>
      </c>
      <c r="D24" s="52" t="s">
        <v>36</v>
      </c>
      <c r="E24" s="64" t="s">
        <v>37</v>
      </c>
      <c r="F24" s="94">
        <v>1</v>
      </c>
      <c r="G24" s="104">
        <v>137.5</v>
      </c>
      <c r="H24" s="92"/>
      <c r="I24" s="105"/>
      <c r="J24" s="99">
        <f>'BOLETIM DE MEDIÇÃO 05'!O21-'MEMORIAL DE CALCULO 06'!K24</f>
        <v>0</v>
      </c>
      <c r="K24" s="81">
        <f>F24*G24</f>
        <v>137.5</v>
      </c>
      <c r="L24" s="82">
        <f t="shared" si="0"/>
        <v>137.5</v>
      </c>
      <c r="M24" s="82">
        <f>'BOLETIM DE MEDIÇÃO 05'!G21</f>
        <v>137.5</v>
      </c>
      <c r="N24" s="86">
        <f t="shared" si="1"/>
        <v>0</v>
      </c>
    </row>
    <row r="25" spans="2:14" ht="22.5" hidden="1" x14ac:dyDescent="0.25">
      <c r="B25" s="55" t="s">
        <v>38</v>
      </c>
      <c r="C25" s="57">
        <v>93358</v>
      </c>
      <c r="D25" s="52" t="s">
        <v>40</v>
      </c>
      <c r="E25" s="64" t="s">
        <v>41</v>
      </c>
      <c r="F25" s="94"/>
      <c r="G25" s="104"/>
      <c r="H25" s="92"/>
      <c r="I25" s="105"/>
      <c r="J25" s="99">
        <f>'BOLETIM DE MEDIÇÃO 05'!O22-'MEMORIAL DE CALCULO 06'!K25</f>
        <v>71.144620000000003</v>
      </c>
      <c r="K25" s="81">
        <f>F34*(G34*H34*I34)</f>
        <v>14.04</v>
      </c>
      <c r="L25" s="82">
        <f>J25+K25</f>
        <v>85.184619999999995</v>
      </c>
      <c r="M25" s="82">
        <f>'BOLETIM DE MEDIÇÃO 05'!G22</f>
        <v>89.01</v>
      </c>
      <c r="N25" s="86">
        <f t="shared" si="1"/>
        <v>3.8253800000000098</v>
      </c>
    </row>
    <row r="26" spans="2:14" hidden="1" x14ac:dyDescent="0.25">
      <c r="B26" s="55"/>
      <c r="C26" s="57"/>
      <c r="D26" s="152" t="s">
        <v>588</v>
      </c>
      <c r="E26" s="64"/>
      <c r="F26" s="94"/>
      <c r="G26" s="104"/>
      <c r="H26" s="92"/>
      <c r="I26" s="105"/>
      <c r="J26" s="99"/>
      <c r="K26" s="81"/>
      <c r="L26" s="82"/>
      <c r="M26" s="82"/>
      <c r="N26" s="86"/>
    </row>
    <row r="27" spans="2:14" ht="33.75" hidden="1" x14ac:dyDescent="0.25">
      <c r="B27" s="55"/>
      <c r="C27" s="57"/>
      <c r="D27" s="144" t="s">
        <v>569</v>
      </c>
      <c r="E27" s="64"/>
      <c r="F27" s="94">
        <v>0</v>
      </c>
      <c r="G27" s="104">
        <v>0.6</v>
      </c>
      <c r="H27" s="92">
        <v>0.7</v>
      </c>
      <c r="I27" s="105">
        <v>1.85</v>
      </c>
      <c r="J27" s="99"/>
      <c r="K27" s="82">
        <f>F27*(G27*H27*I27)</f>
        <v>0</v>
      </c>
      <c r="L27" s="82"/>
      <c r="M27" s="82"/>
      <c r="N27" s="86"/>
    </row>
    <row r="28" spans="2:14" ht="45" hidden="1" x14ac:dyDescent="0.25">
      <c r="B28" s="55"/>
      <c r="C28" s="57"/>
      <c r="D28" s="144" t="s">
        <v>570</v>
      </c>
      <c r="E28" s="64"/>
      <c r="F28" s="94">
        <v>0</v>
      </c>
      <c r="G28" s="104">
        <v>0.6</v>
      </c>
      <c r="H28" s="92">
        <v>0.7</v>
      </c>
      <c r="I28" s="105">
        <v>1.85</v>
      </c>
      <c r="J28" s="99"/>
      <c r="K28" s="82">
        <f t="shared" ref="K28:K34" si="3">F28*(G28*H28*I28)</f>
        <v>0</v>
      </c>
      <c r="L28" s="82"/>
      <c r="M28" s="82"/>
      <c r="N28" s="86"/>
    </row>
    <row r="29" spans="2:14" hidden="1" x14ac:dyDescent="0.25">
      <c r="B29" s="55"/>
      <c r="C29" s="57"/>
      <c r="D29" s="144" t="s">
        <v>571</v>
      </c>
      <c r="E29" s="64"/>
      <c r="F29" s="94">
        <v>0</v>
      </c>
      <c r="G29" s="104">
        <v>0.6</v>
      </c>
      <c r="H29" s="92">
        <v>0.8</v>
      </c>
      <c r="I29" s="105">
        <v>1.85</v>
      </c>
      <c r="J29" s="99"/>
      <c r="K29" s="82">
        <f t="shared" si="3"/>
        <v>0</v>
      </c>
      <c r="L29" s="82"/>
      <c r="M29" s="82"/>
      <c r="N29" s="86"/>
    </row>
    <row r="30" spans="2:14" hidden="1" x14ac:dyDescent="0.25">
      <c r="B30" s="55"/>
      <c r="C30" s="57"/>
      <c r="D30" s="144" t="s">
        <v>572</v>
      </c>
      <c r="E30" s="64"/>
      <c r="F30" s="94">
        <v>0</v>
      </c>
      <c r="G30" s="104">
        <v>0.9</v>
      </c>
      <c r="H30" s="92">
        <v>0.9</v>
      </c>
      <c r="I30" s="105">
        <v>1.85</v>
      </c>
      <c r="J30" s="99"/>
      <c r="K30" s="82">
        <f t="shared" si="3"/>
        <v>0</v>
      </c>
      <c r="L30" s="82"/>
      <c r="M30" s="82"/>
      <c r="N30" s="86"/>
    </row>
    <row r="31" spans="2:14" hidden="1" x14ac:dyDescent="0.25">
      <c r="B31" s="55"/>
      <c r="C31" s="57"/>
      <c r="D31" s="144" t="s">
        <v>573</v>
      </c>
      <c r="E31" s="64"/>
      <c r="F31" s="94">
        <v>0</v>
      </c>
      <c r="G31" s="104">
        <v>0.65</v>
      </c>
      <c r="H31" s="92">
        <v>0.65</v>
      </c>
      <c r="I31" s="105">
        <v>1.85</v>
      </c>
      <c r="J31" s="99"/>
      <c r="K31" s="82">
        <f t="shared" si="3"/>
        <v>0</v>
      </c>
      <c r="L31" s="82"/>
      <c r="M31" s="82"/>
      <c r="N31" s="86"/>
    </row>
    <row r="32" spans="2:14" hidden="1" x14ac:dyDescent="0.25">
      <c r="B32" s="55"/>
      <c r="C32" s="57"/>
      <c r="D32" s="144" t="s">
        <v>574</v>
      </c>
      <c r="E32" s="64"/>
      <c r="F32" s="94">
        <v>0</v>
      </c>
      <c r="G32" s="104">
        <v>0.65</v>
      </c>
      <c r="H32" s="92">
        <v>0.75</v>
      </c>
      <c r="I32" s="105">
        <v>1.85</v>
      </c>
      <c r="J32" s="99"/>
      <c r="K32" s="82">
        <f t="shared" si="3"/>
        <v>0</v>
      </c>
      <c r="L32" s="82"/>
      <c r="M32" s="82"/>
      <c r="N32" s="86"/>
    </row>
    <row r="33" spans="2:14" hidden="1" x14ac:dyDescent="0.25">
      <c r="B33" s="55"/>
      <c r="C33" s="57"/>
      <c r="D33" s="144" t="s">
        <v>575</v>
      </c>
      <c r="E33" s="64"/>
      <c r="F33" s="94">
        <v>0</v>
      </c>
      <c r="G33" s="104">
        <v>0.55000000000000004</v>
      </c>
      <c r="H33" s="92">
        <v>0.95</v>
      </c>
      <c r="I33" s="105">
        <v>1.85</v>
      </c>
      <c r="J33" s="99"/>
      <c r="K33" s="82">
        <f t="shared" si="3"/>
        <v>0</v>
      </c>
      <c r="L33" s="82"/>
      <c r="M33" s="82"/>
      <c r="N33" s="86"/>
    </row>
    <row r="34" spans="2:14" hidden="1" x14ac:dyDescent="0.25">
      <c r="B34" s="55"/>
      <c r="C34" s="57"/>
      <c r="D34" s="153" t="s">
        <v>600</v>
      </c>
      <c r="E34" s="64"/>
      <c r="F34" s="94">
        <v>1</v>
      </c>
      <c r="G34" s="106">
        <v>312</v>
      </c>
      <c r="H34" s="92">
        <v>0.15</v>
      </c>
      <c r="I34" s="105">
        <v>0.3</v>
      </c>
      <c r="J34" s="99"/>
      <c r="K34" s="82">
        <f t="shared" si="3"/>
        <v>14.04</v>
      </c>
      <c r="L34" s="82"/>
      <c r="M34" s="82"/>
      <c r="N34" s="86"/>
    </row>
    <row r="35" spans="2:14" hidden="1" x14ac:dyDescent="0.25">
      <c r="B35" s="55"/>
      <c r="C35" s="57"/>
      <c r="D35" s="144" t="s">
        <v>601</v>
      </c>
      <c r="E35" s="64"/>
      <c r="F35" s="94">
        <v>1</v>
      </c>
      <c r="G35" s="104">
        <v>4.758</v>
      </c>
      <c r="H35" s="92">
        <v>0.15</v>
      </c>
      <c r="I35" s="105">
        <v>0.3</v>
      </c>
      <c r="J35" s="99"/>
      <c r="K35" s="82">
        <f>F35*G35*H35*I35</f>
        <v>0.21410999999999999</v>
      </c>
      <c r="L35" s="82"/>
      <c r="M35" s="82"/>
      <c r="N35" s="86"/>
    </row>
    <row r="36" spans="2:14" hidden="1" x14ac:dyDescent="0.25">
      <c r="B36" s="55"/>
      <c r="C36" s="57"/>
      <c r="D36" s="144" t="s">
        <v>602</v>
      </c>
      <c r="E36" s="64"/>
      <c r="F36" s="94">
        <v>1</v>
      </c>
      <c r="G36" s="104">
        <v>3.097</v>
      </c>
      <c r="H36" s="92">
        <v>0.15</v>
      </c>
      <c r="I36" s="105">
        <v>0.3</v>
      </c>
      <c r="J36" s="99"/>
      <c r="K36" s="82">
        <f t="shared" ref="K36:K67" si="4">F36*G36*H36*I36</f>
        <v>0.13936499999999999</v>
      </c>
      <c r="L36" s="82"/>
      <c r="M36" s="82"/>
      <c r="N36" s="86"/>
    </row>
    <row r="37" spans="2:14" hidden="1" x14ac:dyDescent="0.25">
      <c r="B37" s="55"/>
      <c r="C37" s="57"/>
      <c r="D37" s="144" t="s">
        <v>603</v>
      </c>
      <c r="E37" s="64"/>
      <c r="F37" s="94">
        <v>1</v>
      </c>
      <c r="G37" s="104">
        <v>3.0470000000000002</v>
      </c>
      <c r="H37" s="92">
        <v>0.15</v>
      </c>
      <c r="I37" s="105">
        <v>0.3</v>
      </c>
      <c r="J37" s="99"/>
      <c r="K37" s="82">
        <f t="shared" si="4"/>
        <v>0.13711499999999999</v>
      </c>
      <c r="L37" s="82"/>
      <c r="M37" s="82"/>
      <c r="N37" s="86"/>
    </row>
    <row r="38" spans="2:14" hidden="1" x14ac:dyDescent="0.25">
      <c r="B38" s="55"/>
      <c r="C38" s="57"/>
      <c r="D38" s="144" t="s">
        <v>604</v>
      </c>
      <c r="E38" s="64"/>
      <c r="F38" s="94">
        <v>1</v>
      </c>
      <c r="G38" s="104">
        <v>5.109</v>
      </c>
      <c r="H38" s="92">
        <v>0.15</v>
      </c>
      <c r="I38" s="105">
        <v>0.3</v>
      </c>
      <c r="J38" s="99"/>
      <c r="K38" s="82">
        <f t="shared" si="4"/>
        <v>0.22990499999999997</v>
      </c>
      <c r="L38" s="82"/>
      <c r="M38" s="82"/>
      <c r="N38" s="86"/>
    </row>
    <row r="39" spans="2:14" hidden="1" x14ac:dyDescent="0.25">
      <c r="B39" s="55"/>
      <c r="C39" s="57"/>
      <c r="D39" s="144" t="s">
        <v>605</v>
      </c>
      <c r="E39" s="64"/>
      <c r="F39" s="94">
        <v>1</v>
      </c>
      <c r="G39" s="104">
        <v>2.5640000000000001</v>
      </c>
      <c r="H39" s="92">
        <v>0.15</v>
      </c>
      <c r="I39" s="105">
        <v>0.3</v>
      </c>
      <c r="J39" s="99"/>
      <c r="K39" s="82">
        <f t="shared" si="4"/>
        <v>0.11538</v>
      </c>
      <c r="L39" s="82"/>
      <c r="M39" s="82"/>
      <c r="N39" s="86"/>
    </row>
    <row r="40" spans="2:14" hidden="1" x14ac:dyDescent="0.25">
      <c r="B40" s="55"/>
      <c r="C40" s="57"/>
      <c r="D40" s="144" t="s">
        <v>606</v>
      </c>
      <c r="E40" s="64"/>
      <c r="F40" s="94">
        <v>1</v>
      </c>
      <c r="G40" s="104">
        <v>1.6779999999999999</v>
      </c>
      <c r="H40" s="92">
        <v>0.15</v>
      </c>
      <c r="I40" s="105">
        <v>0.3</v>
      </c>
      <c r="J40" s="99"/>
      <c r="K40" s="82">
        <f t="shared" si="4"/>
        <v>7.5509999999999994E-2</v>
      </c>
      <c r="L40" s="82"/>
      <c r="M40" s="82"/>
      <c r="N40" s="86"/>
    </row>
    <row r="41" spans="2:14" hidden="1" x14ac:dyDescent="0.25">
      <c r="B41" s="55"/>
      <c r="C41" s="57"/>
      <c r="D41" s="144" t="s">
        <v>607</v>
      </c>
      <c r="E41" s="64"/>
      <c r="F41" s="94">
        <v>1</v>
      </c>
      <c r="G41" s="104">
        <v>6.5330000000000004</v>
      </c>
      <c r="H41" s="92">
        <v>0.15</v>
      </c>
      <c r="I41" s="105">
        <v>0.3</v>
      </c>
      <c r="J41" s="99"/>
      <c r="K41" s="82">
        <f t="shared" si="4"/>
        <v>0.293985</v>
      </c>
      <c r="L41" s="82"/>
      <c r="M41" s="82"/>
      <c r="N41" s="86"/>
    </row>
    <row r="42" spans="2:14" hidden="1" x14ac:dyDescent="0.25">
      <c r="B42" s="55"/>
      <c r="C42" s="57"/>
      <c r="D42" s="144" t="s">
        <v>755</v>
      </c>
      <c r="E42" s="64"/>
      <c r="F42" s="94">
        <v>1</v>
      </c>
      <c r="G42" s="104">
        <v>15.175000000000001</v>
      </c>
      <c r="H42" s="92">
        <v>0.15</v>
      </c>
      <c r="I42" s="105">
        <v>0.3</v>
      </c>
      <c r="J42" s="82"/>
      <c r="K42" s="99">
        <f t="shared" si="4"/>
        <v>0.68287500000000001</v>
      </c>
      <c r="L42" s="82"/>
      <c r="M42" s="82"/>
      <c r="N42" s="86"/>
    </row>
    <row r="43" spans="2:14" hidden="1" x14ac:dyDescent="0.25">
      <c r="B43" s="55"/>
      <c r="C43" s="57"/>
      <c r="D43" s="144" t="s">
        <v>756</v>
      </c>
      <c r="E43" s="64"/>
      <c r="F43" s="94">
        <v>1</v>
      </c>
      <c r="G43" s="104">
        <v>11</v>
      </c>
      <c r="H43" s="92">
        <v>0.15</v>
      </c>
      <c r="I43" s="105">
        <v>0.3</v>
      </c>
      <c r="J43" s="82"/>
      <c r="K43" s="99">
        <f t="shared" si="4"/>
        <v>0.49499999999999994</v>
      </c>
      <c r="L43" s="82"/>
      <c r="M43" s="82"/>
      <c r="N43" s="86"/>
    </row>
    <row r="44" spans="2:14" hidden="1" x14ac:dyDescent="0.25">
      <c r="B44" s="55"/>
      <c r="C44" s="57"/>
      <c r="D44" s="144" t="s">
        <v>757</v>
      </c>
      <c r="E44" s="64"/>
      <c r="F44" s="94">
        <v>1</v>
      </c>
      <c r="G44" s="104">
        <v>1.9</v>
      </c>
      <c r="H44" s="92">
        <v>0.15</v>
      </c>
      <c r="I44" s="105">
        <v>0.3</v>
      </c>
      <c r="J44" s="82"/>
      <c r="K44" s="99">
        <f t="shared" si="4"/>
        <v>8.5499999999999993E-2</v>
      </c>
      <c r="L44" s="82"/>
      <c r="M44" s="82"/>
      <c r="N44" s="86"/>
    </row>
    <row r="45" spans="2:14" hidden="1" x14ac:dyDescent="0.25">
      <c r="B45" s="55"/>
      <c r="C45" s="57"/>
      <c r="D45" s="144" t="s">
        <v>758</v>
      </c>
      <c r="E45" s="64"/>
      <c r="F45" s="94">
        <v>1</v>
      </c>
      <c r="G45" s="104">
        <v>6.38</v>
      </c>
      <c r="H45" s="92">
        <v>0.15</v>
      </c>
      <c r="I45" s="105">
        <v>0.3</v>
      </c>
      <c r="J45" s="82"/>
      <c r="K45" s="99">
        <f t="shared" si="4"/>
        <v>0.28709999999999997</v>
      </c>
      <c r="L45" s="82"/>
      <c r="M45" s="82"/>
      <c r="N45" s="86"/>
    </row>
    <row r="46" spans="2:14" hidden="1" x14ac:dyDescent="0.25">
      <c r="B46" s="55"/>
      <c r="C46" s="57"/>
      <c r="D46" s="144" t="s">
        <v>759</v>
      </c>
      <c r="E46" s="64"/>
      <c r="F46" s="94">
        <v>1</v>
      </c>
      <c r="G46" s="104">
        <v>8.31</v>
      </c>
      <c r="H46" s="92">
        <v>0.15</v>
      </c>
      <c r="I46" s="105">
        <v>0.3</v>
      </c>
      <c r="J46" s="82"/>
      <c r="K46" s="99">
        <f t="shared" si="4"/>
        <v>0.37394999999999995</v>
      </c>
      <c r="L46" s="82"/>
      <c r="M46" s="82"/>
      <c r="N46" s="86"/>
    </row>
    <row r="47" spans="2:14" hidden="1" x14ac:dyDescent="0.25">
      <c r="B47" s="55"/>
      <c r="C47" s="57"/>
      <c r="D47" s="144" t="s">
        <v>760</v>
      </c>
      <c r="E47" s="64"/>
      <c r="F47" s="94">
        <v>1</v>
      </c>
      <c r="G47" s="104">
        <v>15.175000000000001</v>
      </c>
      <c r="H47" s="92">
        <v>0.15</v>
      </c>
      <c r="I47" s="105">
        <v>0.3</v>
      </c>
      <c r="J47" s="82"/>
      <c r="K47" s="99">
        <f t="shared" si="4"/>
        <v>0.68287500000000001</v>
      </c>
      <c r="L47" s="82"/>
      <c r="M47" s="82"/>
      <c r="N47" s="86"/>
    </row>
    <row r="48" spans="2:14" hidden="1" x14ac:dyDescent="0.25">
      <c r="B48" s="55"/>
      <c r="C48" s="57"/>
      <c r="D48" s="144" t="s">
        <v>761</v>
      </c>
      <c r="E48" s="64"/>
      <c r="F48" s="94">
        <v>1</v>
      </c>
      <c r="G48" s="104">
        <v>5.31</v>
      </c>
      <c r="H48" s="92">
        <v>0.15</v>
      </c>
      <c r="I48" s="105">
        <v>0.3</v>
      </c>
      <c r="J48" s="82"/>
      <c r="K48" s="99">
        <f t="shared" si="4"/>
        <v>0.23894999999999994</v>
      </c>
      <c r="L48" s="82"/>
      <c r="M48" s="82"/>
      <c r="N48" s="86"/>
    </row>
    <row r="49" spans="2:14" hidden="1" x14ac:dyDescent="0.25">
      <c r="B49" s="55"/>
      <c r="C49" s="57"/>
      <c r="D49" s="144" t="s">
        <v>762</v>
      </c>
      <c r="E49" s="64"/>
      <c r="F49" s="94">
        <v>1</v>
      </c>
      <c r="G49" s="104">
        <v>5.47</v>
      </c>
      <c r="H49" s="92">
        <v>0.15</v>
      </c>
      <c r="I49" s="105">
        <v>0.3</v>
      </c>
      <c r="J49" s="82"/>
      <c r="K49" s="99">
        <f t="shared" si="4"/>
        <v>0.24614999999999995</v>
      </c>
      <c r="L49" s="82"/>
      <c r="M49" s="82"/>
      <c r="N49" s="86"/>
    </row>
    <row r="50" spans="2:14" hidden="1" x14ac:dyDescent="0.25">
      <c r="B50" s="55"/>
      <c r="C50" s="57"/>
      <c r="D50" s="144" t="s">
        <v>763</v>
      </c>
      <c r="E50" s="64"/>
      <c r="F50" s="94">
        <v>1</v>
      </c>
      <c r="G50" s="104">
        <v>13.42</v>
      </c>
      <c r="H50" s="92">
        <v>0.15</v>
      </c>
      <c r="I50" s="105">
        <v>0.3</v>
      </c>
      <c r="J50" s="82"/>
      <c r="K50" s="99">
        <f t="shared" si="4"/>
        <v>0.60389999999999999</v>
      </c>
      <c r="L50" s="82"/>
      <c r="M50" s="82"/>
      <c r="N50" s="86"/>
    </row>
    <row r="51" spans="2:14" hidden="1" x14ac:dyDescent="0.25">
      <c r="B51" s="55"/>
      <c r="C51" s="57"/>
      <c r="D51" s="144" t="s">
        <v>764</v>
      </c>
      <c r="E51" s="64"/>
      <c r="F51" s="94">
        <v>1</v>
      </c>
      <c r="G51" s="104">
        <v>5.31</v>
      </c>
      <c r="H51" s="92">
        <v>0.15</v>
      </c>
      <c r="I51" s="105">
        <v>0.3</v>
      </c>
      <c r="J51" s="82"/>
      <c r="K51" s="99">
        <f t="shared" si="4"/>
        <v>0.23894999999999994</v>
      </c>
      <c r="L51" s="82"/>
      <c r="M51" s="82"/>
      <c r="N51" s="86"/>
    </row>
    <row r="52" spans="2:14" hidden="1" x14ac:dyDescent="0.25">
      <c r="B52" s="55"/>
      <c r="C52" s="57"/>
      <c r="D52" s="144" t="s">
        <v>765</v>
      </c>
      <c r="E52" s="64"/>
      <c r="F52" s="94">
        <v>1</v>
      </c>
      <c r="G52" s="104">
        <v>5.31</v>
      </c>
      <c r="H52" s="92">
        <v>0.15</v>
      </c>
      <c r="I52" s="105">
        <v>0.3</v>
      </c>
      <c r="J52" s="82"/>
      <c r="K52" s="99">
        <f t="shared" si="4"/>
        <v>0.23894999999999994</v>
      </c>
      <c r="L52" s="82"/>
      <c r="M52" s="82"/>
      <c r="N52" s="86"/>
    </row>
    <row r="53" spans="2:14" hidden="1" x14ac:dyDescent="0.25">
      <c r="B53" s="55"/>
      <c r="C53" s="57"/>
      <c r="D53" s="144" t="s">
        <v>766</v>
      </c>
      <c r="E53" s="64"/>
      <c r="F53" s="94">
        <v>1</v>
      </c>
      <c r="G53" s="104">
        <v>19.97</v>
      </c>
      <c r="H53" s="92">
        <v>0.15</v>
      </c>
      <c r="I53" s="105">
        <v>0.3</v>
      </c>
      <c r="J53" s="82"/>
      <c r="K53" s="99">
        <f t="shared" si="4"/>
        <v>0.89864999999999995</v>
      </c>
      <c r="L53" s="82"/>
      <c r="M53" s="82"/>
      <c r="N53" s="86"/>
    </row>
    <row r="54" spans="2:14" hidden="1" x14ac:dyDescent="0.25">
      <c r="B54" s="55"/>
      <c r="C54" s="57"/>
      <c r="D54" s="144" t="s">
        <v>676</v>
      </c>
      <c r="E54" s="64"/>
      <c r="F54" s="94">
        <v>1</v>
      </c>
      <c r="G54" s="104">
        <v>7.83</v>
      </c>
      <c r="H54" s="92">
        <v>0.15</v>
      </c>
      <c r="I54" s="105">
        <v>0.3</v>
      </c>
      <c r="J54" s="82"/>
      <c r="K54" s="99">
        <f t="shared" si="4"/>
        <v>0.35234999999999994</v>
      </c>
      <c r="L54" s="82"/>
      <c r="M54" s="82"/>
      <c r="N54" s="86"/>
    </row>
    <row r="55" spans="2:14" hidden="1" x14ac:dyDescent="0.25">
      <c r="B55" s="55"/>
      <c r="C55" s="57"/>
      <c r="D55" s="144" t="s">
        <v>767</v>
      </c>
      <c r="E55" s="64"/>
      <c r="F55" s="94">
        <v>1</v>
      </c>
      <c r="G55" s="104">
        <v>2.5350000000000001</v>
      </c>
      <c r="H55" s="92">
        <v>0.15</v>
      </c>
      <c r="I55" s="105">
        <v>0.3</v>
      </c>
      <c r="J55" s="82"/>
      <c r="K55" s="99">
        <f t="shared" si="4"/>
        <v>0.11407500000000001</v>
      </c>
      <c r="L55" s="82"/>
      <c r="M55" s="82"/>
      <c r="N55" s="86"/>
    </row>
    <row r="56" spans="2:14" hidden="1" x14ac:dyDescent="0.25">
      <c r="B56" s="55"/>
      <c r="C56" s="57"/>
      <c r="D56" s="144" t="s">
        <v>768</v>
      </c>
      <c r="E56" s="64"/>
      <c r="F56" s="94">
        <v>1</v>
      </c>
      <c r="G56" s="104">
        <v>6.39</v>
      </c>
      <c r="H56" s="92">
        <v>0.15</v>
      </c>
      <c r="I56" s="105">
        <v>0.3</v>
      </c>
      <c r="J56" s="82"/>
      <c r="K56" s="99">
        <f t="shared" si="4"/>
        <v>0.28754999999999997</v>
      </c>
      <c r="L56" s="82"/>
      <c r="M56" s="82"/>
      <c r="N56" s="86"/>
    </row>
    <row r="57" spans="2:14" hidden="1" x14ac:dyDescent="0.25">
      <c r="B57" s="55"/>
      <c r="C57" s="57"/>
      <c r="D57" s="144" t="s">
        <v>769</v>
      </c>
      <c r="E57" s="64"/>
      <c r="F57" s="94">
        <v>1</v>
      </c>
      <c r="G57" s="104">
        <v>4.0049999999999999</v>
      </c>
      <c r="H57" s="92">
        <v>0.15</v>
      </c>
      <c r="I57" s="105">
        <v>0.3</v>
      </c>
      <c r="J57" s="82"/>
      <c r="K57" s="99">
        <f t="shared" si="4"/>
        <v>0.180225</v>
      </c>
      <c r="L57" s="82"/>
      <c r="M57" s="82"/>
      <c r="N57" s="86"/>
    </row>
    <row r="58" spans="2:14" hidden="1" x14ac:dyDescent="0.25">
      <c r="B58" s="55"/>
      <c r="C58" s="57"/>
      <c r="D58" s="144" t="s">
        <v>770</v>
      </c>
      <c r="E58" s="64"/>
      <c r="F58" s="94">
        <v>1</v>
      </c>
      <c r="G58" s="104">
        <v>2.2000000000000002</v>
      </c>
      <c r="H58" s="92">
        <v>0.15</v>
      </c>
      <c r="I58" s="105">
        <v>0.3</v>
      </c>
      <c r="J58" s="82"/>
      <c r="K58" s="99">
        <f t="shared" si="4"/>
        <v>9.9000000000000005E-2</v>
      </c>
      <c r="L58" s="82"/>
      <c r="M58" s="82"/>
      <c r="N58" s="86"/>
    </row>
    <row r="59" spans="2:14" hidden="1" x14ac:dyDescent="0.25">
      <c r="B59" s="55"/>
      <c r="C59" s="57"/>
      <c r="D59" s="144" t="s">
        <v>771</v>
      </c>
      <c r="E59" s="64"/>
      <c r="F59" s="94">
        <v>1</v>
      </c>
      <c r="G59" s="104">
        <v>7.75</v>
      </c>
      <c r="H59" s="92">
        <v>0.15</v>
      </c>
      <c r="I59" s="105">
        <v>0.3</v>
      </c>
      <c r="J59" s="82"/>
      <c r="K59" s="99">
        <f t="shared" si="4"/>
        <v>0.34874999999999995</v>
      </c>
      <c r="L59" s="82"/>
      <c r="M59" s="82"/>
      <c r="N59" s="86"/>
    </row>
    <row r="60" spans="2:14" hidden="1" x14ac:dyDescent="0.25">
      <c r="B60" s="55"/>
      <c r="C60" s="57"/>
      <c r="D60" s="144" t="s">
        <v>772</v>
      </c>
      <c r="E60" s="64"/>
      <c r="F60" s="94">
        <v>1</v>
      </c>
      <c r="G60" s="104">
        <v>3.01</v>
      </c>
      <c r="H60" s="92">
        <v>0.15</v>
      </c>
      <c r="I60" s="105">
        <v>0.3</v>
      </c>
      <c r="J60" s="82"/>
      <c r="K60" s="99">
        <f t="shared" si="4"/>
        <v>0.13544999999999999</v>
      </c>
      <c r="L60" s="82"/>
      <c r="M60" s="82"/>
      <c r="N60" s="86"/>
    </row>
    <row r="61" spans="2:14" hidden="1" x14ac:dyDescent="0.25">
      <c r="B61" s="55"/>
      <c r="C61" s="57"/>
      <c r="D61" s="144" t="s">
        <v>773</v>
      </c>
      <c r="E61" s="64"/>
      <c r="F61" s="94">
        <v>1</v>
      </c>
      <c r="G61" s="104">
        <v>3.01</v>
      </c>
      <c r="H61" s="92">
        <v>0.15</v>
      </c>
      <c r="I61" s="105">
        <v>0.3</v>
      </c>
      <c r="J61" s="82"/>
      <c r="K61" s="99">
        <f t="shared" si="4"/>
        <v>0.13544999999999999</v>
      </c>
      <c r="L61" s="82"/>
      <c r="M61" s="82"/>
      <c r="N61" s="86"/>
    </row>
    <row r="62" spans="2:14" hidden="1" x14ac:dyDescent="0.25">
      <c r="B62" s="55"/>
      <c r="C62" s="57"/>
      <c r="D62" s="144" t="s">
        <v>774</v>
      </c>
      <c r="E62" s="64"/>
      <c r="F62" s="94">
        <v>1</v>
      </c>
      <c r="G62" s="104">
        <v>10.744999999999999</v>
      </c>
      <c r="H62" s="92">
        <v>0.15</v>
      </c>
      <c r="I62" s="105">
        <v>0.3</v>
      </c>
      <c r="J62" s="82"/>
      <c r="K62" s="99">
        <f t="shared" si="4"/>
        <v>0.48352499999999993</v>
      </c>
      <c r="L62" s="82"/>
      <c r="M62" s="82"/>
      <c r="N62" s="86"/>
    </row>
    <row r="63" spans="2:14" hidden="1" x14ac:dyDescent="0.25">
      <c r="B63" s="55"/>
      <c r="C63" s="57"/>
      <c r="D63" s="144" t="s">
        <v>775</v>
      </c>
      <c r="E63" s="64"/>
      <c r="F63" s="94">
        <v>1</v>
      </c>
      <c r="G63" s="104">
        <v>5.2949999999999999</v>
      </c>
      <c r="H63" s="92">
        <v>0.15</v>
      </c>
      <c r="I63" s="105">
        <v>0.3</v>
      </c>
      <c r="J63" s="82"/>
      <c r="K63" s="99">
        <f t="shared" si="4"/>
        <v>0.23827499999999999</v>
      </c>
      <c r="L63" s="82"/>
      <c r="M63" s="82"/>
      <c r="N63" s="86"/>
    </row>
    <row r="64" spans="2:14" hidden="1" x14ac:dyDescent="0.25">
      <c r="B64" s="55"/>
      <c r="C64" s="57"/>
      <c r="D64" s="144" t="s">
        <v>776</v>
      </c>
      <c r="E64" s="64"/>
      <c r="F64" s="94">
        <v>1</v>
      </c>
      <c r="G64" s="104">
        <v>5.68</v>
      </c>
      <c r="H64" s="92">
        <v>0.15</v>
      </c>
      <c r="I64" s="105">
        <v>0.3</v>
      </c>
      <c r="J64" s="82"/>
      <c r="K64" s="99">
        <f t="shared" si="4"/>
        <v>0.25559999999999999</v>
      </c>
      <c r="L64" s="82"/>
      <c r="M64" s="82"/>
      <c r="N64" s="86"/>
    </row>
    <row r="65" spans="2:14" hidden="1" x14ac:dyDescent="0.25">
      <c r="B65" s="55"/>
      <c r="C65" s="57"/>
      <c r="D65" s="144" t="s">
        <v>777</v>
      </c>
      <c r="E65" s="64"/>
      <c r="F65" s="94">
        <v>1</v>
      </c>
      <c r="G65" s="104">
        <v>5.47</v>
      </c>
      <c r="H65" s="92">
        <v>0.15</v>
      </c>
      <c r="I65" s="105">
        <v>0.3</v>
      </c>
      <c r="J65" s="82"/>
      <c r="K65" s="99">
        <f t="shared" si="4"/>
        <v>0.24614999999999995</v>
      </c>
      <c r="L65" s="82"/>
      <c r="M65" s="82"/>
      <c r="N65" s="86"/>
    </row>
    <row r="66" spans="2:14" hidden="1" x14ac:dyDescent="0.25">
      <c r="B66" s="55"/>
      <c r="C66" s="57"/>
      <c r="D66" s="144" t="s">
        <v>778</v>
      </c>
      <c r="E66" s="64"/>
      <c r="F66" s="94">
        <v>1</v>
      </c>
      <c r="G66" s="104">
        <v>2.69</v>
      </c>
      <c r="H66" s="92">
        <v>0.15</v>
      </c>
      <c r="I66" s="105">
        <v>0.3</v>
      </c>
      <c r="J66" s="82"/>
      <c r="K66" s="99">
        <f t="shared" si="4"/>
        <v>0.12104999999999999</v>
      </c>
      <c r="L66" s="82"/>
      <c r="M66" s="82"/>
      <c r="N66" s="86"/>
    </row>
    <row r="67" spans="2:14" hidden="1" x14ac:dyDescent="0.25">
      <c r="B67" s="55"/>
      <c r="C67" s="57"/>
      <c r="D67" s="144" t="s">
        <v>779</v>
      </c>
      <c r="E67" s="64"/>
      <c r="F67" s="94">
        <v>1</v>
      </c>
      <c r="G67" s="104">
        <v>2.69</v>
      </c>
      <c r="H67" s="92">
        <v>0.15</v>
      </c>
      <c r="I67" s="105">
        <v>0.3</v>
      </c>
      <c r="J67" s="82"/>
      <c r="K67" s="99">
        <f t="shared" si="4"/>
        <v>0.12104999999999999</v>
      </c>
      <c r="L67" s="82"/>
      <c r="M67" s="82"/>
      <c r="N67" s="86"/>
    </row>
    <row r="68" spans="2:14" hidden="1" x14ac:dyDescent="0.25">
      <c r="B68" s="49" t="s">
        <v>42</v>
      </c>
      <c r="C68" s="57">
        <v>96995</v>
      </c>
      <c r="D68" s="52" t="s">
        <v>44</v>
      </c>
      <c r="E68" s="64" t="s">
        <v>41</v>
      </c>
      <c r="F68" s="94"/>
      <c r="G68" s="104"/>
      <c r="H68" s="92"/>
      <c r="I68" s="105"/>
      <c r="J68" s="99">
        <f>'BOLETIM DE MEDIÇÃO 05'!I22</f>
        <v>1.2053699999999998</v>
      </c>
      <c r="K68" s="185">
        <f>G70*F70</f>
        <v>43.05</v>
      </c>
      <c r="L68" s="82">
        <f t="shared" si="0"/>
        <v>44.255369999999999</v>
      </c>
      <c r="M68" s="82">
        <f>'BOLETIM DE MEDIÇÃO 05'!G23</f>
        <v>44.26</v>
      </c>
      <c r="N68" s="86">
        <f t="shared" si="1"/>
        <v>4.6299999999988017E-3</v>
      </c>
    </row>
    <row r="69" spans="2:14" ht="21" hidden="1" x14ac:dyDescent="0.25">
      <c r="B69" s="49"/>
      <c r="C69" s="57"/>
      <c r="D69" s="154" t="s">
        <v>576</v>
      </c>
      <c r="E69" s="44"/>
      <c r="F69" s="95"/>
      <c r="G69" s="106"/>
      <c r="H69" s="70"/>
      <c r="I69" s="105"/>
      <c r="J69" s="99"/>
      <c r="K69" s="81"/>
      <c r="L69" s="82"/>
      <c r="M69" s="82"/>
      <c r="N69" s="86"/>
    </row>
    <row r="70" spans="2:14" hidden="1" x14ac:dyDescent="0.25">
      <c r="B70" s="49"/>
      <c r="C70" s="57"/>
      <c r="D70" s="117" t="s">
        <v>608</v>
      </c>
      <c r="E70" s="44"/>
      <c r="F70" s="540">
        <v>1</v>
      </c>
      <c r="G70" s="525">
        <f>43.05</f>
        <v>43.05</v>
      </c>
      <c r="H70" s="526"/>
      <c r="I70" s="527"/>
      <c r="J70" s="99"/>
      <c r="K70" s="81"/>
      <c r="L70" s="82"/>
      <c r="M70" s="82"/>
      <c r="N70" s="86"/>
    </row>
    <row r="71" spans="2:14" hidden="1" x14ac:dyDescent="0.25">
      <c r="B71" s="49"/>
      <c r="C71" s="57"/>
      <c r="D71" s="117" t="s">
        <v>609</v>
      </c>
      <c r="E71" s="44"/>
      <c r="F71" s="541"/>
      <c r="G71" s="528"/>
      <c r="H71" s="529"/>
      <c r="I71" s="530"/>
      <c r="J71" s="99"/>
      <c r="K71" s="81"/>
      <c r="L71" s="82">
        <f t="shared" si="0"/>
        <v>0</v>
      </c>
      <c r="M71" s="82"/>
      <c r="N71" s="86"/>
    </row>
    <row r="72" spans="2:14" ht="22.5" hidden="1" x14ac:dyDescent="0.25">
      <c r="B72" s="247" t="s">
        <v>45</v>
      </c>
      <c r="C72" s="248">
        <v>94319</v>
      </c>
      <c r="D72" s="284" t="s">
        <v>47</v>
      </c>
      <c r="E72" s="242" t="s">
        <v>41</v>
      </c>
      <c r="F72" s="243"/>
      <c r="G72" s="522" t="s">
        <v>883</v>
      </c>
      <c r="H72" s="523"/>
      <c r="I72" s="524"/>
      <c r="J72" s="249">
        <f>0</f>
        <v>0</v>
      </c>
      <c r="K72" s="250">
        <f>SUM(K75:K106)</f>
        <v>599.17245833333334</v>
      </c>
      <c r="L72" s="82">
        <f t="shared" si="0"/>
        <v>599.17245833333334</v>
      </c>
      <c r="M72" s="251">
        <f>'BOLETIM DE MEDIÇÃO 05'!G24</f>
        <v>93.63</v>
      </c>
      <c r="N72" s="252">
        <f t="shared" si="1"/>
        <v>-505.54245833333334</v>
      </c>
    </row>
    <row r="73" spans="2:14" ht="84.6" hidden="1" customHeight="1" x14ac:dyDescent="0.25">
      <c r="B73" s="247"/>
      <c r="C73" s="248"/>
      <c r="D73" s="286" t="s">
        <v>871</v>
      </c>
      <c r="E73" s="242"/>
      <c r="F73" s="243"/>
      <c r="G73" s="520" t="s">
        <v>838</v>
      </c>
      <c r="H73" s="521"/>
      <c r="I73" s="287" t="s">
        <v>870</v>
      </c>
      <c r="J73" s="249"/>
      <c r="K73" s="251"/>
      <c r="L73" s="251"/>
      <c r="M73" s="251"/>
      <c r="N73" s="252"/>
    </row>
    <row r="74" spans="2:14" hidden="1" x14ac:dyDescent="0.25">
      <c r="B74" s="247"/>
      <c r="C74" s="248"/>
      <c r="D74" s="285" t="s">
        <v>837</v>
      </c>
      <c r="E74" s="242"/>
      <c r="F74" s="243"/>
      <c r="G74" s="520">
        <v>9</v>
      </c>
      <c r="H74" s="521"/>
      <c r="I74" s="246">
        <f xml:space="preserve"> ((0.49+0.35) + (0.35+0.25) + (0.62+0.35) + (0.49+0.35))/4</f>
        <v>0.8125</v>
      </c>
      <c r="J74" s="249"/>
      <c r="K74" s="251">
        <f>G74*I74</f>
        <v>7.3125</v>
      </c>
      <c r="L74" s="251"/>
      <c r="M74" s="251"/>
      <c r="N74" s="252"/>
    </row>
    <row r="75" spans="2:14" hidden="1" x14ac:dyDescent="0.25">
      <c r="B75" s="247"/>
      <c r="C75" s="248"/>
      <c r="D75" s="285" t="s">
        <v>839</v>
      </c>
      <c r="E75" s="242"/>
      <c r="F75" s="243"/>
      <c r="G75" s="520">
        <v>5</v>
      </c>
      <c r="H75" s="521"/>
      <c r="I75" s="246">
        <f xml:space="preserve"> ((0.62+0.35) + (0.62+0.25) + (0.62+0.35) + (0.62+0.35))/4</f>
        <v>0.94499999999999984</v>
      </c>
      <c r="J75" s="249"/>
      <c r="K75" s="251">
        <f>G75*I75</f>
        <v>4.7249999999999996</v>
      </c>
      <c r="L75" s="251"/>
      <c r="M75" s="251"/>
      <c r="N75" s="252"/>
    </row>
    <row r="76" spans="2:14" ht="22.5" hidden="1" x14ac:dyDescent="0.25">
      <c r="B76" s="247"/>
      <c r="C76" s="248"/>
      <c r="D76" s="291" t="s">
        <v>872</v>
      </c>
      <c r="E76" s="242"/>
      <c r="F76" s="243"/>
      <c r="G76" s="520">
        <f xml:space="preserve"> (13.03 * 2.7)</f>
        <v>35.180999999999997</v>
      </c>
      <c r="H76" s="521"/>
      <c r="I76" s="246">
        <f xml:space="preserve"> ((0.41+0.25) + (0.58+0.25) + (0.64+0.25) + (0.42+0.25)+ (0.35+0.25)+ (0.25+0.25))/6</f>
        <v>0.69166666666666676</v>
      </c>
      <c r="J76" s="249"/>
      <c r="K76" s="251">
        <f>G76*I76</f>
        <v>24.333525000000002</v>
      </c>
      <c r="L76" s="251"/>
      <c r="M76" s="251"/>
      <c r="N76" s="252"/>
    </row>
    <row r="77" spans="2:14" hidden="1" x14ac:dyDescent="0.25">
      <c r="B77" s="247"/>
      <c r="C77" s="248"/>
      <c r="D77" s="285" t="s">
        <v>843</v>
      </c>
      <c r="E77" s="242"/>
      <c r="F77" s="243"/>
      <c r="G77" s="520">
        <v>3</v>
      </c>
      <c r="H77" s="521"/>
      <c r="I77" s="246">
        <f xml:space="preserve"> ((0.2+0.25) + (0.2+0.25) + (0.2+0.25) + (0.2+0.25))/4</f>
        <v>0.45</v>
      </c>
      <c r="J77" s="249"/>
      <c r="K77" s="251">
        <f t="shared" ref="K77:K106" si="5">G77*I77</f>
        <v>1.35</v>
      </c>
      <c r="L77" s="251"/>
      <c r="M77" s="251"/>
      <c r="N77" s="252"/>
    </row>
    <row r="78" spans="2:14" hidden="1" x14ac:dyDescent="0.25">
      <c r="B78" s="247"/>
      <c r="C78" s="248"/>
      <c r="D78" s="285" t="s">
        <v>840</v>
      </c>
      <c r="E78" s="242"/>
      <c r="F78" s="243"/>
      <c r="G78" s="520">
        <v>7</v>
      </c>
      <c r="H78" s="521"/>
      <c r="I78" s="246">
        <f xml:space="preserve"> ((0.25+0.25) + (0.25+0.25) + (0.2+0.25) + (0.3+0.25))/4</f>
        <v>0.5</v>
      </c>
      <c r="J78" s="249"/>
      <c r="K78" s="251">
        <f t="shared" si="5"/>
        <v>3.5</v>
      </c>
      <c r="L78" s="251"/>
      <c r="M78" s="251"/>
      <c r="N78" s="252"/>
    </row>
    <row r="79" spans="2:14" hidden="1" x14ac:dyDescent="0.25">
      <c r="B79" s="247"/>
      <c r="C79" s="248"/>
      <c r="D79" s="285" t="s">
        <v>841</v>
      </c>
      <c r="E79" s="242"/>
      <c r="F79" s="243"/>
      <c r="G79" s="520">
        <v>21</v>
      </c>
      <c r="H79" s="521"/>
      <c r="I79" s="246">
        <f xml:space="preserve"> ((0.25+0.25) + (0.31+0.25) + (0.27+0.25) + (0.2+0.25))/4</f>
        <v>0.50750000000000006</v>
      </c>
      <c r="J79" s="249"/>
      <c r="K79" s="251">
        <f t="shared" si="5"/>
        <v>10.657500000000001</v>
      </c>
      <c r="L79" s="251"/>
      <c r="M79" s="251"/>
      <c r="N79" s="252"/>
    </row>
    <row r="80" spans="2:14" hidden="1" x14ac:dyDescent="0.25">
      <c r="B80" s="247"/>
      <c r="C80" s="248"/>
      <c r="D80" s="285" t="s">
        <v>846</v>
      </c>
      <c r="E80" s="242"/>
      <c r="F80" s="243"/>
      <c r="G80" s="520">
        <v>27</v>
      </c>
      <c r="H80" s="521"/>
      <c r="I80" s="246">
        <f xml:space="preserve"> ((0.5+0.25) + (0.46+0.3) + (0.41+0.3) + (0.45+0.3))/4</f>
        <v>0.74249999999999994</v>
      </c>
      <c r="J80" s="249"/>
      <c r="K80" s="251">
        <f t="shared" si="5"/>
        <v>20.047499999999999</v>
      </c>
      <c r="L80" s="251"/>
      <c r="M80" s="251"/>
      <c r="N80" s="252"/>
    </row>
    <row r="81" spans="2:14" hidden="1" x14ac:dyDescent="0.25">
      <c r="B81" s="247"/>
      <c r="C81" s="248"/>
      <c r="D81" s="285" t="s">
        <v>842</v>
      </c>
      <c r="E81" s="242"/>
      <c r="F81" s="243"/>
      <c r="G81" s="520">
        <v>26</v>
      </c>
      <c r="H81" s="521"/>
      <c r="I81" s="246">
        <f xml:space="preserve"> ((0.25+0.3) + (0.3+0.3) + (0.27+0.3) + (0.22+0.25))/4</f>
        <v>0.54749999999999999</v>
      </c>
      <c r="J81" s="249"/>
      <c r="K81" s="251">
        <f t="shared" si="5"/>
        <v>14.234999999999999</v>
      </c>
      <c r="L81" s="251"/>
      <c r="M81" s="251"/>
      <c r="N81" s="252"/>
    </row>
    <row r="82" spans="2:14" hidden="1" x14ac:dyDescent="0.25">
      <c r="B82" s="247"/>
      <c r="C82" s="248"/>
      <c r="D82" s="285" t="s">
        <v>844</v>
      </c>
      <c r="E82" s="242"/>
      <c r="F82" s="243"/>
      <c r="G82" s="520">
        <v>1.6</v>
      </c>
      <c r="H82" s="521"/>
      <c r="I82" s="246">
        <f xml:space="preserve"> ((0.3+0.3) + (0.32+0.3) + (0.33+0.3) + (0.3+0.25))/4</f>
        <v>0.60000000000000009</v>
      </c>
      <c r="J82" s="249"/>
      <c r="K82" s="251">
        <f t="shared" si="5"/>
        <v>0.96000000000000019</v>
      </c>
      <c r="L82" s="251"/>
      <c r="M82" s="251"/>
      <c r="N82" s="252"/>
    </row>
    <row r="83" spans="2:14" hidden="1" x14ac:dyDescent="0.25">
      <c r="B83" s="247"/>
      <c r="C83" s="248"/>
      <c r="D83" s="285" t="s">
        <v>845</v>
      </c>
      <c r="E83" s="242"/>
      <c r="F83" s="243"/>
      <c r="G83" s="520">
        <v>1.6</v>
      </c>
      <c r="H83" s="521"/>
      <c r="I83" s="246">
        <f xml:space="preserve"> ((0.35+0.3) + (0.38+0.25) + (0.33+0.3) + (0.32+0.25))/4</f>
        <v>0.61999999999999988</v>
      </c>
      <c r="J83" s="249"/>
      <c r="K83" s="251">
        <f t="shared" si="5"/>
        <v>0.99199999999999988</v>
      </c>
      <c r="L83" s="251"/>
      <c r="M83" s="251"/>
      <c r="N83" s="252"/>
    </row>
    <row r="84" spans="2:14" hidden="1" x14ac:dyDescent="0.25">
      <c r="B84" s="247"/>
      <c r="C84" s="248"/>
      <c r="D84" s="285" t="s">
        <v>848</v>
      </c>
      <c r="E84" s="242"/>
      <c r="F84" s="243"/>
      <c r="G84" s="520">
        <v>45</v>
      </c>
      <c r="H84" s="521"/>
      <c r="I84" s="246">
        <f xml:space="preserve"> ((0.42+0.25) + (0.55+0.25) + (0.48+0.25) + (0.31+0.25))/4</f>
        <v>0.69000000000000006</v>
      </c>
      <c r="J84" s="249"/>
      <c r="K84" s="251">
        <f t="shared" si="5"/>
        <v>31.050000000000004</v>
      </c>
      <c r="L84" s="251"/>
      <c r="M84" s="251"/>
      <c r="N84" s="252"/>
    </row>
    <row r="85" spans="2:14" hidden="1" x14ac:dyDescent="0.25">
      <c r="B85" s="247"/>
      <c r="C85" s="248"/>
      <c r="D85" s="285" t="s">
        <v>849</v>
      </c>
      <c r="E85" s="242"/>
      <c r="F85" s="243"/>
      <c r="G85" s="520">
        <v>19</v>
      </c>
      <c r="H85" s="521"/>
      <c r="I85" s="246">
        <f xml:space="preserve"> ((0.64+0.25) + (0.64+0.25) + (0.64+0.25) + (0.63+0.25))/4</f>
        <v>0.88749999999999996</v>
      </c>
      <c r="J85" s="249"/>
      <c r="K85" s="251">
        <f t="shared" si="5"/>
        <v>16.862500000000001</v>
      </c>
      <c r="L85" s="251"/>
      <c r="M85" s="251"/>
      <c r="N85" s="252"/>
    </row>
    <row r="86" spans="2:14" hidden="1" x14ac:dyDescent="0.25">
      <c r="B86" s="247"/>
      <c r="C86" s="248"/>
      <c r="D86" s="285" t="s">
        <v>850</v>
      </c>
      <c r="E86" s="242"/>
      <c r="F86" s="243"/>
      <c r="G86" s="520">
        <v>19</v>
      </c>
      <c r="H86" s="521"/>
      <c r="I86" s="246">
        <f xml:space="preserve"> ((0.61+0.25) + (0.59+0.25) + (0.62+0.25) + (0.64+0.25))/4</f>
        <v>0.86499999999999999</v>
      </c>
      <c r="J86" s="249"/>
      <c r="K86" s="251">
        <f t="shared" si="5"/>
        <v>16.434999999999999</v>
      </c>
      <c r="L86" s="251"/>
      <c r="M86" s="251"/>
      <c r="N86" s="252"/>
    </row>
    <row r="87" spans="2:14" hidden="1" x14ac:dyDescent="0.25">
      <c r="B87" s="247"/>
      <c r="C87" s="248"/>
      <c r="D87" s="285" t="s">
        <v>851</v>
      </c>
      <c r="E87" s="242"/>
      <c r="F87" s="243"/>
      <c r="G87" s="520">
        <v>5</v>
      </c>
      <c r="H87" s="521"/>
      <c r="I87" s="246">
        <f xml:space="preserve"> ((0.61+0.25) + (0.6+0.25) + (0.55+0.25) + (0.55+0.25))/4</f>
        <v>0.8274999999999999</v>
      </c>
      <c r="J87" s="249"/>
      <c r="K87" s="251">
        <f t="shared" si="5"/>
        <v>4.1374999999999993</v>
      </c>
      <c r="L87" s="251"/>
      <c r="M87" s="251"/>
      <c r="N87" s="252"/>
    </row>
    <row r="88" spans="2:14" hidden="1" x14ac:dyDescent="0.25">
      <c r="B88" s="247"/>
      <c r="C88" s="248"/>
      <c r="D88" s="285" t="s">
        <v>852</v>
      </c>
      <c r="E88" s="242"/>
      <c r="F88" s="243"/>
      <c r="G88" s="520">
        <v>14</v>
      </c>
      <c r="H88" s="521"/>
      <c r="I88" s="246">
        <f xml:space="preserve"> ((0.55+0.25) + (0.53+0.25) + (0.6+0.25) + (0.63+0.25))/4</f>
        <v>0.82750000000000001</v>
      </c>
      <c r="J88" s="249"/>
      <c r="K88" s="251">
        <f t="shared" si="5"/>
        <v>11.585000000000001</v>
      </c>
      <c r="L88" s="251"/>
      <c r="M88" s="251"/>
      <c r="N88" s="252"/>
    </row>
    <row r="89" spans="2:14" hidden="1" x14ac:dyDescent="0.25">
      <c r="B89" s="247"/>
      <c r="C89" s="248"/>
      <c r="D89" s="285" t="s">
        <v>853</v>
      </c>
      <c r="E89" s="289"/>
      <c r="F89" s="290"/>
      <c r="G89" s="531">
        <v>36</v>
      </c>
      <c r="H89" s="532"/>
      <c r="I89" s="246">
        <f xml:space="preserve"> ((0.64+0.25) + (0.55+0.25) + (0.57+0.25) + (0.53+0.25) + (0.5+0.25) + (0.44+0.25) + (0.4+0.3) + (0.42+0.25) + (0.4+0.25) + (0.41+0.25) + (0.38+0.25) + (0.36+0.25) + (0.34+0.25))/12</f>
        <v>0.77</v>
      </c>
      <c r="J89" s="249"/>
      <c r="K89" s="251">
        <f t="shared" si="5"/>
        <v>27.72</v>
      </c>
      <c r="L89" s="251"/>
      <c r="M89" s="251"/>
      <c r="N89" s="252"/>
    </row>
    <row r="90" spans="2:14" hidden="1" x14ac:dyDescent="0.25">
      <c r="B90" s="247"/>
      <c r="C90" s="248"/>
      <c r="D90" s="285" t="s">
        <v>867</v>
      </c>
      <c r="E90" s="242"/>
      <c r="F90" s="243"/>
      <c r="G90" s="531">
        <v>46</v>
      </c>
      <c r="H90" s="532"/>
      <c r="I90" s="246">
        <f xml:space="preserve"> ((0.58+0.25) + (0.56+0.25) + (0.51+0.25) + (0.53+0.25))/4</f>
        <v>0.79500000000000015</v>
      </c>
      <c r="J90" s="249"/>
      <c r="K90" s="251">
        <f t="shared" si="5"/>
        <v>36.570000000000007</v>
      </c>
      <c r="L90" s="251"/>
      <c r="M90" s="251"/>
      <c r="N90" s="252"/>
    </row>
    <row r="91" spans="2:14" hidden="1" x14ac:dyDescent="0.25">
      <c r="B91" s="247"/>
      <c r="C91" s="248"/>
      <c r="D91" s="285" t="s">
        <v>854</v>
      </c>
      <c r="E91" s="242"/>
      <c r="F91" s="243"/>
      <c r="G91" s="520">
        <v>41</v>
      </c>
      <c r="H91" s="521"/>
      <c r="I91" s="246">
        <f xml:space="preserve"> ((0.5+0.25) + (0.5+0.25) + (0.48+0.25) + (0.5+0.3))/4</f>
        <v>0.75750000000000006</v>
      </c>
      <c r="J91" s="249"/>
      <c r="K91" s="251">
        <f t="shared" si="5"/>
        <v>31.057500000000001</v>
      </c>
      <c r="L91" s="251"/>
      <c r="M91" s="251"/>
      <c r="N91" s="252"/>
    </row>
    <row r="92" spans="2:14" hidden="1" x14ac:dyDescent="0.25">
      <c r="B92" s="247"/>
      <c r="C92" s="248"/>
      <c r="D92" s="285" t="s">
        <v>847</v>
      </c>
      <c r="E92" s="242"/>
      <c r="F92" s="243"/>
      <c r="G92" s="520">
        <v>27</v>
      </c>
      <c r="H92" s="521"/>
      <c r="I92" s="246">
        <f xml:space="preserve"> ((0.38+0.25) + (0.45+0.3) + (0.41+0.3) + (0.34+0.25))/4</f>
        <v>0.66999999999999993</v>
      </c>
      <c r="J92" s="249"/>
      <c r="K92" s="251">
        <f t="shared" si="5"/>
        <v>18.089999999999996</v>
      </c>
      <c r="L92" s="251"/>
      <c r="M92" s="251"/>
      <c r="N92" s="252"/>
    </row>
    <row r="93" spans="2:14" hidden="1" x14ac:dyDescent="0.25">
      <c r="B93" s="247"/>
      <c r="C93" s="248"/>
      <c r="D93" s="285" t="s">
        <v>855</v>
      </c>
      <c r="E93" s="242"/>
      <c r="F93" s="243"/>
      <c r="G93" s="520">
        <v>53</v>
      </c>
      <c r="H93" s="521"/>
      <c r="I93" s="246">
        <f xml:space="preserve"> ((0.41+0.3) + (0.48+0.25) + (0.53+0.3) + (0.5+0.25)+ (0.37+0.25)+ (0.38+0.25))/6</f>
        <v>0.71166666666666678</v>
      </c>
      <c r="J93" s="249"/>
      <c r="K93" s="251">
        <f t="shared" si="5"/>
        <v>37.718333333333341</v>
      </c>
      <c r="L93" s="251"/>
      <c r="M93" s="251"/>
      <c r="N93" s="252"/>
    </row>
    <row r="94" spans="2:14" ht="22.5" hidden="1" x14ac:dyDescent="0.25">
      <c r="B94" s="247"/>
      <c r="C94" s="248"/>
      <c r="D94" s="291" t="s">
        <v>869</v>
      </c>
      <c r="E94" s="242"/>
      <c r="F94" s="243"/>
      <c r="G94" s="520">
        <f xml:space="preserve"> (2.65*1.8)</f>
        <v>4.7699999999999996</v>
      </c>
      <c r="H94" s="521"/>
      <c r="I94" s="246">
        <f xml:space="preserve"> ((0.33+0.25) + (0.38+0.3) + (0.36+0.3) + (0.31+0.25))/4</f>
        <v>0.62</v>
      </c>
      <c r="J94" s="249"/>
      <c r="K94" s="251">
        <f t="shared" si="5"/>
        <v>2.9573999999999998</v>
      </c>
      <c r="L94" s="251"/>
      <c r="M94" s="251"/>
      <c r="N94" s="252"/>
    </row>
    <row r="95" spans="2:14" hidden="1" x14ac:dyDescent="0.25">
      <c r="B95" s="247"/>
      <c r="C95" s="248"/>
      <c r="D95" s="285" t="s">
        <v>856</v>
      </c>
      <c r="E95" s="242"/>
      <c r="F95" s="243"/>
      <c r="G95" s="520">
        <v>30</v>
      </c>
      <c r="H95" s="521"/>
      <c r="I95" s="246">
        <f xml:space="preserve"> ((0.49+0.25) + (0.45+0.25) + (0.42+0.25) + (0.5+0.25))/4</f>
        <v>0.71499999999999997</v>
      </c>
      <c r="J95" s="249"/>
      <c r="K95" s="251">
        <f t="shared" si="5"/>
        <v>21.45</v>
      </c>
      <c r="L95" s="251"/>
      <c r="M95" s="251"/>
      <c r="N95" s="252"/>
    </row>
    <row r="96" spans="2:14" hidden="1" x14ac:dyDescent="0.25">
      <c r="B96" s="247"/>
      <c r="C96" s="248"/>
      <c r="D96" s="285" t="s">
        <v>857</v>
      </c>
      <c r="E96" s="242"/>
      <c r="F96" s="243"/>
      <c r="G96" s="520">
        <v>30</v>
      </c>
      <c r="H96" s="521"/>
      <c r="I96" s="246">
        <f xml:space="preserve"> ((0.4+0.25) + (0.42+0.25) + (0.46+0.25) + (0.43+0.25))/4</f>
        <v>0.67749999999999999</v>
      </c>
      <c r="J96" s="249"/>
      <c r="K96" s="251">
        <f t="shared" si="5"/>
        <v>20.324999999999999</v>
      </c>
      <c r="L96" s="251"/>
      <c r="M96" s="251"/>
      <c r="N96" s="252"/>
    </row>
    <row r="97" spans="2:14" hidden="1" x14ac:dyDescent="0.25">
      <c r="B97" s="247"/>
      <c r="C97" s="248"/>
      <c r="D97" s="285" t="s">
        <v>858</v>
      </c>
      <c r="E97" s="242"/>
      <c r="F97" s="243"/>
      <c r="G97" s="520">
        <v>14</v>
      </c>
      <c r="H97" s="521"/>
      <c r="I97" s="246">
        <f xml:space="preserve"> ((0.29+0.3) + (0.36+0.25) + (0.34+0.25) + (0.28+0.25))/4</f>
        <v>0.58000000000000007</v>
      </c>
      <c r="J97" s="249"/>
      <c r="K97" s="251">
        <f t="shared" si="5"/>
        <v>8.120000000000001</v>
      </c>
      <c r="L97" s="251"/>
      <c r="M97" s="251"/>
      <c r="N97" s="252"/>
    </row>
    <row r="98" spans="2:14" hidden="1" x14ac:dyDescent="0.25">
      <c r="B98" s="247"/>
      <c r="C98" s="248"/>
      <c r="D98" s="285" t="s">
        <v>858</v>
      </c>
      <c r="E98" s="242"/>
      <c r="F98" s="243"/>
      <c r="G98" s="520">
        <v>14</v>
      </c>
      <c r="H98" s="521"/>
      <c r="I98" s="246">
        <f xml:space="preserve"> ((0.34+0.25) + (0.39+0.25) + (0.39+0.25) + (0.35+0.25))/4</f>
        <v>0.61750000000000005</v>
      </c>
      <c r="J98" s="249"/>
      <c r="K98" s="251">
        <f t="shared" si="5"/>
        <v>8.6450000000000014</v>
      </c>
      <c r="L98" s="251"/>
      <c r="M98" s="251"/>
      <c r="N98" s="252"/>
    </row>
    <row r="99" spans="2:14" hidden="1" x14ac:dyDescent="0.25">
      <c r="B99" s="247"/>
      <c r="C99" s="248"/>
      <c r="D99" s="285" t="s">
        <v>859</v>
      </c>
      <c r="E99" s="242"/>
      <c r="F99" s="243"/>
      <c r="G99" s="520">
        <v>20</v>
      </c>
      <c r="H99" s="521"/>
      <c r="I99" s="246">
        <f xml:space="preserve"> ((0.34+0.25) + (0.39+0.25) + (0.39+0.25) + (0.35+0.25))/4</f>
        <v>0.61750000000000005</v>
      </c>
      <c r="J99" s="249"/>
      <c r="K99" s="251">
        <f t="shared" si="5"/>
        <v>12.350000000000001</v>
      </c>
      <c r="L99" s="251"/>
      <c r="M99" s="251"/>
      <c r="N99" s="252"/>
    </row>
    <row r="100" spans="2:14" hidden="1" x14ac:dyDescent="0.25">
      <c r="B100" s="247"/>
      <c r="C100" s="248"/>
      <c r="D100" s="285" t="s">
        <v>860</v>
      </c>
      <c r="E100" s="242"/>
      <c r="F100" s="243"/>
      <c r="G100" s="520">
        <v>3</v>
      </c>
      <c r="H100" s="521"/>
      <c r="I100" s="246">
        <f xml:space="preserve"> ((0.5+0.25) + (0.58+0.25) + (0.55+0.25) + (0.49+0.25))/4</f>
        <v>0.78</v>
      </c>
      <c r="J100" s="249"/>
      <c r="K100" s="251">
        <f t="shared" si="5"/>
        <v>2.34</v>
      </c>
      <c r="L100" s="251"/>
      <c r="M100" s="251"/>
      <c r="N100" s="252"/>
    </row>
    <row r="101" spans="2:14" hidden="1" x14ac:dyDescent="0.25">
      <c r="B101" s="247"/>
      <c r="C101" s="248"/>
      <c r="D101" s="285" t="s">
        <v>868</v>
      </c>
      <c r="E101" s="242"/>
      <c r="F101" s="243"/>
      <c r="G101" s="520">
        <v>4</v>
      </c>
      <c r="H101" s="521"/>
      <c r="I101" s="246">
        <f xml:space="preserve"> ((0.55+0.25) + (0.6+0.25) + (0.6+0.25) + (0.5+0.25))/4</f>
        <v>0.8125</v>
      </c>
      <c r="J101" s="249"/>
      <c r="K101" s="251">
        <f t="shared" si="5"/>
        <v>3.25</v>
      </c>
      <c r="L101" s="251"/>
      <c r="M101" s="251"/>
      <c r="N101" s="252"/>
    </row>
    <row r="102" spans="2:14" hidden="1" x14ac:dyDescent="0.25">
      <c r="B102" s="247"/>
      <c r="C102" s="248"/>
      <c r="D102" s="285" t="s">
        <v>861</v>
      </c>
      <c r="E102" s="242"/>
      <c r="F102" s="243"/>
      <c r="G102" s="520">
        <v>12</v>
      </c>
      <c r="H102" s="521"/>
      <c r="I102" s="246">
        <f xml:space="preserve"> ((0.51+0.25) + (0.49+0.25) + (0.58+0.25) + (0.48+0.25))/4</f>
        <v>0.76500000000000001</v>
      </c>
      <c r="J102" s="249"/>
      <c r="K102" s="251">
        <f t="shared" si="5"/>
        <v>9.18</v>
      </c>
      <c r="L102" s="251"/>
      <c r="M102" s="251"/>
      <c r="N102" s="252"/>
    </row>
    <row r="103" spans="2:14" hidden="1" x14ac:dyDescent="0.25">
      <c r="B103" s="247"/>
      <c r="C103" s="248"/>
      <c r="D103" s="285" t="s">
        <v>862</v>
      </c>
      <c r="E103" s="242"/>
      <c r="F103" s="243"/>
      <c r="G103" s="520">
        <v>20</v>
      </c>
      <c r="H103" s="521"/>
      <c r="I103" s="246">
        <f xml:space="preserve"> ((0.54+0.25) + (0.59+0.25) + (0.62+0.25) + (0.63+0.25) + (0.61+0.25))/5</f>
        <v>0.84800000000000009</v>
      </c>
      <c r="J103" s="249"/>
      <c r="K103" s="251">
        <f t="shared" si="5"/>
        <v>16.96</v>
      </c>
      <c r="L103" s="251"/>
      <c r="M103" s="251"/>
      <c r="N103" s="252"/>
    </row>
    <row r="104" spans="2:14" hidden="1" x14ac:dyDescent="0.25">
      <c r="B104" s="247"/>
      <c r="C104" s="248"/>
      <c r="D104" s="285" t="s">
        <v>863</v>
      </c>
      <c r="E104" s="242"/>
      <c r="F104" s="243"/>
      <c r="G104" s="520">
        <v>4</v>
      </c>
      <c r="H104" s="521"/>
      <c r="I104" s="246">
        <f xml:space="preserve"> ((0.55+0.25) + (0.61+0.25) + (0.56+0.25) + (0.5+0.25))/4</f>
        <v>0.80500000000000005</v>
      </c>
      <c r="J104" s="249"/>
      <c r="K104" s="251">
        <f t="shared" si="5"/>
        <v>3.22</v>
      </c>
      <c r="L104" s="251"/>
      <c r="M104" s="251"/>
      <c r="N104" s="252"/>
    </row>
    <row r="105" spans="2:14" hidden="1" x14ac:dyDescent="0.25">
      <c r="B105" s="247"/>
      <c r="C105" s="248"/>
      <c r="D105" s="285" t="s">
        <v>864</v>
      </c>
      <c r="E105" s="242"/>
      <c r="F105" s="243"/>
      <c r="G105" s="520">
        <v>5</v>
      </c>
      <c r="H105" s="521"/>
      <c r="I105" s="246">
        <f xml:space="preserve"> ((0.53+0.25) + (0.5+0.25) + (0.47+0.25) + (0.48+0.25))/4</f>
        <v>0.745</v>
      </c>
      <c r="J105" s="249"/>
      <c r="K105" s="251">
        <f t="shared" si="5"/>
        <v>3.7250000000000001</v>
      </c>
      <c r="L105" s="251"/>
      <c r="M105" s="251"/>
      <c r="N105" s="252"/>
    </row>
    <row r="106" spans="2:14" ht="33.75" hidden="1" x14ac:dyDescent="0.25">
      <c r="B106" s="49"/>
      <c r="C106" s="57"/>
      <c r="D106" s="292" t="s">
        <v>873</v>
      </c>
      <c r="E106" s="64"/>
      <c r="F106" s="94"/>
      <c r="G106" s="520">
        <f>1184.23-SUM(G74:H105)</f>
        <v>582.07900000000006</v>
      </c>
      <c r="H106" s="521"/>
      <c r="I106" s="105">
        <v>0.3</v>
      </c>
      <c r="J106" s="99"/>
      <c r="K106" s="251">
        <f t="shared" si="5"/>
        <v>174.62370000000001</v>
      </c>
      <c r="L106" s="82"/>
      <c r="M106" s="82"/>
      <c r="N106" s="86"/>
    </row>
    <row r="107" spans="2:14" hidden="1" x14ac:dyDescent="0.25">
      <c r="B107" s="56" t="s">
        <v>48</v>
      </c>
      <c r="C107" s="60" t="s">
        <v>49</v>
      </c>
      <c r="D107" s="52"/>
      <c r="E107" s="64"/>
      <c r="F107" s="94"/>
      <c r="G107" s="520"/>
      <c r="H107" s="521"/>
      <c r="I107" s="105"/>
      <c r="J107" s="99"/>
      <c r="K107" s="81"/>
      <c r="L107" s="82"/>
      <c r="M107" s="82"/>
      <c r="N107" s="86"/>
    </row>
    <row r="108" spans="2:14" ht="45" hidden="1" x14ac:dyDescent="0.25">
      <c r="B108" s="49" t="s">
        <v>50</v>
      </c>
      <c r="C108" s="58" t="s">
        <v>51</v>
      </c>
      <c r="D108" s="52" t="s">
        <v>52</v>
      </c>
      <c r="E108" s="64" t="s">
        <v>41</v>
      </c>
      <c r="F108" s="94"/>
      <c r="G108" s="509" t="s">
        <v>652</v>
      </c>
      <c r="H108" s="512"/>
      <c r="I108" s="513"/>
      <c r="J108" s="99">
        <v>7.34</v>
      </c>
      <c r="K108" s="81">
        <f>SUM(K110:K153)</f>
        <v>25.772845</v>
      </c>
      <c r="L108" s="82">
        <f t="shared" si="0"/>
        <v>33.112845</v>
      </c>
      <c r="M108" s="82">
        <f>'BOLETIM DE MEDIÇÃO 05'!G26</f>
        <v>13.99</v>
      </c>
      <c r="N108" s="86">
        <f t="shared" si="1"/>
        <v>-19.122844999999998</v>
      </c>
    </row>
    <row r="109" spans="2:14" ht="33.75" hidden="1" x14ac:dyDescent="0.25">
      <c r="B109" s="49"/>
      <c r="C109" s="58"/>
      <c r="D109" s="152" t="s">
        <v>780</v>
      </c>
      <c r="E109" s="64"/>
      <c r="F109" s="94"/>
      <c r="G109" s="157" t="s">
        <v>653</v>
      </c>
      <c r="H109" s="92" t="s">
        <v>649</v>
      </c>
      <c r="I109" s="122" t="s">
        <v>654</v>
      </c>
      <c r="J109" s="99"/>
      <c r="K109" s="81"/>
      <c r="L109" s="82"/>
      <c r="M109" s="82"/>
      <c r="N109" s="86"/>
    </row>
    <row r="110" spans="2:14" hidden="1" x14ac:dyDescent="0.25">
      <c r="B110" s="49"/>
      <c r="C110" s="58"/>
      <c r="D110" s="144" t="s">
        <v>715</v>
      </c>
      <c r="E110" s="64"/>
      <c r="F110" s="94"/>
      <c r="G110" s="104">
        <v>15.175000000000001</v>
      </c>
      <c r="H110" s="92">
        <v>0.2</v>
      </c>
      <c r="I110" s="105" t="s">
        <v>716</v>
      </c>
      <c r="J110" s="99"/>
      <c r="K110" s="82">
        <f>(((0.53+0.2)/2)*G110)*H110</f>
        <v>1.107775</v>
      </c>
      <c r="L110" s="82"/>
      <c r="M110" s="82"/>
      <c r="N110" s="86"/>
    </row>
    <row r="111" spans="2:14" hidden="1" x14ac:dyDescent="0.25">
      <c r="B111" s="49"/>
      <c r="C111" s="58"/>
      <c r="D111" s="144" t="s">
        <v>717</v>
      </c>
      <c r="E111" s="64"/>
      <c r="F111" s="94"/>
      <c r="G111" s="104">
        <v>11</v>
      </c>
      <c r="H111" s="92">
        <v>0.2</v>
      </c>
      <c r="I111" s="105" t="s">
        <v>718</v>
      </c>
      <c r="J111" s="99"/>
      <c r="K111" s="82">
        <f>(0.2*G111)*H111</f>
        <v>0.44000000000000006</v>
      </c>
      <c r="L111" s="82"/>
      <c r="M111" s="82"/>
      <c r="N111" s="86"/>
    </row>
    <row r="112" spans="2:14" hidden="1" x14ac:dyDescent="0.25">
      <c r="B112" s="49"/>
      <c r="C112" s="58"/>
      <c r="D112" s="144" t="s">
        <v>719</v>
      </c>
      <c r="E112" s="64"/>
      <c r="F112" s="94"/>
      <c r="G112" s="104">
        <v>1.9</v>
      </c>
      <c r="H112" s="92">
        <v>0.2</v>
      </c>
      <c r="I112" s="105" t="s">
        <v>718</v>
      </c>
      <c r="J112" s="99"/>
      <c r="K112" s="82">
        <f>(0.2*G112)*H112</f>
        <v>7.6000000000000012E-2</v>
      </c>
      <c r="L112" s="82"/>
      <c r="M112" s="82"/>
      <c r="N112" s="86"/>
    </row>
    <row r="113" spans="2:14" hidden="1" x14ac:dyDescent="0.25">
      <c r="B113" s="49"/>
      <c r="C113" s="58"/>
      <c r="D113" s="144" t="s">
        <v>720</v>
      </c>
      <c r="E113" s="64"/>
      <c r="F113" s="94"/>
      <c r="G113" s="104">
        <v>6.38</v>
      </c>
      <c r="H113" s="92">
        <v>0.2</v>
      </c>
      <c r="I113" s="105" t="s">
        <v>721</v>
      </c>
      <c r="J113" s="99"/>
      <c r="K113" s="82">
        <f>(((0.29+0.2)/2)*G113)*H113</f>
        <v>0.31262000000000001</v>
      </c>
      <c r="L113" s="82"/>
      <c r="M113" s="82"/>
      <c r="N113" s="86"/>
    </row>
    <row r="114" spans="2:14" hidden="1" x14ac:dyDescent="0.25">
      <c r="B114" s="49"/>
      <c r="C114" s="58"/>
      <c r="D114" s="144" t="s">
        <v>722</v>
      </c>
      <c r="E114" s="64"/>
      <c r="F114" s="94"/>
      <c r="G114" s="104">
        <v>8.31</v>
      </c>
      <c r="H114" s="92">
        <v>0.2</v>
      </c>
      <c r="I114" s="105" t="s">
        <v>723</v>
      </c>
      <c r="J114" s="99"/>
      <c r="K114" s="82">
        <f>(((0.3+0.33)/2)*G114)*H114</f>
        <v>0.52353000000000005</v>
      </c>
      <c r="L114" s="82"/>
      <c r="M114" s="82"/>
      <c r="N114" s="86"/>
    </row>
    <row r="115" spans="2:14" hidden="1" x14ac:dyDescent="0.25">
      <c r="B115" s="49"/>
      <c r="C115" s="58"/>
      <c r="D115" s="144" t="s">
        <v>796</v>
      </c>
      <c r="E115" s="64"/>
      <c r="F115" s="94"/>
      <c r="G115" s="104">
        <v>24.074999999999999</v>
      </c>
      <c r="H115" s="92">
        <v>0.2</v>
      </c>
      <c r="I115" s="105" t="s">
        <v>797</v>
      </c>
      <c r="J115" s="99"/>
      <c r="K115" s="82">
        <f>(((0.2+0.6)/2)*G115)*H115</f>
        <v>1.9260000000000002</v>
      </c>
      <c r="L115" s="82"/>
      <c r="M115" s="82"/>
      <c r="N115" s="86"/>
    </row>
    <row r="116" spans="2:14" hidden="1" x14ac:dyDescent="0.25">
      <c r="B116" s="49"/>
      <c r="C116" s="58"/>
      <c r="D116" s="144" t="s">
        <v>724</v>
      </c>
      <c r="E116" s="64"/>
      <c r="F116" s="94"/>
      <c r="G116" s="104">
        <v>5.31</v>
      </c>
      <c r="H116" s="92">
        <v>0.2</v>
      </c>
      <c r="I116" s="105" t="s">
        <v>725</v>
      </c>
      <c r="J116" s="99"/>
      <c r="K116" s="82">
        <f>(((0.48+0.3)/2)*G116)*H116</f>
        <v>0.41417999999999999</v>
      </c>
      <c r="L116" s="82"/>
      <c r="M116" s="82"/>
      <c r="N116" s="86"/>
    </row>
    <row r="117" spans="2:14" hidden="1" x14ac:dyDescent="0.25">
      <c r="B117" s="49"/>
      <c r="C117" s="58"/>
      <c r="D117" s="144" t="s">
        <v>726</v>
      </c>
      <c r="E117" s="64"/>
      <c r="F117" s="94"/>
      <c r="G117" s="104">
        <v>5.47</v>
      </c>
      <c r="H117" s="92">
        <v>0.2</v>
      </c>
      <c r="I117" s="105" t="s">
        <v>727</v>
      </c>
      <c r="J117" s="99"/>
      <c r="K117" s="82">
        <f>(((0.38+0.24)/2)*G117)*H117</f>
        <v>0.33914</v>
      </c>
      <c r="L117" s="82"/>
      <c r="M117" s="82"/>
      <c r="N117" s="86"/>
    </row>
    <row r="118" spans="2:14" hidden="1" x14ac:dyDescent="0.25">
      <c r="B118" s="49"/>
      <c r="C118" s="58"/>
      <c r="D118" s="144" t="s">
        <v>816</v>
      </c>
      <c r="E118" s="64"/>
      <c r="F118" s="94"/>
      <c r="G118" s="104">
        <v>13.42</v>
      </c>
      <c r="H118" s="92">
        <v>0.2</v>
      </c>
      <c r="I118" s="105" t="s">
        <v>865</v>
      </c>
      <c r="J118" s="99"/>
      <c r="K118" s="82">
        <f>(((0.38+0.6)/2)*G118)*H118</f>
        <v>1.3151600000000001</v>
      </c>
      <c r="L118" s="82"/>
      <c r="M118" s="82"/>
      <c r="N118" s="86"/>
    </row>
    <row r="119" spans="2:14" hidden="1" x14ac:dyDescent="0.25">
      <c r="B119" s="49"/>
      <c r="C119" s="58"/>
      <c r="D119" s="144" t="s">
        <v>728</v>
      </c>
      <c r="E119" s="64"/>
      <c r="F119" s="94"/>
      <c r="G119" s="104">
        <v>5.31</v>
      </c>
      <c r="H119" s="92">
        <v>0.2</v>
      </c>
      <c r="I119" s="105" t="s">
        <v>729</v>
      </c>
      <c r="J119" s="99"/>
      <c r="K119" s="82">
        <f>(((0.43+0.35)/2)*G119)*H119</f>
        <v>0.41417999999999999</v>
      </c>
      <c r="L119" s="82"/>
      <c r="M119" s="82"/>
      <c r="N119" s="86"/>
    </row>
    <row r="120" spans="2:14" hidden="1" x14ac:dyDescent="0.25">
      <c r="B120" s="49"/>
      <c r="C120" s="58"/>
      <c r="D120" s="144" t="s">
        <v>730</v>
      </c>
      <c r="E120" s="64"/>
      <c r="F120" s="94"/>
      <c r="G120" s="104">
        <v>5.31</v>
      </c>
      <c r="H120" s="92">
        <v>0.2</v>
      </c>
      <c r="I120" s="105" t="s">
        <v>866</v>
      </c>
      <c r="J120" s="99"/>
      <c r="K120" s="82">
        <f>(((0.47+0.6)/2)*G120)*H120</f>
        <v>0.56816999999999984</v>
      </c>
      <c r="L120" s="82"/>
      <c r="M120" s="82"/>
      <c r="N120" s="86"/>
    </row>
    <row r="121" spans="2:14" hidden="1" x14ac:dyDescent="0.25">
      <c r="B121" s="49"/>
      <c r="C121" s="58"/>
      <c r="D121" s="144" t="s">
        <v>731</v>
      </c>
      <c r="E121" s="64"/>
      <c r="F121" s="94"/>
      <c r="G121" s="104">
        <v>19.97</v>
      </c>
      <c r="H121" s="92">
        <v>0.2</v>
      </c>
      <c r="I121" s="105" t="s">
        <v>830</v>
      </c>
      <c r="J121" s="99"/>
      <c r="K121" s="82">
        <f>(((0.62+0.5)/2)*G121)*H121</f>
        <v>2.2366400000000004</v>
      </c>
      <c r="L121" s="82"/>
      <c r="M121" s="82"/>
      <c r="N121" s="86"/>
    </row>
    <row r="122" spans="2:14" hidden="1" x14ac:dyDescent="0.25">
      <c r="B122" s="49"/>
      <c r="C122" s="58"/>
      <c r="D122" s="144" t="s">
        <v>732</v>
      </c>
      <c r="E122" s="64"/>
      <c r="F122" s="94"/>
      <c r="G122" s="104">
        <v>7.83</v>
      </c>
      <c r="H122" s="92">
        <v>0.2</v>
      </c>
      <c r="I122" s="105" t="s">
        <v>733</v>
      </c>
      <c r="J122" s="99"/>
      <c r="K122" s="82">
        <f>(((0.63+0.49)/2)*G122)*H122</f>
        <v>0.87696000000000007</v>
      </c>
      <c r="L122" s="82"/>
      <c r="M122" s="82"/>
      <c r="N122" s="86"/>
    </row>
    <row r="123" spans="2:14" hidden="1" x14ac:dyDescent="0.25">
      <c r="B123" s="49"/>
      <c r="C123" s="58"/>
      <c r="D123" s="144" t="s">
        <v>735</v>
      </c>
      <c r="E123" s="64"/>
      <c r="F123" s="94"/>
      <c r="G123" s="104">
        <v>2.5350000000000001</v>
      </c>
      <c r="H123" s="92">
        <v>0.2</v>
      </c>
      <c r="I123" s="105" t="s">
        <v>734</v>
      </c>
      <c r="J123" s="99"/>
      <c r="K123" s="82">
        <f>(((0.58+0.64)/2)*G123)*H123</f>
        <v>0.30927000000000004</v>
      </c>
      <c r="L123" s="82"/>
      <c r="M123" s="82"/>
      <c r="N123" s="86"/>
    </row>
    <row r="124" spans="2:14" hidden="1" x14ac:dyDescent="0.25">
      <c r="B124" s="49"/>
      <c r="C124" s="58"/>
      <c r="D124" s="144" t="s">
        <v>736</v>
      </c>
      <c r="E124" s="64"/>
      <c r="F124" s="94"/>
      <c r="G124" s="104">
        <v>6.39</v>
      </c>
      <c r="H124" s="92">
        <v>0.2</v>
      </c>
      <c r="I124" s="105" t="s">
        <v>737</v>
      </c>
      <c r="J124" s="99"/>
      <c r="K124" s="82">
        <f>(0.47*G124)*H124</f>
        <v>0.60065999999999997</v>
      </c>
      <c r="L124" s="82"/>
      <c r="M124" s="82"/>
      <c r="N124" s="86"/>
    </row>
    <row r="125" spans="2:14" hidden="1" x14ac:dyDescent="0.25">
      <c r="B125" s="49"/>
      <c r="C125" s="58"/>
      <c r="D125" s="144" t="s">
        <v>738</v>
      </c>
      <c r="E125" s="64"/>
      <c r="F125" s="94"/>
      <c r="G125" s="104">
        <v>4.0049999999999999</v>
      </c>
      <c r="H125" s="92">
        <v>0.2</v>
      </c>
      <c r="I125" s="105" t="s">
        <v>739</v>
      </c>
      <c r="J125" s="99"/>
      <c r="K125" s="82">
        <f>(0.49*G125)*H125</f>
        <v>0.39249000000000001</v>
      </c>
      <c r="L125" s="82"/>
      <c r="M125" s="82"/>
      <c r="N125" s="86"/>
    </row>
    <row r="126" spans="2:14" hidden="1" x14ac:dyDescent="0.25">
      <c r="B126" s="49"/>
      <c r="C126" s="58"/>
      <c r="D126" s="144" t="s">
        <v>817</v>
      </c>
      <c r="E126" s="64"/>
      <c r="F126" s="94"/>
      <c r="G126" s="104">
        <v>2.2000000000000002</v>
      </c>
      <c r="H126" s="92">
        <v>0.2</v>
      </c>
      <c r="I126" s="105" t="s">
        <v>740</v>
      </c>
      <c r="J126" s="99"/>
      <c r="K126" s="82">
        <f>(0.55*G126)*H126</f>
        <v>0.24200000000000005</v>
      </c>
      <c r="L126" s="82"/>
      <c r="M126" s="82"/>
      <c r="N126" s="86"/>
    </row>
    <row r="127" spans="2:14" hidden="1" x14ac:dyDescent="0.25">
      <c r="B127" s="49"/>
      <c r="C127" s="58"/>
      <c r="D127" s="144" t="s">
        <v>741</v>
      </c>
      <c r="E127" s="64"/>
      <c r="F127" s="94"/>
      <c r="G127" s="104">
        <v>7.75</v>
      </c>
      <c r="H127" s="92">
        <v>0.2</v>
      </c>
      <c r="I127" s="105" t="s">
        <v>742</v>
      </c>
      <c r="J127" s="99"/>
      <c r="K127" s="82">
        <f>(((0.56+0.48)/2)*G127)*H127</f>
        <v>0.80600000000000005</v>
      </c>
      <c r="L127" s="82"/>
      <c r="M127" s="82"/>
      <c r="N127" s="86"/>
    </row>
    <row r="128" spans="2:14" hidden="1" x14ac:dyDescent="0.25">
      <c r="B128" s="49"/>
      <c r="C128" s="58"/>
      <c r="D128" s="144" t="s">
        <v>743</v>
      </c>
      <c r="E128" s="64"/>
      <c r="F128" s="94"/>
      <c r="G128" s="104">
        <v>3.01</v>
      </c>
      <c r="H128" s="92">
        <v>0.2</v>
      </c>
      <c r="I128" s="105" t="s">
        <v>744</v>
      </c>
      <c r="J128" s="99"/>
      <c r="K128" s="82">
        <f>(0.3*G128)*H128</f>
        <v>0.18059999999999998</v>
      </c>
      <c r="L128" s="82"/>
      <c r="M128" s="82"/>
      <c r="N128" s="86"/>
    </row>
    <row r="129" spans="2:14" hidden="1" x14ac:dyDescent="0.25">
      <c r="B129" s="49"/>
      <c r="C129" s="58"/>
      <c r="D129" s="144" t="s">
        <v>745</v>
      </c>
      <c r="E129" s="64"/>
      <c r="F129" s="94"/>
      <c r="G129" s="104">
        <v>3.01</v>
      </c>
      <c r="H129" s="92">
        <v>0.2</v>
      </c>
      <c r="I129" s="105" t="s">
        <v>746</v>
      </c>
      <c r="J129" s="99"/>
      <c r="K129" s="82">
        <f>(((0.4+0.36)/2)*G129)*H129</f>
        <v>0.22875999999999999</v>
      </c>
      <c r="L129" s="82"/>
      <c r="M129" s="82"/>
      <c r="N129" s="86"/>
    </row>
    <row r="130" spans="2:14" hidden="1" x14ac:dyDescent="0.25">
      <c r="B130" s="49"/>
      <c r="C130" s="58"/>
      <c r="D130" s="144" t="s">
        <v>800</v>
      </c>
      <c r="E130" s="64"/>
      <c r="F130" s="94"/>
      <c r="G130" s="104">
        <v>22.225000000000001</v>
      </c>
      <c r="H130" s="92">
        <v>0.2</v>
      </c>
      <c r="I130" s="105" t="s">
        <v>801</v>
      </c>
      <c r="J130" s="99"/>
      <c r="K130" s="82">
        <f>(((0.4+0.23)/2)*G130)*H130</f>
        <v>1.4001750000000002</v>
      </c>
      <c r="L130" s="82"/>
      <c r="M130" s="82"/>
      <c r="N130" s="86"/>
    </row>
    <row r="131" spans="2:14" hidden="1" x14ac:dyDescent="0.25">
      <c r="B131" s="49"/>
      <c r="C131" s="58"/>
      <c r="D131" s="144" t="s">
        <v>747</v>
      </c>
      <c r="E131" s="64"/>
      <c r="F131" s="94"/>
      <c r="G131" s="104">
        <v>5.2949999999999999</v>
      </c>
      <c r="H131" s="92">
        <v>0.2</v>
      </c>
      <c r="I131" s="105" t="s">
        <v>748</v>
      </c>
      <c r="J131" s="99"/>
      <c r="K131" s="82">
        <f>(((0.3+0.34)/2)*G131)*H131</f>
        <v>0.33888000000000001</v>
      </c>
      <c r="L131" s="82"/>
      <c r="M131" s="82"/>
      <c r="N131" s="86"/>
    </row>
    <row r="132" spans="2:14" hidden="1" x14ac:dyDescent="0.25">
      <c r="B132" s="49"/>
      <c r="C132" s="58"/>
      <c r="D132" s="144" t="s">
        <v>810</v>
      </c>
      <c r="E132" s="64"/>
      <c r="F132" s="94"/>
      <c r="G132" s="104">
        <v>16.48</v>
      </c>
      <c r="H132" s="92">
        <v>0.2</v>
      </c>
      <c r="I132" s="105" t="s">
        <v>811</v>
      </c>
      <c r="J132" s="99"/>
      <c r="K132" s="82">
        <f>(((0.48+0.24)/2)*G132)*H132</f>
        <v>1.1865600000000001</v>
      </c>
      <c r="L132" s="82"/>
      <c r="M132" s="82"/>
      <c r="N132" s="86"/>
    </row>
    <row r="133" spans="2:14" hidden="1" x14ac:dyDescent="0.25">
      <c r="B133" s="49"/>
      <c r="C133" s="58"/>
      <c r="D133" s="144" t="s">
        <v>749</v>
      </c>
      <c r="E133" s="64"/>
      <c r="F133" s="94"/>
      <c r="G133" s="104">
        <v>5.47</v>
      </c>
      <c r="H133" s="92">
        <v>0.2</v>
      </c>
      <c r="I133" s="105" t="s">
        <v>750</v>
      </c>
      <c r="J133" s="99"/>
      <c r="K133" s="82">
        <f>(((0.34+0.4)/2)*G133)*H133</f>
        <v>0.40477999999999997</v>
      </c>
      <c r="L133" s="82"/>
      <c r="M133" s="82"/>
      <c r="N133" s="86"/>
    </row>
    <row r="134" spans="2:14" hidden="1" x14ac:dyDescent="0.25">
      <c r="B134" s="49"/>
      <c r="C134" s="58"/>
      <c r="D134" s="144" t="s">
        <v>751</v>
      </c>
      <c r="E134" s="64"/>
      <c r="F134" s="94"/>
      <c r="G134" s="104">
        <v>2.69</v>
      </c>
      <c r="H134" s="92">
        <v>0.2</v>
      </c>
      <c r="I134" s="105" t="s">
        <v>753</v>
      </c>
      <c r="J134" s="99"/>
      <c r="K134" s="82">
        <f>(((0.3+0.35)/2)*G134)*H134</f>
        <v>0.17484999999999998</v>
      </c>
      <c r="L134" s="82"/>
      <c r="M134" s="82"/>
      <c r="N134" s="86"/>
    </row>
    <row r="135" spans="2:14" hidden="1" x14ac:dyDescent="0.25">
      <c r="B135" s="49"/>
      <c r="C135" s="58"/>
      <c r="D135" s="144" t="s">
        <v>752</v>
      </c>
      <c r="E135" s="64"/>
      <c r="F135" s="94"/>
      <c r="G135" s="104">
        <v>2.69</v>
      </c>
      <c r="H135" s="92">
        <v>0.2</v>
      </c>
      <c r="I135" s="105" t="s">
        <v>754</v>
      </c>
      <c r="J135" s="99"/>
      <c r="K135" s="82">
        <f>(((0.32+0.38)/2)*G135)*H135</f>
        <v>0.1883</v>
      </c>
      <c r="L135" s="82"/>
      <c r="M135" s="82"/>
      <c r="N135" s="86"/>
    </row>
    <row r="136" spans="2:14" hidden="1" x14ac:dyDescent="0.25">
      <c r="B136" s="49"/>
      <c r="C136" s="58"/>
      <c r="D136" s="144" t="s">
        <v>786</v>
      </c>
      <c r="E136" s="64"/>
      <c r="F136" s="94"/>
      <c r="G136" s="104">
        <v>8.85</v>
      </c>
      <c r="H136" s="92">
        <v>0.2</v>
      </c>
      <c r="I136" s="105" t="s">
        <v>787</v>
      </c>
      <c r="J136" s="99"/>
      <c r="K136" s="82">
        <f>(((0.58+0.64)/2)*G136)*H136</f>
        <v>1.0796999999999999</v>
      </c>
      <c r="L136" s="82"/>
      <c r="M136" s="82"/>
      <c r="N136" s="86"/>
    </row>
    <row r="137" spans="2:14" hidden="1" x14ac:dyDescent="0.25">
      <c r="B137" s="49"/>
      <c r="C137" s="58"/>
      <c r="D137" s="144" t="s">
        <v>788</v>
      </c>
      <c r="E137" s="64"/>
      <c r="F137" s="94"/>
      <c r="G137" s="104">
        <v>4.9000000000000004</v>
      </c>
      <c r="H137" s="92">
        <v>0.2</v>
      </c>
      <c r="I137" s="105" t="s">
        <v>789</v>
      </c>
      <c r="J137" s="99"/>
      <c r="K137" s="82">
        <f>(((0.64+0.63)/2)*G137)*H137</f>
        <v>0.62230000000000008</v>
      </c>
      <c r="L137" s="82"/>
      <c r="M137" s="82"/>
      <c r="N137" s="86"/>
    </row>
    <row r="138" spans="2:14" hidden="1" x14ac:dyDescent="0.25">
      <c r="B138" s="49"/>
      <c r="C138" s="58"/>
      <c r="D138" s="144" t="s">
        <v>790</v>
      </c>
      <c r="E138" s="64"/>
      <c r="F138" s="94"/>
      <c r="G138" s="104">
        <v>7.21</v>
      </c>
      <c r="H138" s="92">
        <v>0.2</v>
      </c>
      <c r="I138" s="105" t="s">
        <v>791</v>
      </c>
      <c r="J138" s="99"/>
      <c r="K138" s="82">
        <f>(((0.64+0.5)/2)*G138)*H138</f>
        <v>0.82194000000000011</v>
      </c>
      <c r="L138" s="82"/>
      <c r="M138" s="82"/>
      <c r="N138" s="86"/>
    </row>
    <row r="139" spans="2:14" hidden="1" x14ac:dyDescent="0.25">
      <c r="B139" s="49"/>
      <c r="C139" s="58"/>
      <c r="D139" s="144" t="s">
        <v>792</v>
      </c>
      <c r="E139" s="64"/>
      <c r="F139" s="94"/>
      <c r="G139" s="104">
        <v>8.85</v>
      </c>
      <c r="H139" s="92">
        <v>0.2</v>
      </c>
      <c r="I139" s="105" t="s">
        <v>793</v>
      </c>
      <c r="J139" s="99"/>
      <c r="K139" s="82">
        <f>(((0.6+0.63)/2)*G139)*H139</f>
        <v>1.0885499999999999</v>
      </c>
      <c r="L139" s="82"/>
      <c r="M139" s="82"/>
      <c r="N139" s="86"/>
    </row>
    <row r="140" spans="2:14" hidden="1" x14ac:dyDescent="0.25">
      <c r="B140" s="49"/>
      <c r="C140" s="58"/>
      <c r="D140" s="144" t="s">
        <v>794</v>
      </c>
      <c r="E140" s="64"/>
      <c r="F140" s="94"/>
      <c r="G140" s="104">
        <v>2.46</v>
      </c>
      <c r="H140" s="92">
        <v>0.2</v>
      </c>
      <c r="I140" s="105" t="s">
        <v>795</v>
      </c>
      <c r="J140" s="99"/>
      <c r="K140" s="82">
        <f>(((0.5+0.63)/2)*G140)*H140</f>
        <v>0.27798</v>
      </c>
      <c r="L140" s="82"/>
      <c r="M140" s="82"/>
      <c r="N140" s="86"/>
    </row>
    <row r="141" spans="2:14" hidden="1" x14ac:dyDescent="0.25">
      <c r="B141" s="49"/>
      <c r="C141" s="58"/>
      <c r="D141" s="144" t="s">
        <v>802</v>
      </c>
      <c r="E141" s="64"/>
      <c r="F141" s="94"/>
      <c r="G141" s="104">
        <v>3.16</v>
      </c>
      <c r="H141" s="92">
        <v>0.2</v>
      </c>
      <c r="I141" s="105" t="s">
        <v>804</v>
      </c>
      <c r="J141" s="99"/>
      <c r="K141" s="82">
        <f>(((0.58+0.5)/2)*G141)*H141</f>
        <v>0.34128000000000003</v>
      </c>
      <c r="L141" s="82"/>
      <c r="M141" s="82"/>
      <c r="N141" s="86"/>
    </row>
    <row r="142" spans="2:14" hidden="1" x14ac:dyDescent="0.25">
      <c r="B142" s="49"/>
      <c r="C142" s="58"/>
      <c r="D142" s="144" t="s">
        <v>798</v>
      </c>
      <c r="E142" s="64"/>
      <c r="F142" s="94"/>
      <c r="G142" s="104">
        <v>5.7</v>
      </c>
      <c r="H142" s="92">
        <v>0.2</v>
      </c>
      <c r="I142" s="105" t="s">
        <v>799</v>
      </c>
      <c r="J142" s="99"/>
      <c r="K142" s="82">
        <f>(((0.56+0.5)/2)*G142)*H142</f>
        <v>0.60420000000000007</v>
      </c>
      <c r="L142" s="82"/>
      <c r="M142" s="82"/>
      <c r="N142" s="86"/>
    </row>
    <row r="143" spans="2:14" hidden="1" x14ac:dyDescent="0.25">
      <c r="B143" s="49"/>
      <c r="C143" s="58"/>
      <c r="D143" s="144" t="s">
        <v>803</v>
      </c>
      <c r="E143" s="64"/>
      <c r="F143" s="94"/>
      <c r="G143" s="104">
        <v>7.6849999999999996</v>
      </c>
      <c r="H143" s="92">
        <v>0.2</v>
      </c>
      <c r="I143" s="105" t="s">
        <v>805</v>
      </c>
      <c r="J143" s="99"/>
      <c r="K143" s="82">
        <f>(((0.5+0.46)/2)*G143)*H143</f>
        <v>0.73775999999999997</v>
      </c>
      <c r="L143" s="82"/>
      <c r="M143" s="82"/>
      <c r="N143" s="86"/>
    </row>
    <row r="144" spans="2:14" hidden="1" x14ac:dyDescent="0.25">
      <c r="B144" s="49"/>
      <c r="C144" s="58"/>
      <c r="D144" s="144" t="s">
        <v>806</v>
      </c>
      <c r="E144" s="64"/>
      <c r="F144" s="94"/>
      <c r="G144" s="104">
        <v>1.8</v>
      </c>
      <c r="H144" s="92">
        <v>0.2</v>
      </c>
      <c r="I144" s="105" t="s">
        <v>807</v>
      </c>
      <c r="J144" s="99"/>
      <c r="K144" s="82">
        <f>(0.42*G144)*H144</f>
        <v>0.1512</v>
      </c>
      <c r="L144" s="82"/>
      <c r="M144" s="82"/>
      <c r="N144" s="86"/>
    </row>
    <row r="145" spans="2:14" hidden="1" x14ac:dyDescent="0.25">
      <c r="B145" s="49"/>
      <c r="C145" s="58"/>
      <c r="D145" s="144" t="s">
        <v>808</v>
      </c>
      <c r="E145" s="64"/>
      <c r="F145" s="94"/>
      <c r="G145" s="104">
        <v>8.3000000000000007</v>
      </c>
      <c r="H145" s="92">
        <v>0.2</v>
      </c>
      <c r="I145" s="105" t="s">
        <v>809</v>
      </c>
      <c r="J145" s="99"/>
      <c r="K145" s="82">
        <f>(((0.42+0.33)/2)*G145)*H145</f>
        <v>0.62250000000000005</v>
      </c>
      <c r="L145" s="82"/>
      <c r="M145" s="82"/>
      <c r="N145" s="86"/>
    </row>
    <row r="146" spans="2:14" hidden="1" x14ac:dyDescent="0.25">
      <c r="B146" s="49"/>
      <c r="C146" s="58"/>
      <c r="D146" s="144" t="s">
        <v>812</v>
      </c>
      <c r="E146" s="64"/>
      <c r="F146" s="94"/>
      <c r="G146" s="104">
        <v>3.65</v>
      </c>
      <c r="H146" s="92">
        <v>0.2</v>
      </c>
      <c r="I146" s="105" t="s">
        <v>813</v>
      </c>
      <c r="J146" s="99"/>
      <c r="K146" s="82">
        <f>(((0.36+0.3)/2)*G146)*H146</f>
        <v>0.2409</v>
      </c>
      <c r="L146" s="82"/>
      <c r="M146" s="82"/>
      <c r="N146" s="86"/>
    </row>
    <row r="147" spans="2:14" hidden="1" x14ac:dyDescent="0.25">
      <c r="B147" s="49"/>
      <c r="C147" s="58"/>
      <c r="D147" s="144" t="s">
        <v>820</v>
      </c>
      <c r="E147" s="64"/>
      <c r="F147" s="94"/>
      <c r="G147" s="104">
        <v>2.0950000000000002</v>
      </c>
      <c r="H147" s="92">
        <v>0.2</v>
      </c>
      <c r="I147" s="105" t="s">
        <v>821</v>
      </c>
      <c r="J147" s="99"/>
      <c r="K147" s="82">
        <f>(((0.35+0.4)/2)*G147)*H147</f>
        <v>0.15712500000000001</v>
      </c>
      <c r="L147" s="82"/>
      <c r="M147" s="82"/>
      <c r="N147" s="86"/>
    </row>
    <row r="148" spans="2:14" hidden="1" x14ac:dyDescent="0.25">
      <c r="B148" s="49"/>
      <c r="C148" s="58"/>
      <c r="D148" s="144" t="s">
        <v>814</v>
      </c>
      <c r="E148" s="64"/>
      <c r="F148" s="94"/>
      <c r="G148" s="104">
        <v>4.3899999999999997</v>
      </c>
      <c r="H148" s="92">
        <v>0.2</v>
      </c>
      <c r="I148" s="105" t="s">
        <v>815</v>
      </c>
      <c r="J148" s="99"/>
      <c r="K148" s="82">
        <f>(((0.48+0.47)/2)*G148)*H148</f>
        <v>0.41704999999999998</v>
      </c>
      <c r="L148" s="82"/>
      <c r="M148" s="82"/>
      <c r="N148" s="86"/>
    </row>
    <row r="149" spans="2:14" hidden="1" x14ac:dyDescent="0.25">
      <c r="B149" s="49"/>
      <c r="C149" s="58"/>
      <c r="D149" s="144" t="s">
        <v>818</v>
      </c>
      <c r="E149" s="64"/>
      <c r="F149" s="94"/>
      <c r="G149" s="104">
        <v>2.95</v>
      </c>
      <c r="H149" s="92">
        <v>0.2</v>
      </c>
      <c r="I149" s="105" t="s">
        <v>819</v>
      </c>
      <c r="J149" s="99"/>
      <c r="K149" s="82">
        <f>(((0.35+0.3)/2)*G149)*H149</f>
        <v>0.19174999999999998</v>
      </c>
      <c r="L149" s="82"/>
      <c r="M149" s="82"/>
      <c r="N149" s="86"/>
    </row>
    <row r="150" spans="2:14" hidden="1" x14ac:dyDescent="0.25">
      <c r="B150" s="49"/>
      <c r="C150" s="58"/>
      <c r="D150" s="144" t="s">
        <v>822</v>
      </c>
      <c r="E150" s="64"/>
      <c r="F150" s="94"/>
      <c r="G150" s="104">
        <v>2.95</v>
      </c>
      <c r="H150" s="92">
        <v>0.2</v>
      </c>
      <c r="I150" s="105" t="s">
        <v>823</v>
      </c>
      <c r="J150" s="99"/>
      <c r="K150" s="82">
        <f>(((0.4+0.32)/2)*G150)*H150</f>
        <v>0.21240000000000003</v>
      </c>
      <c r="L150" s="82"/>
      <c r="M150" s="82"/>
      <c r="N150" s="86"/>
    </row>
    <row r="151" spans="2:14" hidden="1" x14ac:dyDescent="0.25">
      <c r="B151" s="49"/>
      <c r="C151" s="58"/>
      <c r="D151" s="144" t="s">
        <v>824</v>
      </c>
      <c r="E151" s="64"/>
      <c r="F151" s="94"/>
      <c r="G151" s="104">
        <v>2.0950000000000002</v>
      </c>
      <c r="H151" s="92">
        <v>0.2</v>
      </c>
      <c r="I151" s="105" t="s">
        <v>825</v>
      </c>
      <c r="J151" s="99"/>
      <c r="K151" s="82">
        <f>(((0.32+0.3)/2)*G151)*H151</f>
        <v>0.12989000000000003</v>
      </c>
      <c r="L151" s="82"/>
      <c r="M151" s="82"/>
      <c r="N151" s="86"/>
    </row>
    <row r="152" spans="2:14" hidden="1" x14ac:dyDescent="0.25">
      <c r="B152" s="49"/>
      <c r="C152" s="58"/>
      <c r="D152" s="144" t="s">
        <v>826</v>
      </c>
      <c r="E152" s="64"/>
      <c r="F152" s="94"/>
      <c r="G152" s="104">
        <v>6.9</v>
      </c>
      <c r="H152" s="92">
        <v>0.2</v>
      </c>
      <c r="I152" s="105" t="s">
        <v>827</v>
      </c>
      <c r="J152" s="99"/>
      <c r="K152" s="82">
        <f>(((0.5+0.48)/2)*G152)*H152</f>
        <v>0.67620000000000013</v>
      </c>
      <c r="L152" s="82"/>
      <c r="M152" s="82"/>
      <c r="N152" s="86"/>
    </row>
    <row r="153" spans="2:14" hidden="1" x14ac:dyDescent="0.25">
      <c r="B153" s="49"/>
      <c r="C153" s="58"/>
      <c r="D153" s="144" t="s">
        <v>828</v>
      </c>
      <c r="E153" s="64"/>
      <c r="F153" s="94"/>
      <c r="G153" s="104">
        <v>5.83</v>
      </c>
      <c r="H153" s="92">
        <v>0.2</v>
      </c>
      <c r="I153" s="105" t="s">
        <v>829</v>
      </c>
      <c r="J153" s="99"/>
      <c r="K153" s="82">
        <f>(((0.37+0.31)/2)*G153)*H153</f>
        <v>0.39643999999999996</v>
      </c>
      <c r="L153" s="82"/>
      <c r="M153" s="82"/>
      <c r="N153" s="86"/>
    </row>
    <row r="154" spans="2:14" ht="22.5" hidden="1" x14ac:dyDescent="0.25">
      <c r="B154" s="49" t="s">
        <v>53</v>
      </c>
      <c r="C154" s="57">
        <v>101616</v>
      </c>
      <c r="D154" s="52" t="s">
        <v>55</v>
      </c>
      <c r="E154" s="64" t="s">
        <v>17</v>
      </c>
      <c r="F154" s="94"/>
      <c r="G154" s="104"/>
      <c r="H154" s="165">
        <v>0.2</v>
      </c>
      <c r="I154" s="105"/>
      <c r="J154" s="99">
        <f>'BOLETIM DE MEDIÇÃO 05'!O27-'MEMORIAL DE CALCULO 06'!K154</f>
        <v>27.17</v>
      </c>
      <c r="K154" s="81">
        <f>SUM(K156:K162)</f>
        <v>10.64</v>
      </c>
      <c r="L154" s="82">
        <f t="shared" si="0"/>
        <v>37.81</v>
      </c>
      <c r="M154" s="82">
        <f>'BOLETIM DE MEDIÇÃO 05'!G27</f>
        <v>37.81</v>
      </c>
      <c r="N154" s="86">
        <f t="shared" si="1"/>
        <v>0</v>
      </c>
    </row>
    <row r="155" spans="2:14" hidden="1" x14ac:dyDescent="0.25">
      <c r="B155" s="49"/>
      <c r="C155" s="57"/>
      <c r="D155" s="152" t="s">
        <v>588</v>
      </c>
      <c r="E155" s="64"/>
      <c r="F155" s="94"/>
      <c r="G155" s="104"/>
      <c r="H155" s="165">
        <v>0.2</v>
      </c>
      <c r="I155" s="105"/>
      <c r="J155" s="99"/>
      <c r="K155" s="81"/>
      <c r="L155" s="82"/>
      <c r="M155" s="82"/>
      <c r="N155" s="86"/>
    </row>
    <row r="156" spans="2:14" ht="33.75" hidden="1" x14ac:dyDescent="0.25">
      <c r="B156" s="49"/>
      <c r="C156" s="57"/>
      <c r="D156" s="144" t="s">
        <v>569</v>
      </c>
      <c r="E156" s="64"/>
      <c r="F156" s="94">
        <v>32</v>
      </c>
      <c r="G156" s="104">
        <v>0.6</v>
      </c>
      <c r="H156" s="165">
        <v>0.2</v>
      </c>
      <c r="I156" s="156"/>
      <c r="J156" s="99"/>
      <c r="K156" s="82">
        <f>F156*(G156*H156)</f>
        <v>3.84</v>
      </c>
      <c r="L156" s="82"/>
      <c r="M156" s="82"/>
      <c r="N156" s="86"/>
    </row>
    <row r="157" spans="2:14" ht="45" hidden="1" x14ac:dyDescent="0.25">
      <c r="B157" s="49"/>
      <c r="C157" s="57"/>
      <c r="D157" s="144" t="s">
        <v>570</v>
      </c>
      <c r="E157" s="64"/>
      <c r="F157" s="94">
        <v>40</v>
      </c>
      <c r="G157" s="104">
        <v>0.6</v>
      </c>
      <c r="H157" s="165">
        <v>0.2</v>
      </c>
      <c r="I157" s="156"/>
      <c r="J157" s="99"/>
      <c r="K157" s="82">
        <f t="shared" ref="K157:K162" si="6">F157*(G157*H157)</f>
        <v>4.8</v>
      </c>
      <c r="L157" s="82"/>
      <c r="M157" s="82"/>
      <c r="N157" s="86"/>
    </row>
    <row r="158" spans="2:14" hidden="1" x14ac:dyDescent="0.25">
      <c r="B158" s="49"/>
      <c r="C158" s="57"/>
      <c r="D158" s="144" t="s">
        <v>571</v>
      </c>
      <c r="E158" s="64"/>
      <c r="F158" s="94">
        <v>1</v>
      </c>
      <c r="G158" s="104">
        <v>0.6</v>
      </c>
      <c r="H158" s="165">
        <v>0.2</v>
      </c>
      <c r="I158" s="156"/>
      <c r="J158" s="99"/>
      <c r="K158" s="82">
        <f t="shared" si="6"/>
        <v>0.12</v>
      </c>
      <c r="L158" s="82"/>
      <c r="M158" s="82"/>
      <c r="N158" s="86"/>
    </row>
    <row r="159" spans="2:14" hidden="1" x14ac:dyDescent="0.25">
      <c r="B159" s="49"/>
      <c r="C159" s="57"/>
      <c r="D159" s="144" t="s">
        <v>572</v>
      </c>
      <c r="E159" s="64"/>
      <c r="F159" s="94">
        <v>2</v>
      </c>
      <c r="G159" s="104">
        <v>0.9</v>
      </c>
      <c r="H159" s="165">
        <v>0.2</v>
      </c>
      <c r="I159" s="156"/>
      <c r="J159" s="99"/>
      <c r="K159" s="82">
        <f t="shared" si="6"/>
        <v>0.36000000000000004</v>
      </c>
      <c r="L159" s="82"/>
      <c r="M159" s="82"/>
      <c r="N159" s="86"/>
    </row>
    <row r="160" spans="2:14" hidden="1" x14ac:dyDescent="0.25">
      <c r="B160" s="49"/>
      <c r="C160" s="57"/>
      <c r="D160" s="144" t="s">
        <v>573</v>
      </c>
      <c r="E160" s="64"/>
      <c r="F160" s="94">
        <v>7</v>
      </c>
      <c r="G160" s="104">
        <v>0.65</v>
      </c>
      <c r="H160" s="165">
        <v>0.2</v>
      </c>
      <c r="I160" s="156"/>
      <c r="J160" s="99"/>
      <c r="K160" s="82">
        <f t="shared" si="6"/>
        <v>0.91</v>
      </c>
      <c r="L160" s="82"/>
      <c r="M160" s="82"/>
      <c r="N160" s="86"/>
    </row>
    <row r="161" spans="2:14" hidden="1" x14ac:dyDescent="0.25">
      <c r="B161" s="49"/>
      <c r="C161" s="57"/>
      <c r="D161" s="144" t="s">
        <v>574</v>
      </c>
      <c r="E161" s="64"/>
      <c r="F161" s="94">
        <v>3</v>
      </c>
      <c r="G161" s="104">
        <v>0.65</v>
      </c>
      <c r="H161" s="165">
        <v>0.2</v>
      </c>
      <c r="I161" s="156"/>
      <c r="J161" s="99"/>
      <c r="K161" s="82">
        <f t="shared" si="6"/>
        <v>0.39</v>
      </c>
      <c r="L161" s="82"/>
      <c r="M161" s="82"/>
      <c r="N161" s="86"/>
    </row>
    <row r="162" spans="2:14" hidden="1" x14ac:dyDescent="0.25">
      <c r="B162" s="49"/>
      <c r="C162" s="57"/>
      <c r="D162" s="144" t="s">
        <v>575</v>
      </c>
      <c r="E162" s="64"/>
      <c r="F162" s="94">
        <v>2</v>
      </c>
      <c r="G162" s="104">
        <v>0.55000000000000004</v>
      </c>
      <c r="H162" s="165">
        <v>0.2</v>
      </c>
      <c r="I162" s="156"/>
      <c r="J162" s="99"/>
      <c r="K162" s="82">
        <f t="shared" si="6"/>
        <v>0.22000000000000003</v>
      </c>
      <c r="L162" s="82"/>
      <c r="M162" s="82"/>
      <c r="N162" s="86"/>
    </row>
    <row r="163" spans="2:14" ht="33.75" hidden="1" x14ac:dyDescent="0.25">
      <c r="B163" s="49" t="s">
        <v>56</v>
      </c>
      <c r="C163" s="57">
        <v>96619</v>
      </c>
      <c r="D163" s="61" t="s">
        <v>58</v>
      </c>
      <c r="E163" s="64" t="s">
        <v>17</v>
      </c>
      <c r="F163" s="94"/>
      <c r="G163" s="104"/>
      <c r="H163" s="165">
        <v>0.2</v>
      </c>
      <c r="I163" s="105"/>
      <c r="J163" s="99">
        <f>'BOLETIM DE MEDIÇÃO 05'!O28-'MEMORIAL DE CALCULO 06'!K163</f>
        <v>27.17</v>
      </c>
      <c r="K163" s="81">
        <f>SUM(K165:K171)</f>
        <v>10.64</v>
      </c>
      <c r="L163" s="82">
        <f t="shared" si="0"/>
        <v>37.81</v>
      </c>
      <c r="M163" s="82">
        <f>'BOLETIM DE MEDIÇÃO 05'!G28</f>
        <v>77.41</v>
      </c>
      <c r="N163" s="86">
        <f t="shared" si="1"/>
        <v>39.599999999999994</v>
      </c>
    </row>
    <row r="164" spans="2:14" hidden="1" x14ac:dyDescent="0.25">
      <c r="B164" s="49"/>
      <c r="C164" s="57"/>
      <c r="D164" s="152" t="s">
        <v>588</v>
      </c>
      <c r="E164" s="64"/>
      <c r="F164" s="94"/>
      <c r="G164" s="104"/>
      <c r="H164" s="165">
        <v>0.2</v>
      </c>
      <c r="I164" s="105"/>
      <c r="J164" s="99"/>
      <c r="K164" s="81"/>
      <c r="L164" s="82"/>
      <c r="M164" s="82"/>
      <c r="N164" s="86"/>
    </row>
    <row r="165" spans="2:14" ht="33.75" hidden="1" x14ac:dyDescent="0.25">
      <c r="B165" s="49"/>
      <c r="C165" s="57"/>
      <c r="D165" s="144" t="s">
        <v>569</v>
      </c>
      <c r="E165" s="64"/>
      <c r="F165" s="94">
        <v>32</v>
      </c>
      <c r="G165" s="104">
        <v>0.6</v>
      </c>
      <c r="H165" s="165">
        <v>0.2</v>
      </c>
      <c r="I165" s="105"/>
      <c r="J165" s="99"/>
      <c r="K165" s="82">
        <f>F165*(G165*H165)</f>
        <v>3.84</v>
      </c>
      <c r="L165" s="82"/>
      <c r="M165" s="82"/>
      <c r="N165" s="86"/>
    </row>
    <row r="166" spans="2:14" ht="45" hidden="1" x14ac:dyDescent="0.25">
      <c r="B166" s="49"/>
      <c r="C166" s="57"/>
      <c r="D166" s="144" t="s">
        <v>570</v>
      </c>
      <c r="E166" s="64"/>
      <c r="F166" s="94">
        <v>40</v>
      </c>
      <c r="G166" s="104">
        <v>0.6</v>
      </c>
      <c r="H166" s="165">
        <v>0.2</v>
      </c>
      <c r="I166" s="105"/>
      <c r="J166" s="99"/>
      <c r="K166" s="82">
        <f t="shared" ref="K166:K171" si="7">F166*(G166*H166)</f>
        <v>4.8</v>
      </c>
      <c r="L166" s="82"/>
      <c r="M166" s="82"/>
      <c r="N166" s="86"/>
    </row>
    <row r="167" spans="2:14" hidden="1" x14ac:dyDescent="0.25">
      <c r="B167" s="49"/>
      <c r="C167" s="57"/>
      <c r="D167" s="144" t="s">
        <v>571</v>
      </c>
      <c r="E167" s="64"/>
      <c r="F167" s="94">
        <v>1</v>
      </c>
      <c r="G167" s="104">
        <v>0.6</v>
      </c>
      <c r="H167" s="165">
        <v>0.2</v>
      </c>
      <c r="I167" s="105"/>
      <c r="J167" s="99"/>
      <c r="K167" s="82">
        <f t="shared" si="7"/>
        <v>0.12</v>
      </c>
      <c r="L167" s="82"/>
      <c r="M167" s="82"/>
      <c r="N167" s="86"/>
    </row>
    <row r="168" spans="2:14" hidden="1" x14ac:dyDescent="0.25">
      <c r="B168" s="49"/>
      <c r="C168" s="57"/>
      <c r="D168" s="144" t="s">
        <v>572</v>
      </c>
      <c r="E168" s="64"/>
      <c r="F168" s="94">
        <v>2</v>
      </c>
      <c r="G168" s="104">
        <v>0.9</v>
      </c>
      <c r="H168" s="165">
        <v>0.2</v>
      </c>
      <c r="I168" s="105"/>
      <c r="J168" s="99"/>
      <c r="K168" s="82">
        <f t="shared" si="7"/>
        <v>0.36000000000000004</v>
      </c>
      <c r="L168" s="82"/>
      <c r="M168" s="82"/>
      <c r="N168" s="86"/>
    </row>
    <row r="169" spans="2:14" hidden="1" x14ac:dyDescent="0.25">
      <c r="B169" s="49"/>
      <c r="C169" s="57"/>
      <c r="D169" s="144" t="s">
        <v>573</v>
      </c>
      <c r="E169" s="64"/>
      <c r="F169" s="94">
        <v>7</v>
      </c>
      <c r="G169" s="104">
        <v>0.65</v>
      </c>
      <c r="H169" s="165">
        <v>0.2</v>
      </c>
      <c r="I169" s="105"/>
      <c r="J169" s="99"/>
      <c r="K169" s="82">
        <f t="shared" si="7"/>
        <v>0.91</v>
      </c>
      <c r="L169" s="82"/>
      <c r="M169" s="82"/>
      <c r="N169" s="86"/>
    </row>
    <row r="170" spans="2:14" hidden="1" x14ac:dyDescent="0.25">
      <c r="B170" s="49"/>
      <c r="C170" s="57"/>
      <c r="D170" s="144" t="s">
        <v>574</v>
      </c>
      <c r="E170" s="64"/>
      <c r="F170" s="94">
        <v>3</v>
      </c>
      <c r="G170" s="104">
        <v>0.65</v>
      </c>
      <c r="H170" s="165">
        <v>0.2</v>
      </c>
      <c r="I170" s="105"/>
      <c r="J170" s="99"/>
      <c r="K170" s="82">
        <f t="shared" si="7"/>
        <v>0.39</v>
      </c>
      <c r="L170" s="82"/>
      <c r="M170" s="82"/>
      <c r="N170" s="86"/>
    </row>
    <row r="171" spans="2:14" hidden="1" x14ac:dyDescent="0.25">
      <c r="B171" s="49"/>
      <c r="C171" s="57"/>
      <c r="D171" s="144" t="s">
        <v>575</v>
      </c>
      <c r="E171" s="64"/>
      <c r="F171" s="94">
        <v>2</v>
      </c>
      <c r="G171" s="104">
        <v>0.55000000000000004</v>
      </c>
      <c r="H171" s="165">
        <v>0.2</v>
      </c>
      <c r="I171" s="105"/>
      <c r="J171" s="99"/>
      <c r="K171" s="82">
        <f t="shared" si="7"/>
        <v>0.22000000000000003</v>
      </c>
      <c r="L171" s="82"/>
      <c r="M171" s="82"/>
      <c r="N171" s="86"/>
    </row>
    <row r="172" spans="2:14" s="167" customFormat="1" ht="22.5" hidden="1" x14ac:dyDescent="0.25">
      <c r="B172" s="49" t="s">
        <v>59</v>
      </c>
      <c r="C172" s="57">
        <v>96545</v>
      </c>
      <c r="D172" s="52" t="s">
        <v>61</v>
      </c>
      <c r="E172" s="64" t="s">
        <v>62</v>
      </c>
      <c r="F172" s="94"/>
      <c r="G172" s="506" t="s">
        <v>831</v>
      </c>
      <c r="H172" s="507"/>
      <c r="I172" s="508"/>
      <c r="J172" s="99">
        <f>'BOLETIM DE MEDIÇÃO 05'!O29-'MEMORIAL DE CALCULO 06'!K172</f>
        <v>44.519850000000019</v>
      </c>
      <c r="K172" s="81">
        <f>G173</f>
        <v>492.78</v>
      </c>
      <c r="L172" s="82">
        <f>J172+K172</f>
        <v>537.29984999999999</v>
      </c>
      <c r="M172" s="82">
        <f>'BOLETIM DE MEDIÇÃO 05'!G29</f>
        <v>537.29999999999995</v>
      </c>
      <c r="N172" s="86">
        <f>M172-L172</f>
        <v>1.4999999996234692E-4</v>
      </c>
    </row>
    <row r="173" spans="2:14" s="167" customFormat="1" hidden="1" x14ac:dyDescent="0.25">
      <c r="B173" s="49"/>
      <c r="C173" s="57"/>
      <c r="D173" s="152" t="s">
        <v>610</v>
      </c>
      <c r="E173" s="64"/>
      <c r="F173" s="94">
        <v>1</v>
      </c>
      <c r="G173" s="509">
        <v>492.78</v>
      </c>
      <c r="H173" s="512"/>
      <c r="I173" s="513"/>
      <c r="J173" s="99"/>
      <c r="K173" s="81"/>
      <c r="L173" s="82"/>
      <c r="M173" s="82"/>
      <c r="N173" s="86"/>
    </row>
    <row r="174" spans="2:14" hidden="1" x14ac:dyDescent="0.25">
      <c r="B174" s="49"/>
      <c r="C174" s="57"/>
      <c r="D174" s="144" t="s">
        <v>755</v>
      </c>
      <c r="E174" s="64"/>
      <c r="F174" s="94">
        <v>1</v>
      </c>
      <c r="G174" s="509">
        <f>(2*12)+(2*3.79)+(2*8.94)+(2*6.27)+ 1.39+0.99 +(2*1.85)+(2*1.7)+ (2*1.35)</f>
        <v>74.180000000000007</v>
      </c>
      <c r="H174" s="510"/>
      <c r="I174" s="155">
        <v>0.39500000000000002</v>
      </c>
      <c r="J174" s="99"/>
      <c r="K174" s="186">
        <f>G174*I174</f>
        <v>29.301100000000005</v>
      </c>
      <c r="L174" s="82"/>
      <c r="M174" s="82"/>
      <c r="N174" s="86"/>
    </row>
    <row r="175" spans="2:14" hidden="1" x14ac:dyDescent="0.25">
      <c r="B175" s="49"/>
      <c r="C175" s="57"/>
      <c r="D175" s="144" t="s">
        <v>756</v>
      </c>
      <c r="E175" s="64"/>
      <c r="F175" s="94">
        <v>1</v>
      </c>
      <c r="G175" s="509">
        <f>(2*10.92)+(2*10.92)+ 1.3 + 1.1</f>
        <v>46.08</v>
      </c>
      <c r="H175" s="510"/>
      <c r="I175" s="155">
        <v>0.39500000000000002</v>
      </c>
      <c r="J175" s="99"/>
      <c r="K175" s="186"/>
      <c r="L175" s="82"/>
      <c r="M175" s="82"/>
      <c r="N175" s="86"/>
    </row>
    <row r="176" spans="2:14" hidden="1" x14ac:dyDescent="0.25">
      <c r="B176" s="49"/>
      <c r="C176" s="57"/>
      <c r="D176" s="144" t="s">
        <v>757</v>
      </c>
      <c r="E176" s="64"/>
      <c r="F176" s="94">
        <v>1</v>
      </c>
      <c r="G176" s="509">
        <f>(2*1.87)+(2*1.87)</f>
        <v>7.48</v>
      </c>
      <c r="H176" s="510"/>
      <c r="I176" s="155">
        <v>0.39500000000000002</v>
      </c>
      <c r="J176" s="99"/>
      <c r="K176" s="186"/>
      <c r="L176" s="82"/>
      <c r="M176" s="82"/>
      <c r="N176" s="86"/>
    </row>
    <row r="177" spans="2:14" hidden="1" x14ac:dyDescent="0.25">
      <c r="B177" s="49"/>
      <c r="C177" s="57"/>
      <c r="D177" s="144" t="s">
        <v>758</v>
      </c>
      <c r="E177" s="64"/>
      <c r="F177" s="94">
        <v>1</v>
      </c>
      <c r="G177" s="509">
        <f>(2*6.55)+(2*6.3)+1.75+1.35+1.19</f>
        <v>29.990000000000002</v>
      </c>
      <c r="H177" s="510"/>
      <c r="I177" s="155">
        <v>0.39500000000000002</v>
      </c>
      <c r="J177" s="99"/>
      <c r="K177" s="186"/>
      <c r="L177" s="82"/>
      <c r="M177" s="82"/>
      <c r="N177" s="86"/>
    </row>
    <row r="178" spans="2:14" hidden="1" x14ac:dyDescent="0.25">
      <c r="B178" s="49"/>
      <c r="C178" s="57"/>
      <c r="D178" s="144" t="s">
        <v>759</v>
      </c>
      <c r="E178" s="64"/>
      <c r="F178" s="94">
        <v>1</v>
      </c>
      <c r="G178" s="509">
        <f>(2*8.39)+(2*1.7)+ 1.1+ 3.13 + (2*5.24)+ (2*3.11)</f>
        <v>41.11</v>
      </c>
      <c r="H178" s="510"/>
      <c r="I178" s="155">
        <v>0.39500000000000002</v>
      </c>
      <c r="J178" s="99"/>
      <c r="K178" s="186"/>
      <c r="L178" s="82"/>
      <c r="M178" s="82"/>
      <c r="N178" s="86"/>
    </row>
    <row r="179" spans="2:14" hidden="1" x14ac:dyDescent="0.25">
      <c r="B179" s="49"/>
      <c r="C179" s="57"/>
      <c r="D179" s="144" t="s">
        <v>760</v>
      </c>
      <c r="E179" s="64"/>
      <c r="F179" s="94">
        <v>1</v>
      </c>
      <c r="G179" s="509"/>
      <c r="H179" s="510"/>
      <c r="I179" s="155">
        <v>0.39500000000000002</v>
      </c>
      <c r="J179" s="99"/>
      <c r="K179" s="186"/>
      <c r="L179" s="82"/>
      <c r="M179" s="82"/>
      <c r="N179" s="86"/>
    </row>
    <row r="180" spans="2:14" hidden="1" x14ac:dyDescent="0.25">
      <c r="B180" s="49"/>
      <c r="C180" s="57"/>
      <c r="D180" s="144" t="s">
        <v>761</v>
      </c>
      <c r="E180" s="64"/>
      <c r="F180" s="94">
        <v>1</v>
      </c>
      <c r="G180" s="509"/>
      <c r="H180" s="510"/>
      <c r="I180" s="155">
        <v>0.39500000000000002</v>
      </c>
      <c r="J180" s="99"/>
      <c r="K180" s="186"/>
      <c r="L180" s="82"/>
      <c r="M180" s="82"/>
      <c r="N180" s="86"/>
    </row>
    <row r="181" spans="2:14" hidden="1" x14ac:dyDescent="0.25">
      <c r="B181" s="49"/>
      <c r="C181" s="57"/>
      <c r="D181" s="144" t="s">
        <v>762</v>
      </c>
      <c r="E181" s="64"/>
      <c r="F181" s="94">
        <v>1</v>
      </c>
      <c r="G181" s="509"/>
      <c r="H181" s="510"/>
      <c r="I181" s="155">
        <v>0.39500000000000002</v>
      </c>
      <c r="J181" s="99"/>
      <c r="K181" s="186"/>
      <c r="L181" s="82"/>
      <c r="M181" s="82"/>
      <c r="N181" s="86"/>
    </row>
    <row r="182" spans="2:14" hidden="1" x14ac:dyDescent="0.25">
      <c r="B182" s="49"/>
      <c r="C182" s="57"/>
      <c r="D182" s="144" t="s">
        <v>763</v>
      </c>
      <c r="E182" s="64"/>
      <c r="F182" s="94">
        <v>1</v>
      </c>
      <c r="G182" s="509"/>
      <c r="H182" s="510"/>
      <c r="I182" s="155">
        <v>0.39500000000000002</v>
      </c>
      <c r="J182" s="99"/>
      <c r="K182" s="186"/>
      <c r="L182" s="82"/>
      <c r="M182" s="82"/>
      <c r="N182" s="86"/>
    </row>
    <row r="183" spans="2:14" hidden="1" x14ac:dyDescent="0.25">
      <c r="B183" s="49"/>
      <c r="C183" s="57"/>
      <c r="D183" s="144" t="s">
        <v>764</v>
      </c>
      <c r="E183" s="64"/>
      <c r="F183" s="94">
        <v>1</v>
      </c>
      <c r="G183" s="509"/>
      <c r="H183" s="510"/>
      <c r="I183" s="155">
        <v>0.39500000000000002</v>
      </c>
      <c r="J183" s="99"/>
      <c r="K183" s="186"/>
      <c r="L183" s="82"/>
      <c r="M183" s="82"/>
      <c r="N183" s="86"/>
    </row>
    <row r="184" spans="2:14" hidden="1" x14ac:dyDescent="0.25">
      <c r="B184" s="49"/>
      <c r="C184" s="57"/>
      <c r="D184" s="144" t="s">
        <v>765</v>
      </c>
      <c r="E184" s="64"/>
      <c r="F184" s="94">
        <v>1</v>
      </c>
      <c r="G184" s="509"/>
      <c r="H184" s="510"/>
      <c r="I184" s="155">
        <v>0.39500000000000002</v>
      </c>
      <c r="J184" s="99"/>
      <c r="K184" s="186"/>
      <c r="L184" s="82"/>
      <c r="M184" s="82"/>
      <c r="N184" s="86"/>
    </row>
    <row r="185" spans="2:14" hidden="1" x14ac:dyDescent="0.25">
      <c r="B185" s="49"/>
      <c r="C185" s="57"/>
      <c r="D185" s="144" t="s">
        <v>766</v>
      </c>
      <c r="E185" s="64"/>
      <c r="F185" s="94">
        <v>1</v>
      </c>
      <c r="G185" s="509"/>
      <c r="H185" s="510"/>
      <c r="I185" s="155">
        <v>0.39500000000000002</v>
      </c>
      <c r="J185" s="99"/>
      <c r="K185" s="186"/>
      <c r="L185" s="82"/>
      <c r="M185" s="82"/>
      <c r="N185" s="86"/>
    </row>
    <row r="186" spans="2:14" hidden="1" x14ac:dyDescent="0.25">
      <c r="B186" s="49"/>
      <c r="C186" s="57"/>
      <c r="D186" s="144" t="s">
        <v>676</v>
      </c>
      <c r="E186" s="64"/>
      <c r="F186" s="94">
        <v>1</v>
      </c>
      <c r="G186" s="509"/>
      <c r="H186" s="510"/>
      <c r="I186" s="155">
        <v>0.39500000000000002</v>
      </c>
      <c r="J186" s="99"/>
      <c r="K186" s="186"/>
      <c r="L186" s="82"/>
      <c r="M186" s="82"/>
      <c r="N186" s="86"/>
    </row>
    <row r="187" spans="2:14" hidden="1" x14ac:dyDescent="0.25">
      <c r="B187" s="49"/>
      <c r="C187" s="57"/>
      <c r="D187" s="144" t="s">
        <v>767</v>
      </c>
      <c r="E187" s="64"/>
      <c r="F187" s="94">
        <v>1</v>
      </c>
      <c r="G187" s="509"/>
      <c r="H187" s="510"/>
      <c r="I187" s="155">
        <v>0.39500000000000002</v>
      </c>
      <c r="J187" s="99"/>
      <c r="K187" s="186"/>
      <c r="L187" s="82"/>
      <c r="M187" s="82"/>
      <c r="N187" s="86"/>
    </row>
    <row r="188" spans="2:14" hidden="1" x14ac:dyDescent="0.25">
      <c r="B188" s="49"/>
      <c r="C188" s="57"/>
      <c r="D188" s="144" t="s">
        <v>768</v>
      </c>
      <c r="E188" s="64"/>
      <c r="F188" s="94">
        <v>1</v>
      </c>
      <c r="G188" s="509"/>
      <c r="H188" s="510"/>
      <c r="I188" s="155">
        <v>0.39500000000000002</v>
      </c>
      <c r="J188" s="99"/>
      <c r="K188" s="186"/>
      <c r="L188" s="82"/>
      <c r="M188" s="82"/>
      <c r="N188" s="86"/>
    </row>
    <row r="189" spans="2:14" hidden="1" x14ac:dyDescent="0.25">
      <c r="B189" s="49"/>
      <c r="C189" s="57"/>
      <c r="D189" s="144" t="s">
        <v>769</v>
      </c>
      <c r="E189" s="64"/>
      <c r="F189" s="94">
        <v>1</v>
      </c>
      <c r="G189" s="509"/>
      <c r="H189" s="510"/>
      <c r="I189" s="155">
        <v>0.39500000000000002</v>
      </c>
      <c r="J189" s="99"/>
      <c r="K189" s="186"/>
      <c r="L189" s="82"/>
      <c r="M189" s="82"/>
      <c r="N189" s="86"/>
    </row>
    <row r="190" spans="2:14" hidden="1" x14ac:dyDescent="0.25">
      <c r="B190" s="49"/>
      <c r="C190" s="57"/>
      <c r="D190" s="144" t="s">
        <v>770</v>
      </c>
      <c r="E190" s="64"/>
      <c r="F190" s="94">
        <v>1</v>
      </c>
      <c r="G190" s="509"/>
      <c r="H190" s="510"/>
      <c r="I190" s="155">
        <v>0.39500000000000002</v>
      </c>
      <c r="J190" s="99"/>
      <c r="K190" s="186"/>
      <c r="L190" s="82"/>
      <c r="M190" s="82"/>
      <c r="N190" s="86"/>
    </row>
    <row r="191" spans="2:14" hidden="1" x14ac:dyDescent="0.25">
      <c r="B191" s="49"/>
      <c r="C191" s="57"/>
      <c r="D191" s="144" t="s">
        <v>771</v>
      </c>
      <c r="E191" s="64"/>
      <c r="F191" s="94">
        <v>1</v>
      </c>
      <c r="G191" s="509"/>
      <c r="H191" s="510"/>
      <c r="I191" s="155">
        <v>0.39500000000000002</v>
      </c>
      <c r="J191" s="99"/>
      <c r="K191" s="186"/>
      <c r="L191" s="82"/>
      <c r="M191" s="82"/>
      <c r="N191" s="86"/>
    </row>
    <row r="192" spans="2:14" hidden="1" x14ac:dyDescent="0.25">
      <c r="B192" s="49"/>
      <c r="C192" s="57"/>
      <c r="D192" s="144" t="s">
        <v>772</v>
      </c>
      <c r="E192" s="64"/>
      <c r="F192" s="94">
        <v>1</v>
      </c>
      <c r="G192" s="509"/>
      <c r="H192" s="510"/>
      <c r="I192" s="155">
        <v>0.39500000000000002</v>
      </c>
      <c r="J192" s="99"/>
      <c r="K192" s="186"/>
      <c r="L192" s="82"/>
      <c r="M192" s="82"/>
      <c r="N192" s="86"/>
    </row>
    <row r="193" spans="2:14" hidden="1" x14ac:dyDescent="0.25">
      <c r="B193" s="49"/>
      <c r="C193" s="57"/>
      <c r="D193" s="144" t="s">
        <v>773</v>
      </c>
      <c r="E193" s="64"/>
      <c r="F193" s="94">
        <v>1</v>
      </c>
      <c r="G193" s="509"/>
      <c r="H193" s="510"/>
      <c r="I193" s="155">
        <v>0.39500000000000002</v>
      </c>
      <c r="J193" s="99"/>
      <c r="K193" s="186"/>
      <c r="L193" s="82"/>
      <c r="M193" s="82"/>
      <c r="N193" s="86"/>
    </row>
    <row r="194" spans="2:14" hidden="1" x14ac:dyDescent="0.25">
      <c r="B194" s="49"/>
      <c r="C194" s="57"/>
      <c r="D194" s="144" t="s">
        <v>774</v>
      </c>
      <c r="E194" s="64"/>
      <c r="F194" s="94">
        <v>1</v>
      </c>
      <c r="G194" s="509"/>
      <c r="H194" s="510"/>
      <c r="I194" s="155">
        <v>0.39500000000000002</v>
      </c>
      <c r="J194" s="99"/>
      <c r="K194" s="186"/>
      <c r="L194" s="82"/>
      <c r="M194" s="82"/>
      <c r="N194" s="86"/>
    </row>
    <row r="195" spans="2:14" hidden="1" x14ac:dyDescent="0.25">
      <c r="B195" s="49"/>
      <c r="C195" s="57"/>
      <c r="D195" s="144" t="s">
        <v>775</v>
      </c>
      <c r="E195" s="64"/>
      <c r="F195" s="94">
        <v>1</v>
      </c>
      <c r="G195" s="509"/>
      <c r="H195" s="510"/>
      <c r="I195" s="155">
        <v>0.39500000000000002</v>
      </c>
      <c r="J195" s="99"/>
      <c r="K195" s="186"/>
      <c r="L195" s="82"/>
      <c r="M195" s="82"/>
      <c r="N195" s="86"/>
    </row>
    <row r="196" spans="2:14" hidden="1" x14ac:dyDescent="0.25">
      <c r="B196" s="49"/>
      <c r="C196" s="57"/>
      <c r="D196" s="144" t="s">
        <v>776</v>
      </c>
      <c r="E196" s="64"/>
      <c r="F196" s="94">
        <v>1</v>
      </c>
      <c r="G196" s="509"/>
      <c r="H196" s="510"/>
      <c r="I196" s="155">
        <v>0.39500000000000002</v>
      </c>
      <c r="J196" s="99"/>
      <c r="K196" s="186"/>
      <c r="L196" s="82"/>
      <c r="M196" s="82"/>
      <c r="N196" s="86"/>
    </row>
    <row r="197" spans="2:14" hidden="1" x14ac:dyDescent="0.25">
      <c r="B197" s="49"/>
      <c r="C197" s="57"/>
      <c r="D197" s="144" t="s">
        <v>777</v>
      </c>
      <c r="E197" s="64"/>
      <c r="F197" s="94">
        <v>1</v>
      </c>
      <c r="G197" s="509"/>
      <c r="H197" s="510"/>
      <c r="I197" s="155">
        <v>0.39500000000000002</v>
      </c>
      <c r="J197" s="99"/>
      <c r="K197" s="186"/>
      <c r="L197" s="82"/>
      <c r="M197" s="82"/>
      <c r="N197" s="86"/>
    </row>
    <row r="198" spans="2:14" hidden="1" x14ac:dyDescent="0.25">
      <c r="B198" s="49"/>
      <c r="C198" s="57"/>
      <c r="D198" s="144" t="s">
        <v>778</v>
      </c>
      <c r="E198" s="64"/>
      <c r="F198" s="94">
        <v>1</v>
      </c>
      <c r="G198" s="509"/>
      <c r="H198" s="510"/>
      <c r="I198" s="155">
        <v>0.39500000000000002</v>
      </c>
      <c r="J198" s="99"/>
      <c r="K198" s="186"/>
      <c r="L198" s="82"/>
      <c r="M198" s="82"/>
      <c r="N198" s="86"/>
    </row>
    <row r="199" spans="2:14" hidden="1" x14ac:dyDescent="0.25">
      <c r="B199" s="49"/>
      <c r="C199" s="57"/>
      <c r="D199" s="144" t="s">
        <v>779</v>
      </c>
      <c r="E199" s="64"/>
      <c r="F199" s="94">
        <v>1</v>
      </c>
      <c r="G199" s="509"/>
      <c r="H199" s="510"/>
      <c r="I199" s="155">
        <v>0.39500000000000002</v>
      </c>
      <c r="J199" s="99"/>
      <c r="K199" s="186"/>
      <c r="L199" s="82"/>
      <c r="M199" s="82"/>
      <c r="N199" s="86"/>
    </row>
    <row r="200" spans="2:14" hidden="1" x14ac:dyDescent="0.25">
      <c r="B200" s="49"/>
      <c r="C200" s="57"/>
      <c r="D200" s="152"/>
      <c r="E200" s="64"/>
      <c r="F200" s="94"/>
      <c r="G200" s="171"/>
      <c r="H200" s="172"/>
      <c r="I200" s="122"/>
      <c r="J200" s="99"/>
      <c r="K200" s="186"/>
      <c r="L200" s="82"/>
      <c r="M200" s="82"/>
      <c r="N200" s="86"/>
    </row>
    <row r="201" spans="2:14" hidden="1" x14ac:dyDescent="0.25">
      <c r="B201" s="49"/>
      <c r="C201" s="57"/>
      <c r="D201" s="144" t="s">
        <v>601</v>
      </c>
      <c r="E201" s="64"/>
      <c r="F201" s="94">
        <v>1</v>
      </c>
      <c r="G201" s="506">
        <f xml:space="preserve"> (2*1.31) + (2*1.51) + (2*4.98)</f>
        <v>15.600000000000001</v>
      </c>
      <c r="H201" s="511"/>
      <c r="I201" s="155">
        <v>0.39500000000000002</v>
      </c>
      <c r="J201" s="82"/>
      <c r="K201" s="99">
        <f>F201*G201*I201</f>
        <v>6.1620000000000008</v>
      </c>
      <c r="L201" s="82"/>
      <c r="M201" s="82"/>
      <c r="N201" s="86"/>
    </row>
    <row r="202" spans="2:14" hidden="1" x14ac:dyDescent="0.25">
      <c r="B202" s="49"/>
      <c r="C202" s="57"/>
      <c r="D202" s="144" t="s">
        <v>602</v>
      </c>
      <c r="E202" s="64"/>
      <c r="F202" s="94">
        <v>1</v>
      </c>
      <c r="G202" s="506">
        <f xml:space="preserve"> (3*3.37) + (1.37) + (2*3.47)</f>
        <v>18.420000000000002</v>
      </c>
      <c r="H202" s="511"/>
      <c r="I202" s="155">
        <v>0.39500000000000002</v>
      </c>
      <c r="J202" s="82"/>
      <c r="K202" s="99">
        <f t="shared" ref="K202:K207" si="8">F202*G202*I202</f>
        <v>7.2759000000000009</v>
      </c>
      <c r="L202" s="82"/>
      <c r="M202" s="82"/>
      <c r="N202" s="86"/>
    </row>
    <row r="203" spans="2:14" hidden="1" x14ac:dyDescent="0.25">
      <c r="B203" s="49"/>
      <c r="C203" s="57"/>
      <c r="D203" s="144" t="s">
        <v>603</v>
      </c>
      <c r="E203" s="64"/>
      <c r="F203" s="94">
        <v>1</v>
      </c>
      <c r="G203" s="506">
        <f xml:space="preserve"> (1.87) + (2*3.62)</f>
        <v>9.11</v>
      </c>
      <c r="H203" s="511"/>
      <c r="I203" s="155">
        <v>0.39500000000000002</v>
      </c>
      <c r="J203" s="82"/>
      <c r="K203" s="99">
        <f t="shared" si="8"/>
        <v>3.5984500000000001</v>
      </c>
      <c r="L203" s="82"/>
      <c r="M203" s="82"/>
      <c r="N203" s="86"/>
    </row>
    <row r="204" spans="2:14" hidden="1" x14ac:dyDescent="0.25">
      <c r="B204" s="49"/>
      <c r="C204" s="57"/>
      <c r="D204" s="144" t="s">
        <v>604</v>
      </c>
      <c r="E204" s="64"/>
      <c r="F204" s="94">
        <v>1</v>
      </c>
      <c r="G204" s="506">
        <f xml:space="preserve"> (4*0.88) + (2*3.36) + (2*5.03)</f>
        <v>20.3</v>
      </c>
      <c r="H204" s="511"/>
      <c r="I204" s="155">
        <v>0.39500000000000002</v>
      </c>
      <c r="J204" s="82"/>
      <c r="K204" s="99">
        <f t="shared" si="8"/>
        <v>8.0185000000000013</v>
      </c>
      <c r="L204" s="82"/>
      <c r="M204" s="82"/>
      <c r="N204" s="86"/>
    </row>
    <row r="205" spans="2:14" hidden="1" x14ac:dyDescent="0.25">
      <c r="B205" s="49"/>
      <c r="C205" s="57"/>
      <c r="D205" s="144" t="s">
        <v>605</v>
      </c>
      <c r="E205" s="64"/>
      <c r="F205" s="94">
        <v>1</v>
      </c>
      <c r="G205" s="506">
        <f xml:space="preserve"> (2*3.18) + (2*3.18)</f>
        <v>12.72</v>
      </c>
      <c r="H205" s="511"/>
      <c r="I205" s="155">
        <v>0.39500000000000002</v>
      </c>
      <c r="J205" s="82"/>
      <c r="K205" s="99">
        <f t="shared" si="8"/>
        <v>5.0244000000000009</v>
      </c>
      <c r="L205" s="82"/>
      <c r="M205" s="82"/>
      <c r="N205" s="86"/>
    </row>
    <row r="206" spans="2:14" hidden="1" x14ac:dyDescent="0.25">
      <c r="B206" s="49"/>
      <c r="C206" s="57"/>
      <c r="D206" s="144" t="s">
        <v>606</v>
      </c>
      <c r="E206" s="64"/>
      <c r="F206" s="94">
        <v>1</v>
      </c>
      <c r="G206" s="506">
        <f xml:space="preserve"> (4*2.15)</f>
        <v>8.6</v>
      </c>
      <c r="H206" s="511"/>
      <c r="I206" s="155">
        <v>0.39500000000000002</v>
      </c>
      <c r="J206" s="82"/>
      <c r="K206" s="99">
        <f t="shared" si="8"/>
        <v>3.3969999999999998</v>
      </c>
      <c r="L206" s="82"/>
      <c r="M206" s="82"/>
      <c r="N206" s="86"/>
    </row>
    <row r="207" spans="2:14" hidden="1" x14ac:dyDescent="0.25">
      <c r="B207" s="49"/>
      <c r="C207" s="57"/>
      <c r="D207" s="144" t="s">
        <v>607</v>
      </c>
      <c r="E207" s="64"/>
      <c r="F207" s="94">
        <v>1</v>
      </c>
      <c r="G207" s="506">
        <f xml:space="preserve"> (4*6.99)</f>
        <v>27.96</v>
      </c>
      <c r="H207" s="511"/>
      <c r="I207" s="155">
        <v>0.39500000000000002</v>
      </c>
      <c r="J207" s="82"/>
      <c r="K207" s="99">
        <f t="shared" si="8"/>
        <v>11.0442</v>
      </c>
      <c r="L207" s="82"/>
      <c r="M207" s="82"/>
      <c r="N207" s="86"/>
    </row>
    <row r="208" spans="2:14" s="167" customFormat="1" ht="33.75" hidden="1" x14ac:dyDescent="0.25">
      <c r="B208" s="49" t="s">
        <v>63</v>
      </c>
      <c r="C208" s="57">
        <v>94966</v>
      </c>
      <c r="D208" s="52" t="s">
        <v>65</v>
      </c>
      <c r="E208" s="64" t="s">
        <v>41</v>
      </c>
      <c r="F208" s="94"/>
      <c r="G208" s="506" t="s">
        <v>831</v>
      </c>
      <c r="H208" s="507"/>
      <c r="I208" s="508"/>
      <c r="J208" s="99">
        <f>SUM(K210:K256)</f>
        <v>8.4130549999999982</v>
      </c>
      <c r="K208" s="81">
        <f>G249*F249</f>
        <v>12.75</v>
      </c>
      <c r="L208" s="82">
        <f t="shared" si="0"/>
        <v>21.163055</v>
      </c>
      <c r="M208" s="82">
        <f>'BOLETIM DE MEDIÇÃO 05'!G30</f>
        <v>21.16</v>
      </c>
      <c r="N208" s="86">
        <f t="shared" si="1"/>
        <v>-3.0549999999998079E-3</v>
      </c>
    </row>
    <row r="209" spans="2:14" s="167" customFormat="1" hidden="1" x14ac:dyDescent="0.25">
      <c r="B209" s="49"/>
      <c r="C209" s="57"/>
      <c r="D209" s="160" t="s">
        <v>588</v>
      </c>
      <c r="E209" s="64"/>
      <c r="F209" s="94"/>
      <c r="G209" s="506"/>
      <c r="H209" s="507"/>
      <c r="I209" s="508"/>
      <c r="J209" s="99"/>
      <c r="K209" s="82"/>
      <c r="L209" s="82"/>
      <c r="M209" s="82"/>
      <c r="N209" s="86"/>
    </row>
    <row r="210" spans="2:14" s="167" customFormat="1" ht="33.75" hidden="1" x14ac:dyDescent="0.25">
      <c r="B210" s="49"/>
      <c r="C210" s="57"/>
      <c r="D210" s="144" t="s">
        <v>569</v>
      </c>
      <c r="E210" s="64"/>
      <c r="F210" s="94">
        <v>32</v>
      </c>
      <c r="G210" s="104">
        <v>0.6</v>
      </c>
      <c r="H210" s="92">
        <v>0.7</v>
      </c>
      <c r="I210" s="105">
        <v>0.25</v>
      </c>
      <c r="J210" s="99"/>
      <c r="K210" s="82">
        <f>F210*(G210*H210*I210)</f>
        <v>3.36</v>
      </c>
      <c r="L210" s="82"/>
      <c r="M210" s="82"/>
      <c r="N210" s="86"/>
    </row>
    <row r="211" spans="2:14" s="167" customFormat="1" ht="45" hidden="1" x14ac:dyDescent="0.25">
      <c r="B211" s="49"/>
      <c r="C211" s="57"/>
      <c r="D211" s="144" t="s">
        <v>570</v>
      </c>
      <c r="E211" s="64"/>
      <c r="F211" s="94">
        <v>41</v>
      </c>
      <c r="G211" s="104">
        <v>0.6</v>
      </c>
      <c r="H211" s="92">
        <v>0.7</v>
      </c>
      <c r="I211" s="105">
        <v>0.25</v>
      </c>
      <c r="J211" s="99"/>
      <c r="K211" s="82">
        <f t="shared" ref="K211:K216" si="9">F211*(G211*H211*I211)</f>
        <v>4.3049999999999997</v>
      </c>
      <c r="L211" s="82"/>
      <c r="M211" s="82"/>
      <c r="N211" s="86"/>
    </row>
    <row r="212" spans="2:14" s="167" customFormat="1" hidden="1" x14ac:dyDescent="0.25">
      <c r="B212" s="49"/>
      <c r="C212" s="57"/>
      <c r="D212" s="144" t="s">
        <v>571</v>
      </c>
      <c r="E212" s="64"/>
      <c r="F212" s="94">
        <v>1</v>
      </c>
      <c r="G212" s="104">
        <v>0.6</v>
      </c>
      <c r="H212" s="92">
        <v>0.8</v>
      </c>
      <c r="I212" s="105">
        <v>0.25</v>
      </c>
      <c r="J212" s="99"/>
      <c r="K212" s="82">
        <f t="shared" si="9"/>
        <v>0.12</v>
      </c>
      <c r="L212" s="82"/>
      <c r="M212" s="82"/>
      <c r="N212" s="86"/>
    </row>
    <row r="213" spans="2:14" s="167" customFormat="1" hidden="1" x14ac:dyDescent="0.25">
      <c r="B213" s="49"/>
      <c r="C213" s="57"/>
      <c r="D213" s="144" t="s">
        <v>572</v>
      </c>
      <c r="E213" s="64"/>
      <c r="F213" s="94">
        <v>2</v>
      </c>
      <c r="G213" s="104">
        <v>0.9</v>
      </c>
      <c r="H213" s="92">
        <v>0.9</v>
      </c>
      <c r="I213" s="105">
        <v>0.25</v>
      </c>
      <c r="J213" s="99"/>
      <c r="K213" s="82">
        <f t="shared" si="9"/>
        <v>0.40500000000000003</v>
      </c>
      <c r="L213" s="82"/>
      <c r="M213" s="82"/>
      <c r="N213" s="86"/>
    </row>
    <row r="214" spans="2:14" s="167" customFormat="1" hidden="1" x14ac:dyDescent="0.25">
      <c r="B214" s="49"/>
      <c r="C214" s="57"/>
      <c r="D214" s="144" t="s">
        <v>573</v>
      </c>
      <c r="E214" s="64"/>
      <c r="F214" s="94">
        <v>7</v>
      </c>
      <c r="G214" s="104">
        <v>0.65</v>
      </c>
      <c r="H214" s="92">
        <v>0.65</v>
      </c>
      <c r="I214" s="105">
        <v>0.25</v>
      </c>
      <c r="J214" s="99"/>
      <c r="K214" s="82">
        <f t="shared" si="9"/>
        <v>0.73937500000000012</v>
      </c>
      <c r="L214" s="82"/>
      <c r="M214" s="82"/>
      <c r="N214" s="86"/>
    </row>
    <row r="215" spans="2:14" s="167" customFormat="1" hidden="1" x14ac:dyDescent="0.25">
      <c r="B215" s="49"/>
      <c r="C215" s="57"/>
      <c r="D215" s="144" t="s">
        <v>574</v>
      </c>
      <c r="E215" s="64"/>
      <c r="F215" s="94">
        <v>3</v>
      </c>
      <c r="G215" s="104">
        <v>0.65</v>
      </c>
      <c r="H215" s="92">
        <v>0.75</v>
      </c>
      <c r="I215" s="105">
        <v>0.25</v>
      </c>
      <c r="J215" s="99"/>
      <c r="K215" s="82">
        <f t="shared" si="9"/>
        <v>0.36562500000000003</v>
      </c>
      <c r="L215" s="82"/>
      <c r="M215" s="82"/>
      <c r="N215" s="86"/>
    </row>
    <row r="216" spans="2:14" s="167" customFormat="1" hidden="1" x14ac:dyDescent="0.25">
      <c r="B216" s="49"/>
      <c r="C216" s="57"/>
      <c r="D216" s="144" t="s">
        <v>575</v>
      </c>
      <c r="E216" s="64"/>
      <c r="F216" s="94">
        <v>2</v>
      </c>
      <c r="G216" s="104">
        <v>0.55000000000000004</v>
      </c>
      <c r="H216" s="92">
        <v>0.95</v>
      </c>
      <c r="I216" s="105">
        <v>0.25</v>
      </c>
      <c r="J216" s="99"/>
      <c r="K216" s="82">
        <f t="shared" si="9"/>
        <v>0.26124999999999998</v>
      </c>
      <c r="L216" s="82"/>
      <c r="M216" s="82"/>
      <c r="N216" s="86"/>
    </row>
    <row r="217" spans="2:14" s="167" customFormat="1" ht="22.9" hidden="1" customHeight="1" x14ac:dyDescent="0.25">
      <c r="B217" s="49"/>
      <c r="C217" s="57"/>
      <c r="D217" s="152" t="s">
        <v>646</v>
      </c>
      <c r="E217" s="64"/>
      <c r="F217" s="94"/>
      <c r="G217" s="509" t="s">
        <v>679</v>
      </c>
      <c r="H217" s="510"/>
      <c r="I217" s="105" t="s">
        <v>651</v>
      </c>
      <c r="J217" s="99"/>
      <c r="K217" s="82"/>
      <c r="L217" s="82"/>
      <c r="M217" s="82"/>
      <c r="N217" s="86"/>
    </row>
    <row r="218" spans="2:14" s="167" customFormat="1" hidden="1" x14ac:dyDescent="0.25">
      <c r="B218" s="49"/>
      <c r="C218" s="57"/>
      <c r="D218" s="144" t="s">
        <v>614</v>
      </c>
      <c r="E218" s="64"/>
      <c r="F218" s="94">
        <v>1</v>
      </c>
      <c r="G218" s="506" t="s">
        <v>680</v>
      </c>
      <c r="H218" s="511"/>
      <c r="I218" s="105">
        <v>1.85</v>
      </c>
      <c r="J218" s="99"/>
      <c r="K218" s="82">
        <f xml:space="preserve"> (0.15*0.25)*I218*2</f>
        <v>0.13875000000000001</v>
      </c>
      <c r="L218" s="82"/>
      <c r="M218" s="82"/>
      <c r="N218" s="86"/>
    </row>
    <row r="219" spans="2:14" s="167" customFormat="1" hidden="1" x14ac:dyDescent="0.25">
      <c r="B219" s="49"/>
      <c r="C219" s="57"/>
      <c r="D219" s="144" t="s">
        <v>633</v>
      </c>
      <c r="E219" s="64"/>
      <c r="F219" s="94">
        <v>1</v>
      </c>
      <c r="G219" s="506" t="s">
        <v>681</v>
      </c>
      <c r="H219" s="511"/>
      <c r="I219" s="105">
        <v>1.87</v>
      </c>
      <c r="J219" s="99"/>
      <c r="K219" s="82">
        <f xml:space="preserve"> ((0.2*0.25)*I219) + ((0.15*0.3)*I219)</f>
        <v>0.17765000000000003</v>
      </c>
      <c r="L219" s="82"/>
      <c r="M219" s="82"/>
      <c r="N219" s="86"/>
    </row>
    <row r="220" spans="2:14" s="167" customFormat="1" ht="21" hidden="1" customHeight="1" x14ac:dyDescent="0.25">
      <c r="B220" s="49"/>
      <c r="C220" s="57"/>
      <c r="D220" s="144" t="s">
        <v>629</v>
      </c>
      <c r="E220" s="64"/>
      <c r="F220" s="94">
        <v>1</v>
      </c>
      <c r="G220" s="506" t="s">
        <v>682</v>
      </c>
      <c r="H220" s="511"/>
      <c r="I220" s="105">
        <v>1.9</v>
      </c>
      <c r="J220" s="99"/>
      <c r="K220" s="82">
        <f xml:space="preserve"> ((0.2*0.25)*3*I220) + ((0.2*0.2)*I220) + ((0.15*0.2)*I220)</f>
        <v>0.41800000000000004</v>
      </c>
      <c r="L220" s="82"/>
      <c r="M220" s="82"/>
      <c r="N220" s="86"/>
    </row>
    <row r="221" spans="2:14" s="167" customFormat="1" hidden="1" x14ac:dyDescent="0.25">
      <c r="B221" s="49"/>
      <c r="C221" s="57"/>
      <c r="D221" s="144" t="s">
        <v>630</v>
      </c>
      <c r="E221" s="64"/>
      <c r="F221" s="94">
        <v>1</v>
      </c>
      <c r="G221" s="506" t="s">
        <v>684</v>
      </c>
      <c r="H221" s="511"/>
      <c r="I221" s="105">
        <v>1.92</v>
      </c>
      <c r="J221" s="99"/>
      <c r="K221" s="82">
        <f xml:space="preserve"> ((0.2*0.25)*I221) + ((0.15*0.25)*I221*2)</f>
        <v>0.24</v>
      </c>
      <c r="L221" s="82"/>
      <c r="M221" s="82"/>
      <c r="N221" s="86"/>
    </row>
    <row r="222" spans="2:14" s="167" customFormat="1" hidden="1" x14ac:dyDescent="0.25">
      <c r="B222" s="49"/>
      <c r="C222" s="57"/>
      <c r="D222" s="144" t="s">
        <v>615</v>
      </c>
      <c r="E222" s="64"/>
      <c r="F222" s="94">
        <v>1</v>
      </c>
      <c r="G222" s="506" t="s">
        <v>683</v>
      </c>
      <c r="H222" s="511"/>
      <c r="I222" s="86">
        <v>1.94</v>
      </c>
      <c r="J222" s="99"/>
      <c r="K222" s="82">
        <f xml:space="preserve"> ((0.15*0.3)*I222*3)</f>
        <v>0.26189999999999997</v>
      </c>
      <c r="L222" s="82"/>
      <c r="M222" s="82"/>
      <c r="N222" s="86"/>
    </row>
    <row r="223" spans="2:14" s="167" customFormat="1" ht="22.5" hidden="1" x14ac:dyDescent="0.25">
      <c r="B223" s="49"/>
      <c r="C223" s="57"/>
      <c r="D223" s="144" t="s">
        <v>616</v>
      </c>
      <c r="E223" s="64"/>
      <c r="F223" s="94">
        <v>1</v>
      </c>
      <c r="G223" s="506" t="s">
        <v>685</v>
      </c>
      <c r="H223" s="511"/>
      <c r="I223" s="86">
        <v>1.96</v>
      </c>
      <c r="J223" s="99"/>
      <c r="K223" s="82">
        <f xml:space="preserve"> ((0.2*0.25)*I223*3) + ((0.15*0.25)*I223*2)</f>
        <v>0.44100000000000006</v>
      </c>
      <c r="L223" s="82"/>
      <c r="M223" s="82"/>
      <c r="N223" s="86"/>
    </row>
    <row r="224" spans="2:14" s="167" customFormat="1" ht="22.5" hidden="1" x14ac:dyDescent="0.25">
      <c r="B224" s="49"/>
      <c r="C224" s="57"/>
      <c r="D224" s="144" t="s">
        <v>617</v>
      </c>
      <c r="E224" s="64"/>
      <c r="F224" s="94">
        <v>1</v>
      </c>
      <c r="G224" s="509" t="s">
        <v>686</v>
      </c>
      <c r="H224" s="510"/>
      <c r="I224" s="86">
        <v>1.95</v>
      </c>
      <c r="J224" s="99"/>
      <c r="K224" s="82">
        <f xml:space="preserve"> ((0.2*0.25)*I224*3) + ((0.15*0.25)*I224*2) + ((0.2*0.3)*I224)</f>
        <v>0.55574999999999997</v>
      </c>
      <c r="L224" s="82"/>
      <c r="M224" s="82"/>
      <c r="N224" s="86"/>
    </row>
    <row r="225" spans="2:14" s="167" customFormat="1" hidden="1" x14ac:dyDescent="0.25">
      <c r="B225" s="49"/>
      <c r="C225" s="57"/>
      <c r="D225" s="144" t="s">
        <v>618</v>
      </c>
      <c r="E225" s="64"/>
      <c r="F225" s="94">
        <v>1</v>
      </c>
      <c r="G225" s="506" t="s">
        <v>687</v>
      </c>
      <c r="H225" s="511"/>
      <c r="I225" s="86">
        <v>1.97</v>
      </c>
      <c r="J225" s="99"/>
      <c r="K225" s="82">
        <f xml:space="preserve"> ((0.2 * 0.25)*I225*2) + ((0.15*0.25)*I225*1)</f>
        <v>0.27087499999999998</v>
      </c>
      <c r="L225" s="82"/>
      <c r="M225" s="82"/>
      <c r="N225" s="86"/>
    </row>
    <row r="226" spans="2:14" s="167" customFormat="1" hidden="1" x14ac:dyDescent="0.25">
      <c r="B226" s="49"/>
      <c r="C226" s="57"/>
      <c r="D226" s="144" t="s">
        <v>631</v>
      </c>
      <c r="E226" s="64"/>
      <c r="F226" s="94">
        <v>1</v>
      </c>
      <c r="G226" s="506" t="s">
        <v>688</v>
      </c>
      <c r="H226" s="511"/>
      <c r="I226" s="86">
        <v>1.9</v>
      </c>
      <c r="J226" s="99"/>
      <c r="K226" s="82">
        <f xml:space="preserve"> ((0.15 * 0.25)*I226*3)</f>
        <v>0.21375</v>
      </c>
      <c r="L226" s="82"/>
      <c r="M226" s="82"/>
      <c r="N226" s="86"/>
    </row>
    <row r="227" spans="2:14" s="167" customFormat="1" ht="22.15" hidden="1" customHeight="1" x14ac:dyDescent="0.25">
      <c r="B227" s="49"/>
      <c r="C227" s="57"/>
      <c r="D227" s="144" t="s">
        <v>632</v>
      </c>
      <c r="E227" s="64"/>
      <c r="F227" s="94">
        <v>1</v>
      </c>
      <c r="G227" s="509" t="s">
        <v>689</v>
      </c>
      <c r="H227" s="510"/>
      <c r="I227" s="86">
        <v>1.86</v>
      </c>
      <c r="J227" s="99"/>
      <c r="K227" s="82">
        <f xml:space="preserve"> ((0.2*0.25)*I227) + ((0.15*0.25)*I227) + ((0.2*0.35)*I227)</f>
        <v>0.29294999999999999</v>
      </c>
      <c r="L227" s="82"/>
      <c r="M227" s="82"/>
      <c r="N227" s="86"/>
    </row>
    <row r="228" spans="2:14" s="167" customFormat="1" hidden="1" x14ac:dyDescent="0.25">
      <c r="B228" s="49"/>
      <c r="C228" s="57"/>
      <c r="D228" s="144" t="s">
        <v>634</v>
      </c>
      <c r="E228" s="64"/>
      <c r="F228" s="94">
        <v>1</v>
      </c>
      <c r="G228" s="506" t="s">
        <v>690</v>
      </c>
      <c r="H228" s="511"/>
      <c r="I228" s="86">
        <v>1.87</v>
      </c>
      <c r="J228" s="99"/>
      <c r="K228" s="82">
        <f xml:space="preserve"> ((0.2*0.25)*I228) + ((0.15*0.3)*2*I228)</f>
        <v>0.26180000000000003</v>
      </c>
      <c r="L228" s="82"/>
      <c r="M228" s="82"/>
      <c r="N228" s="86"/>
    </row>
    <row r="229" spans="2:14" s="167" customFormat="1" ht="27" hidden="1" customHeight="1" x14ac:dyDescent="0.25">
      <c r="B229" s="49"/>
      <c r="C229" s="57"/>
      <c r="D229" s="144" t="s">
        <v>619</v>
      </c>
      <c r="E229" s="64"/>
      <c r="F229" s="94">
        <v>1</v>
      </c>
      <c r="G229" s="509" t="s">
        <v>691</v>
      </c>
      <c r="H229" s="510"/>
      <c r="I229" s="86">
        <v>1.9</v>
      </c>
      <c r="J229" s="99"/>
      <c r="K229" s="82">
        <f xml:space="preserve"> ((0.2*0.3)*I229) + ((0.15*0.3)*I229) +  ((0.15*0.25)*I229) + ((0.15*0.35)*I229)</f>
        <v>0.3705</v>
      </c>
      <c r="L229" s="82"/>
      <c r="M229" s="82"/>
      <c r="N229" s="86"/>
    </row>
    <row r="230" spans="2:14" s="167" customFormat="1" hidden="1" x14ac:dyDescent="0.25">
      <c r="B230" s="49"/>
      <c r="C230" s="57"/>
      <c r="D230" s="144" t="s">
        <v>620</v>
      </c>
      <c r="E230" s="64"/>
      <c r="F230" s="94">
        <v>1</v>
      </c>
      <c r="G230" s="506" t="s">
        <v>692</v>
      </c>
      <c r="H230" s="511"/>
      <c r="I230" s="86">
        <v>1.91</v>
      </c>
      <c r="J230" s="99"/>
      <c r="K230" s="82">
        <f>((0.15*0.25)*I230) +  ((0.2*0.3)*I230)</f>
        <v>0.18622499999999997</v>
      </c>
      <c r="L230" s="82"/>
      <c r="M230" s="82"/>
      <c r="N230" s="86"/>
    </row>
    <row r="231" spans="2:14" s="167" customFormat="1" ht="22.5" hidden="1" x14ac:dyDescent="0.25">
      <c r="B231" s="49"/>
      <c r="C231" s="57"/>
      <c r="D231" s="144" t="s">
        <v>621</v>
      </c>
      <c r="E231" s="64"/>
      <c r="F231" s="94">
        <v>1</v>
      </c>
      <c r="G231" s="506" t="s">
        <v>693</v>
      </c>
      <c r="H231" s="511"/>
      <c r="I231" s="86">
        <v>1.94</v>
      </c>
      <c r="J231" s="99"/>
      <c r="K231" s="82">
        <f>((0.15*0.25)*5*I231) +  ((0.25*0.25)*I231)</f>
        <v>0.48499999999999999</v>
      </c>
      <c r="L231" s="82"/>
      <c r="M231" s="82"/>
      <c r="N231" s="86"/>
    </row>
    <row r="232" spans="2:14" s="167" customFormat="1" ht="25.15" hidden="1" customHeight="1" x14ac:dyDescent="0.25">
      <c r="B232" s="49"/>
      <c r="C232" s="57"/>
      <c r="D232" s="144" t="s">
        <v>622</v>
      </c>
      <c r="E232" s="64"/>
      <c r="F232" s="94">
        <v>1</v>
      </c>
      <c r="G232" s="509" t="s">
        <v>694</v>
      </c>
      <c r="H232" s="510"/>
      <c r="I232" s="86">
        <v>1.93</v>
      </c>
      <c r="J232" s="99"/>
      <c r="K232" s="82">
        <f xml:space="preserve"> ((0.2*0.25)*I232) + ((0.15*0.25)*I232) + ((0.25*0.25)*I232)</f>
        <v>0.28949999999999998</v>
      </c>
      <c r="L232" s="82"/>
      <c r="M232" s="82"/>
      <c r="N232" s="86"/>
    </row>
    <row r="233" spans="2:14" s="167" customFormat="1" hidden="1" x14ac:dyDescent="0.25">
      <c r="B233" s="49"/>
      <c r="C233" s="57"/>
      <c r="D233" s="144" t="s">
        <v>635</v>
      </c>
      <c r="E233" s="64"/>
      <c r="F233" s="94">
        <v>1</v>
      </c>
      <c r="G233" s="506" t="s">
        <v>695</v>
      </c>
      <c r="H233" s="511"/>
      <c r="I233" s="86">
        <v>1.92</v>
      </c>
      <c r="J233" s="99"/>
      <c r="K233" s="82">
        <f xml:space="preserve"> ((0.15*0.25)*2*I233) + ((0.25*0.25)*I233)</f>
        <v>0.26400000000000001</v>
      </c>
      <c r="L233" s="82"/>
      <c r="M233" s="82"/>
      <c r="N233" s="86"/>
    </row>
    <row r="234" spans="2:14" s="167" customFormat="1" hidden="1" x14ac:dyDescent="0.25">
      <c r="B234" s="49"/>
      <c r="C234" s="57"/>
      <c r="D234" s="144" t="s">
        <v>623</v>
      </c>
      <c r="E234" s="64"/>
      <c r="F234" s="94">
        <v>1</v>
      </c>
      <c r="G234" s="506" t="s">
        <v>696</v>
      </c>
      <c r="H234" s="511"/>
      <c r="I234" s="86">
        <v>1.87</v>
      </c>
      <c r="J234" s="99"/>
      <c r="K234" s="82">
        <f xml:space="preserve"> ((0.15*0.25)*2*I234) + ((0.2*0.25)*2*I234)</f>
        <v>0.32725000000000004</v>
      </c>
      <c r="L234" s="82"/>
      <c r="M234" s="82"/>
      <c r="N234" s="86"/>
    </row>
    <row r="235" spans="2:14" s="167" customFormat="1" hidden="1" x14ac:dyDescent="0.25">
      <c r="B235" s="49"/>
      <c r="C235" s="57"/>
      <c r="D235" s="144" t="s">
        <v>624</v>
      </c>
      <c r="E235" s="64"/>
      <c r="F235" s="94">
        <v>1</v>
      </c>
      <c r="G235" s="506" t="s">
        <v>697</v>
      </c>
      <c r="H235" s="511"/>
      <c r="I235" s="86">
        <v>1.88</v>
      </c>
      <c r="J235" s="99"/>
      <c r="K235" s="82">
        <f xml:space="preserve"> ((0.15*0.25)*3*I235) + ((0.2*0.25)*I235)</f>
        <v>0.30549999999999999</v>
      </c>
      <c r="L235" s="82"/>
      <c r="M235" s="82"/>
      <c r="N235" s="86"/>
    </row>
    <row r="236" spans="2:14" s="167" customFormat="1" hidden="1" x14ac:dyDescent="0.25">
      <c r="B236" s="49"/>
      <c r="C236" s="57"/>
      <c r="D236" s="144" t="s">
        <v>625</v>
      </c>
      <c r="E236" s="64"/>
      <c r="F236" s="94">
        <v>1</v>
      </c>
      <c r="G236" s="506" t="s">
        <v>698</v>
      </c>
      <c r="H236" s="511"/>
      <c r="I236" s="86">
        <v>1.9</v>
      </c>
      <c r="J236" s="99"/>
      <c r="K236" s="82">
        <f xml:space="preserve"> ((0.2*0.25)*3*I236) + ((0.25*0.25)*I236)</f>
        <v>0.40375000000000005</v>
      </c>
      <c r="L236" s="82"/>
      <c r="M236" s="82"/>
      <c r="N236" s="86"/>
    </row>
    <row r="237" spans="2:14" s="167" customFormat="1" hidden="1" x14ac:dyDescent="0.25">
      <c r="B237" s="49"/>
      <c r="C237" s="57"/>
      <c r="D237" s="144" t="s">
        <v>637</v>
      </c>
      <c r="E237" s="64"/>
      <c r="F237" s="94">
        <v>1</v>
      </c>
      <c r="G237" s="506" t="s">
        <v>699</v>
      </c>
      <c r="H237" s="511"/>
      <c r="I237" s="86">
        <v>1.9</v>
      </c>
      <c r="J237" s="99"/>
      <c r="K237" s="82">
        <f xml:space="preserve"> ((0.2*0.2)*I237)</f>
        <v>7.6000000000000012E-2</v>
      </c>
      <c r="L237" s="82"/>
      <c r="M237" s="82"/>
      <c r="N237" s="86"/>
    </row>
    <row r="238" spans="2:14" s="167" customFormat="1" hidden="1" x14ac:dyDescent="0.25">
      <c r="B238" s="49"/>
      <c r="C238" s="57"/>
      <c r="D238" s="144" t="s">
        <v>636</v>
      </c>
      <c r="E238" s="64"/>
      <c r="F238" s="94">
        <v>1</v>
      </c>
      <c r="G238" s="506" t="s">
        <v>700</v>
      </c>
      <c r="H238" s="511"/>
      <c r="I238" s="86">
        <v>1.97</v>
      </c>
      <c r="J238" s="99"/>
      <c r="K238" s="82">
        <f xml:space="preserve"> ((0.2*0.25)*I238) + ((0.15*0.25)*I238)</f>
        <v>0.172375</v>
      </c>
      <c r="L238" s="82"/>
      <c r="M238" s="82"/>
      <c r="N238" s="86"/>
    </row>
    <row r="239" spans="2:14" s="167" customFormat="1" hidden="1" x14ac:dyDescent="0.25">
      <c r="B239" s="49"/>
      <c r="C239" s="57"/>
      <c r="D239" s="144" t="s">
        <v>638</v>
      </c>
      <c r="E239" s="64"/>
      <c r="F239" s="94">
        <v>1</v>
      </c>
      <c r="G239" s="506" t="s">
        <v>701</v>
      </c>
      <c r="H239" s="511"/>
      <c r="I239" s="86">
        <v>2</v>
      </c>
      <c r="J239" s="99"/>
      <c r="K239" s="82">
        <f>((0.2*0.25)*I239) + ((0.15*0.25)*2*I239)</f>
        <v>0.25</v>
      </c>
      <c r="L239" s="82"/>
      <c r="M239" s="82"/>
      <c r="N239" s="86"/>
    </row>
    <row r="240" spans="2:14" s="167" customFormat="1" ht="22.5" hidden="1" x14ac:dyDescent="0.25">
      <c r="B240" s="49"/>
      <c r="C240" s="57"/>
      <c r="D240" s="144" t="s">
        <v>626</v>
      </c>
      <c r="E240" s="64"/>
      <c r="F240" s="94">
        <v>1</v>
      </c>
      <c r="G240" s="509" t="s">
        <v>702</v>
      </c>
      <c r="H240" s="510"/>
      <c r="I240" s="86">
        <v>2.0099999999999998</v>
      </c>
      <c r="J240" s="99"/>
      <c r="K240" s="82">
        <f>((0.2*0.3)*I240) + ((0.15*0.25)*5*I240)  + ((0.25*0.25)*I240)</f>
        <v>0.62309999999999999</v>
      </c>
      <c r="L240" s="82"/>
      <c r="M240" s="82"/>
      <c r="N240" s="86"/>
    </row>
    <row r="241" spans="2:14" s="167" customFormat="1" hidden="1" x14ac:dyDescent="0.25">
      <c r="B241" s="49"/>
      <c r="C241" s="57"/>
      <c r="D241" s="144" t="s">
        <v>639</v>
      </c>
      <c r="E241" s="64"/>
      <c r="F241" s="94">
        <v>1</v>
      </c>
      <c r="G241" s="506" t="s">
        <v>704</v>
      </c>
      <c r="H241" s="511"/>
      <c r="I241" s="86">
        <v>1.86</v>
      </c>
      <c r="J241" s="99"/>
      <c r="K241" s="82">
        <f xml:space="preserve"> ((0.15*0.3)*I241)</f>
        <v>8.3699999999999997E-2</v>
      </c>
      <c r="L241" s="82"/>
      <c r="M241" s="82"/>
      <c r="N241" s="86"/>
    </row>
    <row r="242" spans="2:14" s="167" customFormat="1" hidden="1" x14ac:dyDescent="0.25">
      <c r="B242" s="49"/>
      <c r="C242" s="57"/>
      <c r="D242" s="144" t="s">
        <v>640</v>
      </c>
      <c r="E242" s="64"/>
      <c r="F242" s="94">
        <v>1</v>
      </c>
      <c r="G242" s="506" t="s">
        <v>703</v>
      </c>
      <c r="H242" s="511"/>
      <c r="I242" s="86">
        <v>1.87</v>
      </c>
      <c r="J242" s="99"/>
      <c r="K242" s="82">
        <f xml:space="preserve"> ((0.15*0.3)*I242)</f>
        <v>8.4150000000000003E-2</v>
      </c>
      <c r="L242" s="82"/>
      <c r="M242" s="82"/>
      <c r="N242" s="86"/>
    </row>
    <row r="243" spans="2:14" s="167" customFormat="1" hidden="1" x14ac:dyDescent="0.25">
      <c r="B243" s="49"/>
      <c r="C243" s="57"/>
      <c r="D243" s="144" t="s">
        <v>641</v>
      </c>
      <c r="E243" s="64"/>
      <c r="F243" s="94">
        <v>1</v>
      </c>
      <c r="G243" s="506" t="s">
        <v>703</v>
      </c>
      <c r="H243" s="511"/>
      <c r="I243" s="86">
        <v>1.89</v>
      </c>
      <c r="J243" s="99"/>
      <c r="K243" s="82">
        <f xml:space="preserve"> ((0.15*0.5)*I243)</f>
        <v>0.14174999999999999</v>
      </c>
      <c r="L243" s="82"/>
      <c r="M243" s="82"/>
      <c r="N243" s="86"/>
    </row>
    <row r="244" spans="2:14" s="167" customFormat="1" hidden="1" x14ac:dyDescent="0.25">
      <c r="B244" s="49"/>
      <c r="C244" s="57"/>
      <c r="D244" s="144" t="s">
        <v>642</v>
      </c>
      <c r="E244" s="64"/>
      <c r="F244" s="94">
        <v>1</v>
      </c>
      <c r="G244" s="506" t="s">
        <v>705</v>
      </c>
      <c r="H244" s="511"/>
      <c r="I244" s="86">
        <v>1.9</v>
      </c>
      <c r="J244" s="99"/>
      <c r="K244" s="82">
        <f xml:space="preserve"> ((0.15*0.25)*I244)</f>
        <v>7.1249999999999994E-2</v>
      </c>
      <c r="L244" s="82"/>
      <c r="M244" s="82"/>
      <c r="N244" s="86"/>
    </row>
    <row r="245" spans="2:14" s="167" customFormat="1" hidden="1" x14ac:dyDescent="0.25">
      <c r="B245" s="49"/>
      <c r="C245" s="57"/>
      <c r="D245" s="144" t="s">
        <v>643</v>
      </c>
      <c r="E245" s="64"/>
      <c r="F245" s="94">
        <v>1</v>
      </c>
      <c r="G245" s="506" t="s">
        <v>704</v>
      </c>
      <c r="H245" s="511"/>
      <c r="I245" s="86">
        <v>1.92</v>
      </c>
      <c r="J245" s="99"/>
      <c r="K245" s="82">
        <f t="shared" ref="K245" si="10" xml:space="preserve"> ((0.15*0.3)*I245)</f>
        <v>8.6399999999999991E-2</v>
      </c>
      <c r="L245" s="82"/>
      <c r="M245" s="82"/>
      <c r="N245" s="86"/>
    </row>
    <row r="246" spans="2:14" s="167" customFormat="1" hidden="1" x14ac:dyDescent="0.25">
      <c r="B246" s="49"/>
      <c r="C246" s="57"/>
      <c r="D246" s="144" t="s">
        <v>644</v>
      </c>
      <c r="E246" s="64"/>
      <c r="F246" s="94">
        <v>1</v>
      </c>
      <c r="G246" s="506" t="s">
        <v>705</v>
      </c>
      <c r="H246" s="511"/>
      <c r="I246" s="86">
        <v>1.9</v>
      </c>
      <c r="J246" s="99"/>
      <c r="K246" s="82">
        <f xml:space="preserve"> ((0.15*0.25)*I246)</f>
        <v>7.1249999999999994E-2</v>
      </c>
      <c r="L246" s="82"/>
      <c r="M246" s="82"/>
      <c r="N246" s="86"/>
    </row>
    <row r="247" spans="2:14" s="167" customFormat="1" hidden="1" x14ac:dyDescent="0.25">
      <c r="B247" s="49"/>
      <c r="C247" s="57"/>
      <c r="D247" s="144" t="s">
        <v>645</v>
      </c>
      <c r="E247" s="64"/>
      <c r="F247" s="94">
        <v>1</v>
      </c>
      <c r="G247" s="506" t="s">
        <v>704</v>
      </c>
      <c r="H247" s="511"/>
      <c r="I247" s="86">
        <v>1.98</v>
      </c>
      <c r="J247" s="99"/>
      <c r="K247" s="82">
        <f t="shared" ref="K247" si="11" xml:space="preserve"> ((0.15*0.3)*I247)</f>
        <v>8.9099999999999999E-2</v>
      </c>
      <c r="L247" s="82"/>
      <c r="M247" s="82"/>
      <c r="N247" s="86"/>
    </row>
    <row r="248" spans="2:14" s="167" customFormat="1" hidden="1" x14ac:dyDescent="0.25">
      <c r="B248" s="49"/>
      <c r="C248" s="57"/>
      <c r="D248" s="144" t="s">
        <v>707</v>
      </c>
      <c r="E248" s="64"/>
      <c r="F248" s="94">
        <v>1</v>
      </c>
      <c r="G248" s="506">
        <v>9.6</v>
      </c>
      <c r="H248" s="507"/>
      <c r="I248" s="508"/>
      <c r="J248" s="99"/>
      <c r="K248" s="82">
        <f>F248*G248*-1</f>
        <v>-9.6</v>
      </c>
      <c r="L248" s="82"/>
      <c r="M248" s="82"/>
      <c r="N248" s="86"/>
    </row>
    <row r="249" spans="2:14" s="167" customFormat="1" hidden="1" x14ac:dyDescent="0.25">
      <c r="B249" s="49"/>
      <c r="C249" s="57"/>
      <c r="D249" s="152" t="s">
        <v>610</v>
      </c>
      <c r="E249" s="64"/>
      <c r="F249" s="94">
        <v>1</v>
      </c>
      <c r="G249" s="506">
        <v>12.75</v>
      </c>
      <c r="H249" s="507"/>
      <c r="I249" s="508"/>
      <c r="J249" s="99"/>
      <c r="K249" s="81"/>
      <c r="L249" s="82"/>
      <c r="M249" s="82"/>
      <c r="N249" s="86"/>
    </row>
    <row r="250" spans="2:14" hidden="1" x14ac:dyDescent="0.25">
      <c r="B250" s="49"/>
      <c r="C250" s="57"/>
      <c r="D250" s="144" t="s">
        <v>601</v>
      </c>
      <c r="E250" s="64"/>
      <c r="F250" s="94">
        <v>1</v>
      </c>
      <c r="G250" s="104">
        <v>4.758</v>
      </c>
      <c r="H250" s="92">
        <v>0.15</v>
      </c>
      <c r="I250" s="105">
        <v>0.2</v>
      </c>
      <c r="J250" s="99"/>
      <c r="K250" s="82">
        <f>F250*(G250*H250*I250)</f>
        <v>0.14274000000000001</v>
      </c>
      <c r="L250" s="82"/>
      <c r="M250" s="82"/>
      <c r="N250" s="86"/>
    </row>
    <row r="251" spans="2:14" hidden="1" x14ac:dyDescent="0.25">
      <c r="B251" s="49"/>
      <c r="C251" s="57"/>
      <c r="D251" s="144" t="s">
        <v>602</v>
      </c>
      <c r="E251" s="64"/>
      <c r="F251" s="94">
        <v>1</v>
      </c>
      <c r="G251" s="104">
        <v>3.097</v>
      </c>
      <c r="H251" s="92">
        <v>0.15</v>
      </c>
      <c r="I251" s="105">
        <v>0.2</v>
      </c>
      <c r="J251" s="99"/>
      <c r="K251" s="82">
        <f t="shared" ref="K251:K256" si="12">F251*(G251*H251*I251)</f>
        <v>9.2909999999999993E-2</v>
      </c>
      <c r="L251" s="82"/>
      <c r="M251" s="82"/>
      <c r="N251" s="86"/>
    </row>
    <row r="252" spans="2:14" hidden="1" x14ac:dyDescent="0.25">
      <c r="B252" s="49"/>
      <c r="C252" s="57"/>
      <c r="D252" s="144" t="s">
        <v>603</v>
      </c>
      <c r="E252" s="64"/>
      <c r="F252" s="94">
        <v>1</v>
      </c>
      <c r="G252" s="104">
        <v>3.0470000000000002</v>
      </c>
      <c r="H252" s="92">
        <v>0.15</v>
      </c>
      <c r="I252" s="105">
        <v>0.2</v>
      </c>
      <c r="J252" s="99"/>
      <c r="K252" s="82">
        <f t="shared" si="12"/>
        <v>9.1410000000000005E-2</v>
      </c>
      <c r="L252" s="82"/>
      <c r="M252" s="82"/>
      <c r="N252" s="86"/>
    </row>
    <row r="253" spans="2:14" hidden="1" x14ac:dyDescent="0.25">
      <c r="B253" s="49"/>
      <c r="C253" s="57"/>
      <c r="D253" s="144" t="s">
        <v>604</v>
      </c>
      <c r="E253" s="64"/>
      <c r="F253" s="94">
        <v>1</v>
      </c>
      <c r="G253" s="104">
        <v>5.109</v>
      </c>
      <c r="H253" s="92">
        <v>0.15</v>
      </c>
      <c r="I253" s="105">
        <v>0.2</v>
      </c>
      <c r="J253" s="99"/>
      <c r="K253" s="82">
        <f t="shared" si="12"/>
        <v>0.15327000000000002</v>
      </c>
      <c r="L253" s="82"/>
      <c r="M253" s="82"/>
      <c r="N253" s="86"/>
    </row>
    <row r="254" spans="2:14" hidden="1" x14ac:dyDescent="0.25">
      <c r="B254" s="49"/>
      <c r="C254" s="57"/>
      <c r="D254" s="144" t="s">
        <v>605</v>
      </c>
      <c r="E254" s="64"/>
      <c r="F254" s="94">
        <v>1</v>
      </c>
      <c r="G254" s="104">
        <v>2.5640000000000001</v>
      </c>
      <c r="H254" s="92">
        <v>0.15</v>
      </c>
      <c r="I254" s="105">
        <v>0.2</v>
      </c>
      <c r="J254" s="99"/>
      <c r="K254" s="82">
        <f t="shared" si="12"/>
        <v>7.6920000000000002E-2</v>
      </c>
      <c r="L254" s="82"/>
      <c r="M254" s="82"/>
      <c r="N254" s="86"/>
    </row>
    <row r="255" spans="2:14" hidden="1" x14ac:dyDescent="0.25">
      <c r="B255" s="49"/>
      <c r="C255" s="57"/>
      <c r="D255" s="144" t="s">
        <v>606</v>
      </c>
      <c r="E255" s="64"/>
      <c r="F255" s="94">
        <v>1</v>
      </c>
      <c r="G255" s="104">
        <v>1.6779999999999999</v>
      </c>
      <c r="H255" s="92">
        <v>0.15</v>
      </c>
      <c r="I255" s="105">
        <v>0.2</v>
      </c>
      <c r="J255" s="99"/>
      <c r="K255" s="82">
        <f t="shared" si="12"/>
        <v>5.0339999999999996E-2</v>
      </c>
      <c r="L255" s="82"/>
      <c r="M255" s="82"/>
      <c r="N255" s="86"/>
    </row>
    <row r="256" spans="2:14" hidden="1" x14ac:dyDescent="0.25">
      <c r="B256" s="49"/>
      <c r="C256" s="57"/>
      <c r="D256" s="144" t="s">
        <v>607</v>
      </c>
      <c r="E256" s="64"/>
      <c r="F256" s="94">
        <v>1</v>
      </c>
      <c r="G256" s="104">
        <v>6.5330000000000004</v>
      </c>
      <c r="H256" s="92">
        <v>0.15</v>
      </c>
      <c r="I256" s="105">
        <v>0.2</v>
      </c>
      <c r="J256" s="99"/>
      <c r="K256" s="82">
        <f t="shared" si="12"/>
        <v>0.19599</v>
      </c>
      <c r="L256" s="82"/>
      <c r="M256" s="82"/>
      <c r="N256" s="86"/>
    </row>
    <row r="257" spans="2:21" ht="33.75" hidden="1" x14ac:dyDescent="0.25">
      <c r="B257" s="49" t="s">
        <v>66</v>
      </c>
      <c r="C257" s="57">
        <v>94964</v>
      </c>
      <c r="D257" s="52" t="s">
        <v>68</v>
      </c>
      <c r="E257" s="64" t="s">
        <v>41</v>
      </c>
      <c r="F257" s="94"/>
      <c r="G257" s="536" t="s">
        <v>874</v>
      </c>
      <c r="H257" s="537"/>
      <c r="I257" s="538"/>
      <c r="J257" s="99">
        <f>'BOLETIM DE MEDIÇÃO 05'!O31-'MEMORIAL DE CALCULO 06'!K257</f>
        <v>0</v>
      </c>
      <c r="K257" s="81">
        <f>G259</f>
        <v>9.6</v>
      </c>
      <c r="L257" s="82">
        <f t="shared" si="0"/>
        <v>9.6</v>
      </c>
      <c r="M257" s="82">
        <f>'BOLETIM DE MEDIÇÃO 05'!G31</f>
        <v>9.6</v>
      </c>
      <c r="N257" s="86">
        <f t="shared" si="1"/>
        <v>0</v>
      </c>
    </row>
    <row r="258" spans="2:21" hidden="1" x14ac:dyDescent="0.25">
      <c r="B258" s="49"/>
      <c r="C258" s="57"/>
      <c r="D258" s="160" t="s">
        <v>588</v>
      </c>
      <c r="E258" s="64"/>
      <c r="F258" s="94"/>
      <c r="G258" s="506"/>
      <c r="H258" s="507"/>
      <c r="I258" s="508"/>
      <c r="J258" s="99"/>
      <c r="K258" s="82"/>
      <c r="L258" s="82"/>
      <c r="M258" s="82"/>
      <c r="N258" s="86"/>
    </row>
    <row r="259" spans="2:21" hidden="1" x14ac:dyDescent="0.25">
      <c r="B259" s="49"/>
      <c r="C259" s="57"/>
      <c r="D259" s="144" t="s">
        <v>590</v>
      </c>
      <c r="E259" s="64"/>
      <c r="F259" s="94"/>
      <c r="G259" s="506">
        <v>9.6</v>
      </c>
      <c r="H259" s="507"/>
      <c r="I259" s="508"/>
      <c r="J259" s="99"/>
      <c r="K259" s="82"/>
      <c r="L259" s="82"/>
      <c r="M259" s="82"/>
      <c r="N259" s="86"/>
      <c r="S259" s="161"/>
      <c r="T259" s="161"/>
      <c r="U259" s="162"/>
    </row>
    <row r="260" spans="2:21" ht="22.5" hidden="1" x14ac:dyDescent="0.25">
      <c r="B260" s="49" t="s">
        <v>69</v>
      </c>
      <c r="C260" s="57">
        <v>103670</v>
      </c>
      <c r="D260" s="52" t="s">
        <v>71</v>
      </c>
      <c r="E260" s="64" t="s">
        <v>41</v>
      </c>
      <c r="F260" s="94"/>
      <c r="G260" s="506" t="s">
        <v>831</v>
      </c>
      <c r="H260" s="507"/>
      <c r="I260" s="508"/>
      <c r="J260" s="99">
        <f>'BOLETIM DE MEDIÇÃO 05'!I32</f>
        <v>18.013054999999998</v>
      </c>
      <c r="K260" s="81">
        <f>G261*F261</f>
        <v>12.75</v>
      </c>
      <c r="L260" s="82">
        <f t="shared" si="0"/>
        <v>30.763054999999998</v>
      </c>
      <c r="M260" s="82">
        <f>'BOLETIM DE MEDIÇÃO 05'!G32</f>
        <v>30.76</v>
      </c>
      <c r="N260" s="86">
        <f t="shared" si="1"/>
        <v>-3.0549999999962552E-3</v>
      </c>
    </row>
    <row r="261" spans="2:21" hidden="1" x14ac:dyDescent="0.25">
      <c r="B261" s="49"/>
      <c r="C261" s="57"/>
      <c r="D261" s="143" t="s">
        <v>613</v>
      </c>
      <c r="E261" s="64"/>
      <c r="F261" s="94">
        <v>1</v>
      </c>
      <c r="G261" s="506">
        <f>G249</f>
        <v>12.75</v>
      </c>
      <c r="H261" s="507"/>
      <c r="I261" s="508"/>
      <c r="J261" s="99"/>
      <c r="K261" s="82">
        <f>F261*G261</f>
        <v>12.75</v>
      </c>
      <c r="L261" s="82"/>
      <c r="M261" s="82"/>
      <c r="N261" s="86"/>
    </row>
    <row r="262" spans="2:21" ht="22.5" hidden="1" x14ac:dyDescent="0.25">
      <c r="B262" s="49" t="s">
        <v>72</v>
      </c>
      <c r="C262" s="57">
        <v>96543</v>
      </c>
      <c r="D262" s="52" t="s">
        <v>74</v>
      </c>
      <c r="E262" s="64" t="s">
        <v>62</v>
      </c>
      <c r="F262" s="94"/>
      <c r="G262" s="506" t="s">
        <v>831</v>
      </c>
      <c r="H262" s="507"/>
      <c r="I262" s="508"/>
      <c r="J262" s="99">
        <f>'BOLETIM DE MEDIÇÃO 05'!I33</f>
        <v>194.26804319999999</v>
      </c>
      <c r="K262" s="81">
        <f>G294*F294</f>
        <v>210.13</v>
      </c>
      <c r="L262" s="82">
        <f t="shared" si="0"/>
        <v>404.39804319999996</v>
      </c>
      <c r="M262" s="82">
        <f>'BOLETIM DE MEDIÇÃO 05'!G33</f>
        <v>404.4</v>
      </c>
      <c r="N262" s="86">
        <f t="shared" si="1"/>
        <v>1.9568000000163011E-3</v>
      </c>
    </row>
    <row r="263" spans="2:21" hidden="1" x14ac:dyDescent="0.25">
      <c r="B263" s="49"/>
      <c r="C263" s="57"/>
      <c r="D263" s="152" t="s">
        <v>646</v>
      </c>
      <c r="E263" s="64"/>
      <c r="F263" s="94"/>
      <c r="G263" s="509" t="s">
        <v>647</v>
      </c>
      <c r="H263" s="510"/>
      <c r="I263" s="122" t="s">
        <v>611</v>
      </c>
      <c r="J263" s="99"/>
      <c r="K263" s="82"/>
      <c r="L263" s="82"/>
      <c r="M263" s="82"/>
      <c r="N263" s="86"/>
    </row>
    <row r="264" spans="2:21" hidden="1" x14ac:dyDescent="0.25">
      <c r="B264" s="49"/>
      <c r="C264" s="57"/>
      <c r="D264" s="144" t="s">
        <v>614</v>
      </c>
      <c r="E264" s="64"/>
      <c r="F264" s="105">
        <v>1</v>
      </c>
      <c r="G264" s="506">
        <f xml:space="preserve"> ((0.59*(1.85/0.1)) * 2)</f>
        <v>21.83</v>
      </c>
      <c r="H264" s="511"/>
      <c r="I264" s="155">
        <v>0.154</v>
      </c>
      <c r="J264" s="99"/>
      <c r="K264" s="82">
        <f>F264*G264*I264</f>
        <v>3.3618199999999998</v>
      </c>
      <c r="L264" s="82"/>
      <c r="M264" s="82"/>
      <c r="N264" s="86"/>
    </row>
    <row r="265" spans="2:21" hidden="1" x14ac:dyDescent="0.25">
      <c r="B265" s="49"/>
      <c r="C265" s="57"/>
      <c r="D265" s="144" t="s">
        <v>633</v>
      </c>
      <c r="E265" s="64"/>
      <c r="F265" s="105">
        <v>1</v>
      </c>
      <c r="G265" s="506">
        <f>(0.69*(1.87/0.1)) + (0.79*(1.87/0.1))</f>
        <v>27.675999999999998</v>
      </c>
      <c r="H265" s="511"/>
      <c r="I265" s="155">
        <v>0.154</v>
      </c>
      <c r="J265" s="99"/>
      <c r="K265" s="82">
        <f t="shared" ref="K265:K293" si="13">F265*G265*I265</f>
        <v>4.2621039999999999</v>
      </c>
      <c r="L265" s="82"/>
      <c r="M265" s="82"/>
      <c r="N265" s="86"/>
    </row>
    <row r="266" spans="2:21" ht="18" hidden="1" customHeight="1" x14ac:dyDescent="0.25">
      <c r="B266" s="49"/>
      <c r="C266" s="57"/>
      <c r="D266" s="144" t="s">
        <v>629</v>
      </c>
      <c r="E266" s="64"/>
      <c r="F266" s="105">
        <v>1</v>
      </c>
      <c r="G266" s="506">
        <f>((0.69*(1.9/0.1))*3) + ((0.59*(1.87/0.1))*2)</f>
        <v>61.395999999999987</v>
      </c>
      <c r="H266" s="511"/>
      <c r="I266" s="155">
        <v>0.154</v>
      </c>
      <c r="J266" s="99"/>
      <c r="K266" s="82">
        <f t="shared" si="13"/>
        <v>9.4549839999999978</v>
      </c>
      <c r="L266" s="82"/>
      <c r="M266" s="82"/>
      <c r="N266" s="86"/>
    </row>
    <row r="267" spans="2:21" hidden="1" x14ac:dyDescent="0.25">
      <c r="B267" s="49"/>
      <c r="C267" s="57"/>
      <c r="D267" s="144" t="s">
        <v>630</v>
      </c>
      <c r="E267" s="64"/>
      <c r="F267" s="105">
        <v>1</v>
      </c>
      <c r="G267" s="506">
        <f>((0.69*(1.92/0.1))*1) + ((0.59*(1.92/0.1))*2)</f>
        <v>35.903999999999996</v>
      </c>
      <c r="H267" s="511"/>
      <c r="I267" s="155">
        <v>0.154</v>
      </c>
      <c r="J267" s="99"/>
      <c r="K267" s="82">
        <f t="shared" si="13"/>
        <v>5.529215999999999</v>
      </c>
      <c r="L267" s="82"/>
      <c r="M267" s="82"/>
      <c r="N267" s="86"/>
    </row>
    <row r="268" spans="2:21" hidden="1" x14ac:dyDescent="0.25">
      <c r="B268" s="49"/>
      <c r="C268" s="57"/>
      <c r="D268" s="144" t="s">
        <v>615</v>
      </c>
      <c r="E268" s="64"/>
      <c r="F268" s="105">
        <v>1</v>
      </c>
      <c r="G268" s="506">
        <f>((0.79*(1.94/0.1))*3)</f>
        <v>45.977999999999994</v>
      </c>
      <c r="H268" s="511"/>
      <c r="I268" s="155">
        <v>0.154</v>
      </c>
      <c r="J268" s="99"/>
      <c r="K268" s="82">
        <f t="shared" si="13"/>
        <v>7.0806119999999995</v>
      </c>
      <c r="L268" s="82"/>
      <c r="M268" s="82"/>
      <c r="N268" s="86"/>
    </row>
    <row r="269" spans="2:21" ht="17.45" hidden="1" customHeight="1" x14ac:dyDescent="0.25">
      <c r="B269" s="49"/>
      <c r="C269" s="57"/>
      <c r="D269" s="144" t="s">
        <v>616</v>
      </c>
      <c r="E269" s="64"/>
      <c r="F269" s="105">
        <v>1</v>
      </c>
      <c r="G269" s="506">
        <f>((0.69*(1.96/0.1))*3) + ((0.59*(1.96/0.1))*2)</f>
        <v>63.699999999999989</v>
      </c>
      <c r="H269" s="511"/>
      <c r="I269" s="155">
        <v>0.154</v>
      </c>
      <c r="J269" s="99"/>
      <c r="K269" s="82">
        <f t="shared" si="13"/>
        <v>9.8097999999999974</v>
      </c>
      <c r="L269" s="82"/>
      <c r="M269" s="82"/>
      <c r="N269" s="86"/>
    </row>
    <row r="270" spans="2:21" ht="22.5" hidden="1" x14ac:dyDescent="0.25">
      <c r="B270" s="49"/>
      <c r="C270" s="57"/>
      <c r="D270" s="144" t="s">
        <v>617</v>
      </c>
      <c r="E270" s="64"/>
      <c r="F270" s="105">
        <v>1</v>
      </c>
      <c r="G270" s="506">
        <f>((0.59*(1.95/0.1))*2) + ((0.69*(1.95/0.1))*3) +((0.79*(1.95/0.1))*1)</f>
        <v>78.78</v>
      </c>
      <c r="H270" s="511"/>
      <c r="I270" s="155">
        <v>0.154</v>
      </c>
      <c r="J270" s="99"/>
      <c r="K270" s="82">
        <f t="shared" si="13"/>
        <v>12.13212</v>
      </c>
      <c r="L270" s="82"/>
      <c r="M270" s="82"/>
      <c r="N270" s="86"/>
    </row>
    <row r="271" spans="2:21" hidden="1" x14ac:dyDescent="0.25">
      <c r="B271" s="49"/>
      <c r="C271" s="57"/>
      <c r="D271" s="144" t="s">
        <v>618</v>
      </c>
      <c r="E271" s="64"/>
      <c r="F271" s="105">
        <v>1</v>
      </c>
      <c r="G271" s="506">
        <f>((0.59*(1.97/0.1))*1)  +((0.79*(1.97/0.1))*2)</f>
        <v>42.749000000000002</v>
      </c>
      <c r="H271" s="511"/>
      <c r="I271" s="155">
        <v>0.154</v>
      </c>
      <c r="J271" s="99"/>
      <c r="K271" s="82">
        <f t="shared" si="13"/>
        <v>6.5833460000000006</v>
      </c>
      <c r="L271" s="82"/>
      <c r="M271" s="82"/>
      <c r="N271" s="86"/>
    </row>
    <row r="272" spans="2:21" hidden="1" x14ac:dyDescent="0.25">
      <c r="B272" s="49"/>
      <c r="C272" s="57"/>
      <c r="D272" s="144" t="s">
        <v>631</v>
      </c>
      <c r="E272" s="64"/>
      <c r="F272" s="105">
        <v>1</v>
      </c>
      <c r="G272" s="506">
        <f>((0.59*(1.9/0.1))*3)</f>
        <v>33.629999999999995</v>
      </c>
      <c r="H272" s="511"/>
      <c r="I272" s="155">
        <v>0.154</v>
      </c>
      <c r="J272" s="99"/>
      <c r="K272" s="82">
        <f t="shared" si="13"/>
        <v>5.1790199999999995</v>
      </c>
      <c r="L272" s="82"/>
      <c r="M272" s="82"/>
      <c r="N272" s="86"/>
    </row>
    <row r="273" spans="2:14" hidden="1" x14ac:dyDescent="0.25">
      <c r="B273" s="49"/>
      <c r="C273" s="57"/>
      <c r="D273" s="144" t="s">
        <v>632</v>
      </c>
      <c r="E273" s="64"/>
      <c r="F273" s="105">
        <v>1</v>
      </c>
      <c r="G273" s="506">
        <f>((0.69*(1.86/0.1))*1) + ((0.69*(1.86/0.1))*1) + ((0.89*(1.86/0.1))*1)</f>
        <v>42.222000000000001</v>
      </c>
      <c r="H273" s="511"/>
      <c r="I273" s="155">
        <v>0.154</v>
      </c>
      <c r="J273" s="99"/>
      <c r="K273" s="82">
        <f t="shared" si="13"/>
        <v>6.5021880000000003</v>
      </c>
      <c r="L273" s="82"/>
      <c r="M273" s="82"/>
      <c r="N273" s="86"/>
    </row>
    <row r="274" spans="2:14" hidden="1" x14ac:dyDescent="0.25">
      <c r="B274" s="49"/>
      <c r="C274" s="57"/>
      <c r="D274" s="144" t="s">
        <v>634</v>
      </c>
      <c r="E274" s="64"/>
      <c r="F274" s="105">
        <v>1</v>
      </c>
      <c r="G274" s="506">
        <f>((0.69*(1.87/0.1))*3)</f>
        <v>38.708999999999996</v>
      </c>
      <c r="H274" s="511"/>
      <c r="I274" s="155">
        <v>0.154</v>
      </c>
      <c r="J274" s="99"/>
      <c r="K274" s="82">
        <f t="shared" si="13"/>
        <v>5.9611859999999997</v>
      </c>
      <c r="L274" s="82"/>
      <c r="M274" s="82"/>
      <c r="N274" s="86"/>
    </row>
    <row r="275" spans="2:14" hidden="1" x14ac:dyDescent="0.25">
      <c r="B275" s="49"/>
      <c r="C275" s="57"/>
      <c r="D275" s="144" t="s">
        <v>619</v>
      </c>
      <c r="E275" s="64"/>
      <c r="F275" s="105">
        <v>1</v>
      </c>
      <c r="G275" s="506">
        <f>((0.69*(1.9/0.1))*1) + ((0.79*(1.9/0.1))*2) + ((0.59*(1.9/0.1))*1)</f>
        <v>54.339999999999989</v>
      </c>
      <c r="H275" s="511"/>
      <c r="I275" s="155">
        <v>0.154</v>
      </c>
      <c r="J275" s="99"/>
      <c r="K275" s="82">
        <f t="shared" si="13"/>
        <v>8.3683599999999974</v>
      </c>
      <c r="L275" s="82"/>
      <c r="M275" s="82"/>
      <c r="N275" s="86"/>
    </row>
    <row r="276" spans="2:14" hidden="1" x14ac:dyDescent="0.25">
      <c r="B276" s="49"/>
      <c r="C276" s="57"/>
      <c r="D276" s="144" t="s">
        <v>620</v>
      </c>
      <c r="E276" s="64"/>
      <c r="F276" s="105">
        <v>1</v>
      </c>
      <c r="G276" s="506">
        <f>((0.79*(1.91/0.1))*1) +((0.59*(1.91/0.1))*1)</f>
        <v>26.357999999999997</v>
      </c>
      <c r="H276" s="511"/>
      <c r="I276" s="155">
        <v>0.154</v>
      </c>
      <c r="J276" s="99"/>
      <c r="K276" s="82">
        <f t="shared" si="13"/>
        <v>4.0591319999999991</v>
      </c>
      <c r="L276" s="82"/>
      <c r="M276" s="82"/>
      <c r="N276" s="86"/>
    </row>
    <row r="277" spans="2:14" ht="22.5" hidden="1" x14ac:dyDescent="0.25">
      <c r="B277" s="49"/>
      <c r="C277" s="57"/>
      <c r="D277" s="144" t="s">
        <v>621</v>
      </c>
      <c r="E277" s="64"/>
      <c r="F277" s="105">
        <v>1</v>
      </c>
      <c r="G277" s="506">
        <f>((0.79*(1.94/0.1))*1) +((0.59*(1.94/0.1))*5)</f>
        <v>72.555999999999983</v>
      </c>
      <c r="H277" s="511"/>
      <c r="I277" s="155">
        <v>0.154</v>
      </c>
      <c r="J277" s="99"/>
      <c r="K277" s="82">
        <f t="shared" si="13"/>
        <v>11.173623999999997</v>
      </c>
      <c r="L277" s="82"/>
      <c r="M277" s="82"/>
      <c r="N277" s="86"/>
    </row>
    <row r="278" spans="2:14" hidden="1" x14ac:dyDescent="0.25">
      <c r="B278" s="49"/>
      <c r="C278" s="57"/>
      <c r="D278" s="144" t="s">
        <v>622</v>
      </c>
      <c r="E278" s="64"/>
      <c r="F278" s="105">
        <v>1</v>
      </c>
      <c r="G278" s="506">
        <f>((0.69*(1.92/0.1))*2) + ((0.69*(1.92/0.1))*1)</f>
        <v>39.744</v>
      </c>
      <c r="H278" s="511"/>
      <c r="I278" s="155">
        <v>0.154</v>
      </c>
      <c r="J278" s="99"/>
      <c r="K278" s="82">
        <f t="shared" si="13"/>
        <v>6.1205759999999998</v>
      </c>
      <c r="L278" s="82"/>
      <c r="M278" s="82"/>
      <c r="N278" s="86"/>
    </row>
    <row r="279" spans="2:14" hidden="1" x14ac:dyDescent="0.25">
      <c r="B279" s="49"/>
      <c r="C279" s="57"/>
      <c r="D279" s="144" t="s">
        <v>635</v>
      </c>
      <c r="E279" s="64"/>
      <c r="F279" s="105">
        <v>1</v>
      </c>
      <c r="G279" s="506">
        <f>((0.59*(1.93/0.1))*2) + ((0.79*(1.93/0.1))*1)</f>
        <v>38.020999999999994</v>
      </c>
      <c r="H279" s="511"/>
      <c r="I279" s="155">
        <v>0.154</v>
      </c>
      <c r="J279" s="99"/>
      <c r="K279" s="82">
        <f t="shared" si="13"/>
        <v>5.8552339999999994</v>
      </c>
      <c r="L279" s="82"/>
      <c r="M279" s="82"/>
      <c r="N279" s="86"/>
    </row>
    <row r="280" spans="2:14" hidden="1" x14ac:dyDescent="0.25">
      <c r="B280" s="49"/>
      <c r="C280" s="57"/>
      <c r="D280" s="144" t="s">
        <v>623</v>
      </c>
      <c r="E280" s="64"/>
      <c r="F280" s="105">
        <v>1</v>
      </c>
      <c r="G280" s="506">
        <f>((0.59*(1.87/0.1))*2) + ((0.69*(1.87/0.1))*2)</f>
        <v>47.872</v>
      </c>
      <c r="H280" s="511"/>
      <c r="I280" s="155">
        <v>0.154</v>
      </c>
      <c r="J280" s="99"/>
      <c r="K280" s="82">
        <f t="shared" si="13"/>
        <v>7.3722880000000002</v>
      </c>
      <c r="L280" s="82"/>
      <c r="M280" s="82"/>
      <c r="N280" s="86"/>
    </row>
    <row r="281" spans="2:14" hidden="1" x14ac:dyDescent="0.25">
      <c r="B281" s="49"/>
      <c r="C281" s="57"/>
      <c r="D281" s="144" t="s">
        <v>624</v>
      </c>
      <c r="E281" s="64"/>
      <c r="F281" s="105">
        <v>1</v>
      </c>
      <c r="G281" s="506">
        <f>((0.59*(1.88/0.1))*3) + ((0.69*(1.88/0.1))*1)</f>
        <v>46.24799999999999</v>
      </c>
      <c r="H281" s="511"/>
      <c r="I281" s="155">
        <v>0.154</v>
      </c>
      <c r="J281" s="99"/>
      <c r="K281" s="82">
        <f t="shared" si="13"/>
        <v>7.1221919999999983</v>
      </c>
      <c r="L281" s="82"/>
      <c r="M281" s="82"/>
      <c r="N281" s="86"/>
    </row>
    <row r="282" spans="2:14" hidden="1" x14ac:dyDescent="0.25">
      <c r="B282" s="49"/>
      <c r="C282" s="57"/>
      <c r="D282" s="144" t="s">
        <v>625</v>
      </c>
      <c r="E282" s="64"/>
      <c r="F282" s="105">
        <v>1</v>
      </c>
      <c r="G282" s="506">
        <f>((0.79*(1.9/0.1))*1) + ((0.69*(1.9/0.1))*3)</f>
        <v>54.339999999999982</v>
      </c>
      <c r="H282" s="511"/>
      <c r="I282" s="155">
        <v>0.154</v>
      </c>
      <c r="J282" s="99"/>
      <c r="K282" s="82">
        <f t="shared" si="13"/>
        <v>8.3683599999999974</v>
      </c>
      <c r="L282" s="82"/>
      <c r="M282" s="82"/>
      <c r="N282" s="86"/>
    </row>
    <row r="283" spans="2:14" hidden="1" x14ac:dyDescent="0.25">
      <c r="B283" s="49"/>
      <c r="C283" s="57"/>
      <c r="D283" s="144" t="s">
        <v>637</v>
      </c>
      <c r="E283" s="64"/>
      <c r="F283" s="105">
        <v>1</v>
      </c>
      <c r="G283" s="506">
        <f>((0.59*(1.9/0.1))*1)</f>
        <v>11.209999999999997</v>
      </c>
      <c r="H283" s="511"/>
      <c r="I283" s="155">
        <v>0.154</v>
      </c>
      <c r="J283" s="99"/>
      <c r="K283" s="82">
        <f t="shared" si="13"/>
        <v>1.7263399999999995</v>
      </c>
      <c r="L283" s="82"/>
      <c r="M283" s="82"/>
      <c r="N283" s="86"/>
    </row>
    <row r="284" spans="2:14" hidden="1" x14ac:dyDescent="0.25">
      <c r="B284" s="49"/>
      <c r="C284" s="57"/>
      <c r="D284" s="144" t="s">
        <v>636</v>
      </c>
      <c r="E284" s="64"/>
      <c r="F284" s="105">
        <v>1</v>
      </c>
      <c r="G284" s="506">
        <f>((0.69*(1.87/0.1))*1) + ((0.59*(1.87/0.1))*1)</f>
        <v>23.936</v>
      </c>
      <c r="H284" s="511"/>
      <c r="I284" s="155">
        <v>0.154</v>
      </c>
      <c r="J284" s="99"/>
      <c r="K284" s="82">
        <f t="shared" si="13"/>
        <v>3.6861440000000001</v>
      </c>
      <c r="L284" s="82"/>
      <c r="M284" s="82"/>
      <c r="N284" s="86"/>
    </row>
    <row r="285" spans="2:14" hidden="1" x14ac:dyDescent="0.25">
      <c r="B285" s="49"/>
      <c r="C285" s="57"/>
      <c r="D285" s="144" t="s">
        <v>638</v>
      </c>
      <c r="E285" s="64"/>
      <c r="F285" s="105">
        <v>1</v>
      </c>
      <c r="G285" s="506">
        <f>((0.69*(2/0.1))*1) + ((0.59*(2/0.1))*2)</f>
        <v>37.4</v>
      </c>
      <c r="H285" s="511"/>
      <c r="I285" s="155">
        <v>0.154</v>
      </c>
      <c r="J285" s="99"/>
      <c r="K285" s="82">
        <f t="shared" si="13"/>
        <v>5.7595999999999998</v>
      </c>
      <c r="L285" s="82"/>
      <c r="M285" s="82"/>
      <c r="N285" s="86"/>
    </row>
    <row r="286" spans="2:14" ht="22.5" hidden="1" x14ac:dyDescent="0.25">
      <c r="B286" s="49"/>
      <c r="C286" s="57"/>
      <c r="D286" s="144" t="s">
        <v>626</v>
      </c>
      <c r="E286" s="64"/>
      <c r="F286" s="105">
        <v>1</v>
      </c>
      <c r="G286" s="506">
        <f>((0.69*(2.01/0.1))*1) + ((0.59*(2.01/0.1))*5) + ((0.79*(2.01/0.1))*1)</f>
        <v>89.042999999999992</v>
      </c>
      <c r="H286" s="511"/>
      <c r="I286" s="155">
        <v>0.154</v>
      </c>
      <c r="J286" s="99"/>
      <c r="K286" s="82">
        <f t="shared" si="13"/>
        <v>13.712621999999998</v>
      </c>
      <c r="L286" s="82"/>
      <c r="M286" s="82"/>
      <c r="N286" s="86"/>
    </row>
    <row r="287" spans="2:14" hidden="1" x14ac:dyDescent="0.25">
      <c r="B287" s="49"/>
      <c r="C287" s="57"/>
      <c r="D287" s="144" t="s">
        <v>639</v>
      </c>
      <c r="E287" s="64"/>
      <c r="F287" s="105">
        <v>1</v>
      </c>
      <c r="G287" s="506">
        <f>(((1.39+0.47+0.47))*(1.86/0.15))</f>
        <v>28.892000000000003</v>
      </c>
      <c r="H287" s="511"/>
      <c r="I287" s="155">
        <v>0.154</v>
      </c>
      <c r="J287" s="99"/>
      <c r="K287" s="82">
        <f>F287*G287*I287</f>
        <v>4.4493680000000007</v>
      </c>
      <c r="L287" s="82"/>
      <c r="M287" s="82"/>
      <c r="N287" s="86"/>
    </row>
    <row r="288" spans="2:14" hidden="1" x14ac:dyDescent="0.25">
      <c r="B288" s="49"/>
      <c r="C288" s="57"/>
      <c r="D288" s="144" t="s">
        <v>640</v>
      </c>
      <c r="E288" s="64"/>
      <c r="F288" s="105">
        <v>1</v>
      </c>
      <c r="G288" s="506">
        <f>(((1.09+0.022))*(1.87/0.15))</f>
        <v>13.862933333333336</v>
      </c>
      <c r="H288" s="511"/>
      <c r="I288" s="155">
        <v>0.154</v>
      </c>
      <c r="J288" s="99"/>
      <c r="K288" s="82">
        <f>F288*G288*I288</f>
        <v>2.1348917333333337</v>
      </c>
      <c r="L288" s="82"/>
      <c r="M288" s="82"/>
      <c r="N288" s="86"/>
    </row>
    <row r="289" spans="2:14" hidden="1" x14ac:dyDescent="0.25">
      <c r="B289" s="49"/>
      <c r="C289" s="57"/>
      <c r="D289" s="144" t="s">
        <v>641</v>
      </c>
      <c r="E289" s="64"/>
      <c r="F289" s="105">
        <v>1</v>
      </c>
      <c r="G289" s="506">
        <f>(((1.09+0.022))*(1.89/0.15))</f>
        <v>14.011200000000001</v>
      </c>
      <c r="H289" s="511"/>
      <c r="I289" s="155">
        <v>0.154</v>
      </c>
      <c r="J289" s="99"/>
      <c r="K289" s="82">
        <f t="shared" si="13"/>
        <v>2.1577248</v>
      </c>
      <c r="L289" s="82"/>
      <c r="M289" s="82"/>
      <c r="N289" s="86"/>
    </row>
    <row r="290" spans="2:14" hidden="1" x14ac:dyDescent="0.25">
      <c r="B290" s="49"/>
      <c r="C290" s="57"/>
      <c r="D290" s="144" t="s">
        <v>642</v>
      </c>
      <c r="E290" s="64"/>
      <c r="F290" s="105">
        <v>1</v>
      </c>
      <c r="G290" s="506">
        <f>(((0.59))*(1.9/0.15))</f>
        <v>7.4733333333333327</v>
      </c>
      <c r="H290" s="511"/>
      <c r="I290" s="155">
        <v>0.154</v>
      </c>
      <c r="J290" s="99"/>
      <c r="K290" s="82">
        <f t="shared" si="13"/>
        <v>1.1508933333333333</v>
      </c>
      <c r="L290" s="82"/>
      <c r="M290" s="82"/>
      <c r="N290" s="86"/>
    </row>
    <row r="291" spans="2:14" hidden="1" x14ac:dyDescent="0.25">
      <c r="B291" s="49"/>
      <c r="C291" s="57"/>
      <c r="D291" s="144" t="s">
        <v>643</v>
      </c>
      <c r="E291" s="64"/>
      <c r="F291" s="105">
        <v>1</v>
      </c>
      <c r="G291" s="506">
        <f>(((0.59))*(1.92/0.15))</f>
        <v>7.5519999999999996</v>
      </c>
      <c r="H291" s="511"/>
      <c r="I291" s="155">
        <v>0.154</v>
      </c>
      <c r="J291" s="99"/>
      <c r="K291" s="82">
        <f t="shared" si="13"/>
        <v>1.1630079999999998</v>
      </c>
      <c r="L291" s="82"/>
      <c r="M291" s="82"/>
      <c r="N291" s="86"/>
    </row>
    <row r="292" spans="2:14" hidden="1" x14ac:dyDescent="0.25">
      <c r="B292" s="49"/>
      <c r="C292" s="57"/>
      <c r="D292" s="144" t="s">
        <v>644</v>
      </c>
      <c r="E292" s="64"/>
      <c r="F292" s="105">
        <v>1</v>
      </c>
      <c r="G292" s="506">
        <f>(((0.59))*(1.9/0.15))</f>
        <v>7.4733333333333327</v>
      </c>
      <c r="H292" s="511"/>
      <c r="I292" s="155">
        <v>0.154</v>
      </c>
      <c r="J292" s="99"/>
      <c r="K292" s="82">
        <f t="shared" si="13"/>
        <v>1.1508933333333333</v>
      </c>
      <c r="L292" s="82"/>
      <c r="M292" s="82"/>
      <c r="N292" s="86"/>
    </row>
    <row r="293" spans="2:14" hidden="1" x14ac:dyDescent="0.25">
      <c r="B293" s="49"/>
      <c r="C293" s="57"/>
      <c r="D293" s="144" t="s">
        <v>645</v>
      </c>
      <c r="E293" s="64"/>
      <c r="F293" s="105">
        <v>1</v>
      </c>
      <c r="G293" s="506">
        <f>(((0.69))*(1.98/0.15))</f>
        <v>9.1080000000000005</v>
      </c>
      <c r="H293" s="511"/>
      <c r="I293" s="155">
        <v>0.154</v>
      </c>
      <c r="J293" s="99"/>
      <c r="K293" s="82">
        <f t="shared" si="13"/>
        <v>1.4026320000000001</v>
      </c>
      <c r="L293" s="82"/>
      <c r="M293" s="82"/>
      <c r="N293" s="86"/>
    </row>
    <row r="294" spans="2:14" hidden="1" x14ac:dyDescent="0.25">
      <c r="B294" s="49"/>
      <c r="C294" s="57"/>
      <c r="D294" s="152" t="s">
        <v>610</v>
      </c>
      <c r="E294" s="64"/>
      <c r="F294" s="94">
        <v>1</v>
      </c>
      <c r="G294" s="509">
        <v>210.13</v>
      </c>
      <c r="H294" s="512"/>
      <c r="I294" s="513"/>
      <c r="J294" s="157"/>
      <c r="K294" s="186"/>
      <c r="L294" s="82"/>
      <c r="M294" s="82"/>
      <c r="N294" s="86"/>
    </row>
    <row r="295" spans="2:14" hidden="1" x14ac:dyDescent="0.25">
      <c r="B295" s="49"/>
      <c r="C295" s="57"/>
      <c r="D295" s="144" t="s">
        <v>601</v>
      </c>
      <c r="E295" s="64"/>
      <c r="F295" s="94">
        <v>1</v>
      </c>
      <c r="G295" s="506">
        <f xml:space="preserve"> (2*2.51) + (40*0.59)</f>
        <v>28.619999999999997</v>
      </c>
      <c r="H295" s="511"/>
      <c r="I295" s="155">
        <v>0.154</v>
      </c>
      <c r="J295" s="99"/>
      <c r="K295" s="82">
        <f>F295*G295*I295</f>
        <v>4.4074799999999996</v>
      </c>
      <c r="L295" s="82"/>
      <c r="M295" s="82"/>
      <c r="N295" s="86"/>
    </row>
    <row r="296" spans="2:14" hidden="1" x14ac:dyDescent="0.25">
      <c r="B296" s="49"/>
      <c r="C296" s="57"/>
      <c r="D296" s="144" t="s">
        <v>602</v>
      </c>
      <c r="E296" s="64"/>
      <c r="F296" s="94">
        <v>1</v>
      </c>
      <c r="G296" s="506">
        <f xml:space="preserve"> (19*0.79)</f>
        <v>15.010000000000002</v>
      </c>
      <c r="H296" s="511"/>
      <c r="I296" s="155">
        <v>0.154</v>
      </c>
      <c r="J296" s="99"/>
      <c r="K296" s="82">
        <f t="shared" ref="K296:K301" si="14">F296*G296*I296</f>
        <v>2.3115400000000004</v>
      </c>
      <c r="L296" s="82"/>
      <c r="M296" s="82"/>
      <c r="N296" s="86"/>
    </row>
    <row r="297" spans="2:14" hidden="1" x14ac:dyDescent="0.25">
      <c r="B297" s="49"/>
      <c r="C297" s="57"/>
      <c r="D297" s="144" t="s">
        <v>603</v>
      </c>
      <c r="E297" s="64"/>
      <c r="F297" s="94">
        <v>1</v>
      </c>
      <c r="G297" s="506">
        <f xml:space="preserve"> (21*0.79)</f>
        <v>16.59</v>
      </c>
      <c r="H297" s="511"/>
      <c r="I297" s="155">
        <v>0.154</v>
      </c>
      <c r="J297" s="99"/>
      <c r="K297" s="82">
        <f t="shared" si="14"/>
        <v>2.5548600000000001</v>
      </c>
      <c r="L297" s="82"/>
      <c r="M297" s="82"/>
      <c r="N297" s="86"/>
    </row>
    <row r="298" spans="2:14" hidden="1" x14ac:dyDescent="0.25">
      <c r="B298" s="49"/>
      <c r="C298" s="57"/>
      <c r="D298" s="144" t="s">
        <v>604</v>
      </c>
      <c r="E298" s="64"/>
      <c r="F298" s="94">
        <v>1</v>
      </c>
      <c r="G298" s="506">
        <f xml:space="preserve"> (2*3.86) + (29*0.79)</f>
        <v>30.63</v>
      </c>
      <c r="H298" s="511"/>
      <c r="I298" s="155">
        <v>0.154</v>
      </c>
      <c r="J298" s="99"/>
      <c r="K298" s="82">
        <f t="shared" si="14"/>
        <v>4.7170199999999998</v>
      </c>
      <c r="L298" s="82"/>
      <c r="M298" s="82"/>
      <c r="N298" s="86"/>
    </row>
    <row r="299" spans="2:14" hidden="1" x14ac:dyDescent="0.25">
      <c r="B299" s="49"/>
      <c r="C299" s="57"/>
      <c r="D299" s="144" t="s">
        <v>605</v>
      </c>
      <c r="E299" s="64"/>
      <c r="F299" s="94">
        <v>1</v>
      </c>
      <c r="G299" s="506">
        <f xml:space="preserve"> (22*0.59)</f>
        <v>12.979999999999999</v>
      </c>
      <c r="H299" s="511"/>
      <c r="I299" s="155">
        <v>0.154</v>
      </c>
      <c r="J299" s="99"/>
      <c r="K299" s="82">
        <f t="shared" si="14"/>
        <v>1.9989199999999998</v>
      </c>
      <c r="L299" s="82"/>
      <c r="M299" s="82"/>
      <c r="N299" s="86"/>
    </row>
    <row r="300" spans="2:14" hidden="1" x14ac:dyDescent="0.25">
      <c r="B300" s="49"/>
      <c r="C300" s="57"/>
      <c r="D300" s="144" t="s">
        <v>606</v>
      </c>
      <c r="E300" s="64"/>
      <c r="F300" s="94">
        <v>1</v>
      </c>
      <c r="G300" s="506">
        <f xml:space="preserve"> (14*0.059)</f>
        <v>0.82599999999999996</v>
      </c>
      <c r="H300" s="511"/>
      <c r="I300" s="155">
        <v>0.154</v>
      </c>
      <c r="J300" s="99"/>
      <c r="K300" s="82">
        <f t="shared" si="14"/>
        <v>0.12720399999999998</v>
      </c>
      <c r="L300" s="82"/>
      <c r="M300" s="82"/>
      <c r="N300" s="86"/>
    </row>
    <row r="301" spans="2:14" hidden="1" x14ac:dyDescent="0.25">
      <c r="B301" s="49"/>
      <c r="C301" s="57"/>
      <c r="D301" s="144" t="s">
        <v>607</v>
      </c>
      <c r="E301" s="64"/>
      <c r="F301" s="94">
        <v>1</v>
      </c>
      <c r="G301" s="506">
        <f xml:space="preserve"> (59*0.59)</f>
        <v>34.809999999999995</v>
      </c>
      <c r="H301" s="511"/>
      <c r="I301" s="155">
        <v>0.154</v>
      </c>
      <c r="J301" s="99"/>
      <c r="K301" s="82">
        <f t="shared" si="14"/>
        <v>5.360739999999999</v>
      </c>
      <c r="L301" s="82"/>
      <c r="M301" s="82"/>
      <c r="N301" s="86"/>
    </row>
    <row r="302" spans="2:14" ht="33.75" hidden="1" x14ac:dyDescent="0.25">
      <c r="B302" s="49" t="s">
        <v>75</v>
      </c>
      <c r="C302" s="57">
        <v>96544</v>
      </c>
      <c r="D302" s="52" t="s">
        <v>77</v>
      </c>
      <c r="E302" s="64" t="s">
        <v>62</v>
      </c>
      <c r="F302" s="94"/>
      <c r="G302" s="104"/>
      <c r="H302" s="92"/>
      <c r="I302" s="105"/>
      <c r="J302" s="99">
        <f>'BOLETIM DE MEDIÇÃO 05'!O34-'MEMORIAL DE CALCULO 06'!K302</f>
        <v>0</v>
      </c>
      <c r="K302" s="81">
        <f>SUM(K303)</f>
        <v>295</v>
      </c>
      <c r="L302" s="82">
        <f t="shared" si="0"/>
        <v>295</v>
      </c>
      <c r="M302" s="82">
        <f>'BOLETIM DE MEDIÇÃO 05'!G34</f>
        <v>295</v>
      </c>
      <c r="N302" s="86">
        <f t="shared" si="1"/>
        <v>0</v>
      </c>
    </row>
    <row r="303" spans="2:14" hidden="1" x14ac:dyDescent="0.25">
      <c r="B303" s="49"/>
      <c r="C303" s="57"/>
      <c r="D303" s="143" t="s">
        <v>588</v>
      </c>
      <c r="E303" s="64"/>
      <c r="F303" s="94">
        <v>1</v>
      </c>
      <c r="G303" s="506">
        <v>295</v>
      </c>
      <c r="H303" s="507"/>
      <c r="I303" s="508"/>
      <c r="J303" s="99"/>
      <c r="K303" s="82">
        <f>F303*G303</f>
        <v>295</v>
      </c>
      <c r="L303" s="82"/>
      <c r="M303" s="82"/>
      <c r="N303" s="86"/>
    </row>
    <row r="304" spans="2:14" ht="33.75" hidden="1" x14ac:dyDescent="0.25">
      <c r="B304" s="49" t="s">
        <v>78</v>
      </c>
      <c r="C304" s="57">
        <v>96546</v>
      </c>
      <c r="D304" s="52" t="s">
        <v>80</v>
      </c>
      <c r="E304" s="64" t="s">
        <v>62</v>
      </c>
      <c r="F304" s="94"/>
      <c r="G304" s="104"/>
      <c r="H304" s="92"/>
      <c r="I304" s="105"/>
      <c r="J304" s="99">
        <v>0</v>
      </c>
      <c r="K304" s="81">
        <f>SUM(K307:K329)</f>
        <v>552.38776000000007</v>
      </c>
      <c r="L304" s="82">
        <f t="shared" si="0"/>
        <v>552.38776000000007</v>
      </c>
      <c r="M304" s="82">
        <f>'BOLETIM DE MEDIÇÃO 05'!G35</f>
        <v>534.1</v>
      </c>
      <c r="N304" s="86">
        <f t="shared" si="1"/>
        <v>-18.287760000000048</v>
      </c>
    </row>
    <row r="305" spans="2:14" hidden="1" x14ac:dyDescent="0.25">
      <c r="B305" s="49"/>
      <c r="C305" s="57"/>
      <c r="D305" s="52" t="s">
        <v>588</v>
      </c>
      <c r="E305" s="64"/>
      <c r="F305" s="94"/>
      <c r="G305" s="104"/>
      <c r="H305" s="92"/>
      <c r="I305" s="105"/>
      <c r="J305" s="99"/>
      <c r="K305" s="81"/>
      <c r="L305" s="82"/>
      <c r="M305" s="82"/>
      <c r="N305" s="86"/>
    </row>
    <row r="306" spans="2:14" ht="72" hidden="1" customHeight="1" x14ac:dyDescent="0.25">
      <c r="B306" s="49"/>
      <c r="C306" s="57"/>
      <c r="D306" s="152" t="s">
        <v>627</v>
      </c>
      <c r="E306" s="64"/>
      <c r="F306" s="94"/>
      <c r="G306" s="509" t="s">
        <v>628</v>
      </c>
      <c r="H306" s="510"/>
      <c r="I306" s="122" t="s">
        <v>611</v>
      </c>
      <c r="J306" s="99"/>
      <c r="K306" s="81"/>
      <c r="L306" s="82"/>
      <c r="M306" s="82"/>
      <c r="N306" s="86"/>
    </row>
    <row r="307" spans="2:14" hidden="1" x14ac:dyDescent="0.25">
      <c r="B307" s="49"/>
      <c r="C307" s="57"/>
      <c r="D307" s="144" t="s">
        <v>614</v>
      </c>
      <c r="E307" s="64"/>
      <c r="F307" s="94">
        <v>1</v>
      </c>
      <c r="G307" s="506">
        <f xml:space="preserve"> (4*(0.2+0.25+1.85+0.33)) * 2</f>
        <v>21.040000000000003</v>
      </c>
      <c r="H307" s="511"/>
      <c r="I307" s="155">
        <v>0.61699999999999999</v>
      </c>
      <c r="J307" s="99"/>
      <c r="K307" s="82">
        <f>F307*G307*I307</f>
        <v>12.981680000000001</v>
      </c>
      <c r="L307" s="82"/>
      <c r="M307" s="82"/>
      <c r="N307" s="86"/>
    </row>
    <row r="308" spans="2:14" hidden="1" x14ac:dyDescent="0.25">
      <c r="B308" s="49"/>
      <c r="C308" s="57"/>
      <c r="D308" s="144" t="s">
        <v>633</v>
      </c>
      <c r="E308" s="64"/>
      <c r="F308" s="94">
        <v>1</v>
      </c>
      <c r="G308" s="506">
        <f xml:space="preserve"> ((4*(0.2+0.25+1.87+0.33)) * 2)</f>
        <v>21.200000000000003</v>
      </c>
      <c r="H308" s="511"/>
      <c r="I308" s="155">
        <v>0.61699999999999999</v>
      </c>
      <c r="J308" s="99"/>
      <c r="K308" s="82">
        <f t="shared" ref="K308:K338" si="15">F308*G308*I308</f>
        <v>13.080400000000001</v>
      </c>
      <c r="L308" s="82"/>
      <c r="M308" s="82"/>
      <c r="N308" s="86"/>
    </row>
    <row r="309" spans="2:14" ht="19.899999999999999" hidden="1" customHeight="1" x14ac:dyDescent="0.25">
      <c r="B309" s="49"/>
      <c r="C309" s="57"/>
      <c r="D309" s="144" t="s">
        <v>629</v>
      </c>
      <c r="E309" s="64"/>
      <c r="F309" s="94">
        <v>1</v>
      </c>
      <c r="G309" s="506">
        <f xml:space="preserve"> (4*(0.2+0.25+1.9+0.33)) * 5</f>
        <v>53.6</v>
      </c>
      <c r="H309" s="511"/>
      <c r="I309" s="155">
        <v>0.61699999999999999</v>
      </c>
      <c r="J309" s="99"/>
      <c r="K309" s="82">
        <f t="shared" si="15"/>
        <v>33.071199999999997</v>
      </c>
      <c r="L309" s="82"/>
      <c r="M309" s="82"/>
      <c r="N309" s="86"/>
    </row>
    <row r="310" spans="2:14" hidden="1" x14ac:dyDescent="0.25">
      <c r="B310" s="49"/>
      <c r="C310" s="57"/>
      <c r="D310" s="144" t="s">
        <v>630</v>
      </c>
      <c r="E310" s="64"/>
      <c r="F310" s="94">
        <v>1</v>
      </c>
      <c r="G310" s="506">
        <f xml:space="preserve"> (4*(0.2+0.25+1.92+0.33)) *3</f>
        <v>32.400000000000006</v>
      </c>
      <c r="H310" s="511"/>
      <c r="I310" s="155">
        <v>0.61699999999999999</v>
      </c>
      <c r="J310" s="99"/>
      <c r="K310" s="82">
        <f t="shared" si="15"/>
        <v>19.990800000000004</v>
      </c>
      <c r="L310" s="82"/>
      <c r="M310" s="82"/>
      <c r="N310" s="86"/>
    </row>
    <row r="311" spans="2:14" hidden="1" x14ac:dyDescent="0.25">
      <c r="B311" s="49"/>
      <c r="C311" s="57"/>
      <c r="D311" s="144" t="s">
        <v>615</v>
      </c>
      <c r="E311" s="64"/>
      <c r="F311" s="94">
        <v>1</v>
      </c>
      <c r="G311" s="506">
        <f xml:space="preserve"> (4*(0.2+0.25+1.94+0.33)) * 3</f>
        <v>32.64</v>
      </c>
      <c r="H311" s="511"/>
      <c r="I311" s="155">
        <v>0.61699999999999999</v>
      </c>
      <c r="J311" s="99"/>
      <c r="K311" s="82">
        <f t="shared" si="15"/>
        <v>20.13888</v>
      </c>
      <c r="L311" s="82"/>
      <c r="M311" s="82"/>
      <c r="N311" s="86"/>
    </row>
    <row r="312" spans="2:14" ht="21" hidden="1" customHeight="1" x14ac:dyDescent="0.25">
      <c r="B312" s="49"/>
      <c r="C312" s="57"/>
      <c r="D312" s="144" t="s">
        <v>616</v>
      </c>
      <c r="E312" s="64"/>
      <c r="F312" s="94">
        <v>1</v>
      </c>
      <c r="G312" s="506">
        <f xml:space="preserve"> (4*(0.2+0.25+1.96+0.33)) * 5</f>
        <v>54.800000000000004</v>
      </c>
      <c r="H312" s="511"/>
      <c r="I312" s="155">
        <v>0.61699999999999999</v>
      </c>
      <c r="J312" s="99"/>
      <c r="K312" s="82">
        <f t="shared" si="15"/>
        <v>33.811600000000006</v>
      </c>
      <c r="L312" s="82"/>
      <c r="M312" s="82"/>
      <c r="N312" s="86"/>
    </row>
    <row r="313" spans="2:14" ht="22.9" hidden="1" customHeight="1" x14ac:dyDescent="0.25">
      <c r="B313" s="49"/>
      <c r="C313" s="57"/>
      <c r="D313" s="144" t="s">
        <v>617</v>
      </c>
      <c r="E313" s="64"/>
      <c r="F313" s="94">
        <v>1</v>
      </c>
      <c r="G313" s="506">
        <f xml:space="preserve"> (4*(0.2+0.25+1.95+0.33)) * 6</f>
        <v>65.52</v>
      </c>
      <c r="H313" s="511"/>
      <c r="I313" s="155">
        <v>0.61699999999999999</v>
      </c>
      <c r="J313" s="99"/>
      <c r="K313" s="82">
        <f t="shared" si="15"/>
        <v>40.425839999999994</v>
      </c>
      <c r="L313" s="82"/>
      <c r="M313" s="82"/>
      <c r="N313" s="86"/>
    </row>
    <row r="314" spans="2:14" hidden="1" x14ac:dyDescent="0.25">
      <c r="B314" s="49"/>
      <c r="C314" s="57"/>
      <c r="D314" s="144" t="s">
        <v>618</v>
      </c>
      <c r="E314" s="64"/>
      <c r="F314" s="94">
        <v>1</v>
      </c>
      <c r="G314" s="506">
        <f xml:space="preserve"> (4*(0.2+0.25+1.97+0.33)) * 3</f>
        <v>33</v>
      </c>
      <c r="H314" s="511"/>
      <c r="I314" s="155">
        <v>0.61699999999999999</v>
      </c>
      <c r="J314" s="99"/>
      <c r="K314" s="82">
        <f t="shared" si="15"/>
        <v>20.361000000000001</v>
      </c>
      <c r="L314" s="82"/>
      <c r="M314" s="82"/>
      <c r="N314" s="86"/>
    </row>
    <row r="315" spans="2:14" hidden="1" x14ac:dyDescent="0.25">
      <c r="B315" s="49"/>
      <c r="C315" s="57"/>
      <c r="D315" s="144" t="s">
        <v>631</v>
      </c>
      <c r="E315" s="64"/>
      <c r="F315" s="94">
        <v>1</v>
      </c>
      <c r="G315" s="506">
        <f xml:space="preserve"> (4*(0.2+0.25+1.9+0.33)) * 3</f>
        <v>32.160000000000004</v>
      </c>
      <c r="H315" s="511"/>
      <c r="I315" s="155">
        <v>0.61699999999999999</v>
      </c>
      <c r="J315" s="99"/>
      <c r="K315" s="82">
        <f t="shared" si="15"/>
        <v>19.842720000000003</v>
      </c>
      <c r="L315" s="82"/>
      <c r="M315" s="82"/>
      <c r="N315" s="86"/>
    </row>
    <row r="316" spans="2:14" hidden="1" x14ac:dyDescent="0.25">
      <c r="B316" s="49"/>
      <c r="C316" s="57"/>
      <c r="D316" s="144" t="s">
        <v>632</v>
      </c>
      <c r="E316" s="64"/>
      <c r="F316" s="94">
        <v>1</v>
      </c>
      <c r="G316" s="506">
        <f xml:space="preserve"> ((4*(0.2+0.25+1.86+0.33)) * 3)</f>
        <v>31.68</v>
      </c>
      <c r="H316" s="511"/>
      <c r="I316" s="155">
        <v>0.61699999999999999</v>
      </c>
      <c r="J316" s="99"/>
      <c r="K316" s="82">
        <f t="shared" si="15"/>
        <v>19.546559999999999</v>
      </c>
      <c r="L316" s="82"/>
      <c r="M316" s="82"/>
      <c r="N316" s="86"/>
    </row>
    <row r="317" spans="2:14" hidden="1" x14ac:dyDescent="0.25">
      <c r="B317" s="49"/>
      <c r="C317" s="57"/>
      <c r="D317" s="144" t="s">
        <v>634</v>
      </c>
      <c r="E317" s="64"/>
      <c r="F317" s="94">
        <v>1</v>
      </c>
      <c r="G317" s="506">
        <f xml:space="preserve"> ((4*(0.2+0.25+1.87+0.33)) * 3)</f>
        <v>31.800000000000004</v>
      </c>
      <c r="H317" s="511"/>
      <c r="I317" s="155">
        <v>0.61699999999999999</v>
      </c>
      <c r="J317" s="99"/>
      <c r="K317" s="82">
        <f t="shared" si="15"/>
        <v>19.620600000000003</v>
      </c>
      <c r="L317" s="82"/>
      <c r="M317" s="82"/>
      <c r="N317" s="86"/>
    </row>
    <row r="318" spans="2:14" hidden="1" x14ac:dyDescent="0.25">
      <c r="B318" s="49"/>
      <c r="C318" s="57"/>
      <c r="D318" s="144" t="s">
        <v>619</v>
      </c>
      <c r="E318" s="64"/>
      <c r="F318" s="94">
        <v>1</v>
      </c>
      <c r="G318" s="506">
        <f xml:space="preserve"> ((4*(0.2+0.25+1.9+0.33)) * 4)</f>
        <v>42.88</v>
      </c>
      <c r="H318" s="511"/>
      <c r="I318" s="155">
        <v>0.61699999999999999</v>
      </c>
      <c r="J318" s="99"/>
      <c r="K318" s="82">
        <f t="shared" si="15"/>
        <v>26.456960000000002</v>
      </c>
      <c r="L318" s="82"/>
      <c r="M318" s="82"/>
      <c r="N318" s="86"/>
    </row>
    <row r="319" spans="2:14" hidden="1" x14ac:dyDescent="0.25">
      <c r="B319" s="49"/>
      <c r="C319" s="57"/>
      <c r="D319" s="144" t="s">
        <v>620</v>
      </c>
      <c r="E319" s="64"/>
      <c r="F319" s="94">
        <v>1</v>
      </c>
      <c r="G319" s="506">
        <f xml:space="preserve"> ((4*(0.2+0.25+1.91+0.33)) * 2)</f>
        <v>21.52</v>
      </c>
      <c r="H319" s="511"/>
      <c r="I319" s="155">
        <v>0.61699999999999999</v>
      </c>
      <c r="J319" s="99"/>
      <c r="K319" s="82">
        <f t="shared" si="15"/>
        <v>13.277839999999999</v>
      </c>
      <c r="L319" s="82"/>
      <c r="M319" s="82"/>
      <c r="N319" s="86"/>
    </row>
    <row r="320" spans="2:14" ht="21" hidden="1" customHeight="1" x14ac:dyDescent="0.25">
      <c r="B320" s="49"/>
      <c r="C320" s="57"/>
      <c r="D320" s="144" t="s">
        <v>621</v>
      </c>
      <c r="E320" s="64"/>
      <c r="F320" s="94">
        <v>1</v>
      </c>
      <c r="G320" s="506">
        <f xml:space="preserve"> ((4*(0.2+0.25+1.94+0.33)) * 6)</f>
        <v>65.28</v>
      </c>
      <c r="H320" s="511"/>
      <c r="I320" s="155">
        <v>0.61699999999999999</v>
      </c>
      <c r="J320" s="99"/>
      <c r="K320" s="82">
        <f t="shared" si="15"/>
        <v>40.277760000000001</v>
      </c>
      <c r="L320" s="82"/>
      <c r="M320" s="82"/>
      <c r="N320" s="86"/>
    </row>
    <row r="321" spans="2:14" hidden="1" x14ac:dyDescent="0.25">
      <c r="B321" s="49"/>
      <c r="C321" s="57"/>
      <c r="D321" s="144" t="s">
        <v>622</v>
      </c>
      <c r="E321" s="64"/>
      <c r="F321" s="94">
        <v>1</v>
      </c>
      <c r="G321" s="506">
        <f xml:space="preserve"> ((4*(0.2+0.25+1.92+0.33)) *3)</f>
        <v>32.400000000000006</v>
      </c>
      <c r="H321" s="511"/>
      <c r="I321" s="155">
        <v>0.61699999999999999</v>
      </c>
      <c r="J321" s="99"/>
      <c r="K321" s="82">
        <f t="shared" si="15"/>
        <v>19.990800000000004</v>
      </c>
      <c r="L321" s="82"/>
      <c r="M321" s="82"/>
      <c r="N321" s="86"/>
    </row>
    <row r="322" spans="2:14" hidden="1" x14ac:dyDescent="0.25">
      <c r="B322" s="49"/>
      <c r="C322" s="57"/>
      <c r="D322" s="144" t="s">
        <v>635</v>
      </c>
      <c r="E322" s="64"/>
      <c r="F322" s="94">
        <v>1</v>
      </c>
      <c r="G322" s="506">
        <f xml:space="preserve"> ((4*(0.2+0.25+1.93+0.33)) *3)</f>
        <v>32.519999999999996</v>
      </c>
      <c r="H322" s="511"/>
      <c r="I322" s="155">
        <v>0.61699999999999999</v>
      </c>
      <c r="J322" s="99"/>
      <c r="K322" s="82">
        <f t="shared" si="15"/>
        <v>20.064839999999997</v>
      </c>
      <c r="L322" s="82"/>
      <c r="M322" s="82"/>
      <c r="N322" s="86"/>
    </row>
    <row r="323" spans="2:14" hidden="1" x14ac:dyDescent="0.25">
      <c r="B323" s="49"/>
      <c r="C323" s="57"/>
      <c r="D323" s="144" t="s">
        <v>623</v>
      </c>
      <c r="E323" s="64"/>
      <c r="F323" s="94">
        <v>1</v>
      </c>
      <c r="G323" s="506">
        <f xml:space="preserve"> ((4*(0.2+0.25+1.87+0.33)) *4)</f>
        <v>42.400000000000006</v>
      </c>
      <c r="H323" s="511"/>
      <c r="I323" s="155">
        <v>0.61699999999999999</v>
      </c>
      <c r="J323" s="99"/>
      <c r="K323" s="82">
        <f t="shared" si="15"/>
        <v>26.160800000000002</v>
      </c>
      <c r="L323" s="82"/>
      <c r="M323" s="82"/>
      <c r="N323" s="86"/>
    </row>
    <row r="324" spans="2:14" hidden="1" x14ac:dyDescent="0.25">
      <c r="B324" s="49"/>
      <c r="C324" s="57"/>
      <c r="D324" s="144" t="s">
        <v>624</v>
      </c>
      <c r="E324" s="64"/>
      <c r="F324" s="94">
        <v>1</v>
      </c>
      <c r="G324" s="506">
        <f xml:space="preserve"> ((4*(0.2+0.25+1.88+0.33)) *4)</f>
        <v>42.56</v>
      </c>
      <c r="H324" s="511"/>
      <c r="I324" s="155">
        <v>0.61699999999999999</v>
      </c>
      <c r="J324" s="99"/>
      <c r="K324" s="82">
        <f t="shared" si="15"/>
        <v>26.259520000000002</v>
      </c>
      <c r="L324" s="82"/>
      <c r="M324" s="82"/>
      <c r="N324" s="86"/>
    </row>
    <row r="325" spans="2:14" hidden="1" x14ac:dyDescent="0.25">
      <c r="B325" s="49"/>
      <c r="C325" s="57"/>
      <c r="D325" s="144" t="s">
        <v>625</v>
      </c>
      <c r="E325" s="64"/>
      <c r="F325" s="94">
        <v>1</v>
      </c>
      <c r="G325" s="506">
        <f xml:space="preserve"> ((4*(0.2+0.25+1.9+0.33)) *4)</f>
        <v>42.88</v>
      </c>
      <c r="H325" s="511"/>
      <c r="I325" s="155">
        <v>0.61699999999999999</v>
      </c>
      <c r="J325" s="99"/>
      <c r="K325" s="82">
        <f t="shared" si="15"/>
        <v>26.456960000000002</v>
      </c>
      <c r="L325" s="82"/>
      <c r="M325" s="82"/>
      <c r="N325" s="86"/>
    </row>
    <row r="326" spans="2:14" hidden="1" x14ac:dyDescent="0.25">
      <c r="B326" s="49"/>
      <c r="C326" s="57"/>
      <c r="D326" s="144" t="s">
        <v>637</v>
      </c>
      <c r="E326" s="64"/>
      <c r="F326" s="94">
        <v>1</v>
      </c>
      <c r="G326" s="506">
        <f>((4*(0.2+0.25+1.9+0.33))) + ((8*(0.2+0.25+1.9)))</f>
        <v>29.520000000000003</v>
      </c>
      <c r="H326" s="511"/>
      <c r="I326" s="155">
        <v>0.61699999999999999</v>
      </c>
      <c r="J326" s="99"/>
      <c r="K326" s="82">
        <f t="shared" si="15"/>
        <v>18.213840000000001</v>
      </c>
      <c r="L326" s="82"/>
      <c r="M326" s="82"/>
      <c r="N326" s="86"/>
    </row>
    <row r="327" spans="2:14" hidden="1" x14ac:dyDescent="0.25">
      <c r="B327" s="49"/>
      <c r="C327" s="57"/>
      <c r="D327" s="144" t="s">
        <v>636</v>
      </c>
      <c r="E327" s="64"/>
      <c r="F327" s="94">
        <v>1</v>
      </c>
      <c r="G327" s="506">
        <f xml:space="preserve"> ((4*(0.2+0.25+1.97+0.33)) *2)</f>
        <v>22</v>
      </c>
      <c r="H327" s="511"/>
      <c r="I327" s="155">
        <v>0.61699999999999999</v>
      </c>
      <c r="J327" s="99"/>
      <c r="K327" s="82">
        <f t="shared" si="15"/>
        <v>13.574</v>
      </c>
      <c r="L327" s="82"/>
      <c r="M327" s="82"/>
      <c r="N327" s="86"/>
    </row>
    <row r="328" spans="2:14" hidden="1" x14ac:dyDescent="0.25">
      <c r="B328" s="49"/>
      <c r="C328" s="57"/>
      <c r="D328" s="144" t="s">
        <v>638</v>
      </c>
      <c r="E328" s="64"/>
      <c r="F328" s="94">
        <v>1</v>
      </c>
      <c r="G328" s="506">
        <f xml:space="preserve"> ((4*(0.2+0.25+2+0.33)) *3)</f>
        <v>33.36</v>
      </c>
      <c r="H328" s="511"/>
      <c r="I328" s="155">
        <v>0.61699999999999999</v>
      </c>
      <c r="J328" s="99"/>
      <c r="K328" s="82">
        <f t="shared" si="15"/>
        <v>20.583120000000001</v>
      </c>
      <c r="L328" s="82"/>
      <c r="M328" s="82"/>
      <c r="N328" s="86"/>
    </row>
    <row r="329" spans="2:14" ht="22.5" hidden="1" x14ac:dyDescent="0.25">
      <c r="B329" s="49"/>
      <c r="C329" s="57"/>
      <c r="D329" s="144" t="s">
        <v>626</v>
      </c>
      <c r="E329" s="64"/>
      <c r="F329" s="94">
        <v>1</v>
      </c>
      <c r="G329" s="506">
        <f xml:space="preserve"> ((4*(0.2+0.25+2.01+0.33)) *7)</f>
        <v>78.12</v>
      </c>
      <c r="H329" s="511"/>
      <c r="I329" s="155">
        <v>0.61699999999999999</v>
      </c>
      <c r="J329" s="99"/>
      <c r="K329" s="82">
        <f t="shared" si="15"/>
        <v>48.200040000000001</v>
      </c>
      <c r="L329" s="82"/>
      <c r="M329" s="82"/>
      <c r="N329" s="86"/>
    </row>
    <row r="330" spans="2:14" ht="30.6" hidden="1" customHeight="1" x14ac:dyDescent="0.25">
      <c r="B330" s="49" t="s">
        <v>81</v>
      </c>
      <c r="C330" s="57">
        <v>96547</v>
      </c>
      <c r="D330" s="52" t="s">
        <v>83</v>
      </c>
      <c r="E330" s="64" t="s">
        <v>62</v>
      </c>
      <c r="F330" s="94"/>
      <c r="G330" s="506" t="s">
        <v>831</v>
      </c>
      <c r="H330" s="507"/>
      <c r="I330" s="508"/>
      <c r="J330" s="99">
        <f>'BOLETIM DE MEDIÇÃO 05'!I36</f>
        <v>100.55646000000002</v>
      </c>
      <c r="K330" s="81">
        <f>G339*F339</f>
        <v>52.34</v>
      </c>
      <c r="L330" s="82">
        <f t="shared" si="0"/>
        <v>152.89646000000002</v>
      </c>
      <c r="M330" s="82">
        <f>'BOLETIM DE MEDIÇÃO 05'!G36</f>
        <v>152.9</v>
      </c>
      <c r="N330" s="86">
        <f t="shared" si="1"/>
        <v>3.5399999999867759E-3</v>
      </c>
    </row>
    <row r="331" spans="2:14" ht="72" hidden="1" customHeight="1" x14ac:dyDescent="0.25">
      <c r="B331" s="49"/>
      <c r="C331" s="57"/>
      <c r="D331" s="152" t="s">
        <v>627</v>
      </c>
      <c r="E331" s="64"/>
      <c r="F331" s="94"/>
      <c r="G331" s="509" t="s">
        <v>628</v>
      </c>
      <c r="H331" s="510"/>
      <c r="I331" s="122" t="s">
        <v>611</v>
      </c>
      <c r="J331" s="99"/>
      <c r="K331" s="82"/>
      <c r="L331" s="82"/>
      <c r="M331" s="82"/>
      <c r="N331" s="86"/>
    </row>
    <row r="332" spans="2:14" hidden="1" x14ac:dyDescent="0.25">
      <c r="B332" s="49"/>
      <c r="C332" s="57"/>
      <c r="D332" s="144" t="s">
        <v>639</v>
      </c>
      <c r="E332" s="64"/>
      <c r="F332" s="94">
        <v>0</v>
      </c>
      <c r="G332" s="506">
        <f>((8*(0.2+0.25+1.86+0.42)))</f>
        <v>21.84</v>
      </c>
      <c r="H332" s="511"/>
      <c r="I332" s="155">
        <v>0.96299999999999997</v>
      </c>
      <c r="J332" s="99"/>
      <c r="K332" s="82">
        <f t="shared" si="15"/>
        <v>0</v>
      </c>
      <c r="L332" s="82"/>
      <c r="M332" s="82"/>
      <c r="N332" s="86"/>
    </row>
    <row r="333" spans="2:14" hidden="1" x14ac:dyDescent="0.25">
      <c r="B333" s="49"/>
      <c r="C333" s="57"/>
      <c r="D333" s="144" t="s">
        <v>640</v>
      </c>
      <c r="E333" s="64"/>
      <c r="F333" s="94">
        <v>0</v>
      </c>
      <c r="G333" s="506">
        <f>((6*(0.2+0.25+1.87+0.42)))</f>
        <v>16.440000000000001</v>
      </c>
      <c r="H333" s="511"/>
      <c r="I333" s="155">
        <v>0.96299999999999997</v>
      </c>
      <c r="J333" s="99"/>
      <c r="K333" s="82">
        <f t="shared" si="15"/>
        <v>0</v>
      </c>
      <c r="L333" s="82"/>
      <c r="M333" s="82"/>
      <c r="N333" s="86"/>
    </row>
    <row r="334" spans="2:14" hidden="1" x14ac:dyDescent="0.25">
      <c r="B334" s="49"/>
      <c r="C334" s="57"/>
      <c r="D334" s="144" t="s">
        <v>641</v>
      </c>
      <c r="E334" s="64"/>
      <c r="F334" s="94">
        <v>0</v>
      </c>
      <c r="G334" s="506">
        <f>((6*(0.2+0.25+1.89+0.42)))</f>
        <v>16.559999999999999</v>
      </c>
      <c r="H334" s="511"/>
      <c r="I334" s="155">
        <v>0.96299999999999997</v>
      </c>
      <c r="J334" s="99"/>
      <c r="K334" s="82">
        <f t="shared" si="15"/>
        <v>0</v>
      </c>
      <c r="L334" s="82"/>
      <c r="M334" s="82"/>
      <c r="N334" s="86"/>
    </row>
    <row r="335" spans="2:14" hidden="1" x14ac:dyDescent="0.25">
      <c r="B335" s="49"/>
      <c r="C335" s="57"/>
      <c r="D335" s="144" t="s">
        <v>642</v>
      </c>
      <c r="E335" s="64"/>
      <c r="F335" s="94">
        <v>0</v>
      </c>
      <c r="G335" s="506">
        <f>((4*(0.2+0.25+1.9+0.42)))</f>
        <v>11.08</v>
      </c>
      <c r="H335" s="511"/>
      <c r="I335" s="155">
        <v>0.96299999999999997</v>
      </c>
      <c r="J335" s="99"/>
      <c r="K335" s="82">
        <f t="shared" si="15"/>
        <v>0</v>
      </c>
      <c r="L335" s="82"/>
      <c r="M335" s="82"/>
      <c r="N335" s="86"/>
    </row>
    <row r="336" spans="2:14" hidden="1" x14ac:dyDescent="0.25">
      <c r="B336" s="49"/>
      <c r="C336" s="57"/>
      <c r="D336" s="144" t="s">
        <v>643</v>
      </c>
      <c r="E336" s="64"/>
      <c r="F336" s="94">
        <v>0</v>
      </c>
      <c r="G336" s="506">
        <f>((4*(0.2+0.25+1.92+0.42)))</f>
        <v>11.16</v>
      </c>
      <c r="H336" s="511"/>
      <c r="I336" s="155">
        <v>0.96299999999999997</v>
      </c>
      <c r="J336" s="99"/>
      <c r="K336" s="82">
        <f t="shared" si="15"/>
        <v>0</v>
      </c>
      <c r="L336" s="82"/>
      <c r="M336" s="82"/>
      <c r="N336" s="86"/>
    </row>
    <row r="337" spans="2:14" hidden="1" x14ac:dyDescent="0.25">
      <c r="B337" s="49"/>
      <c r="C337" s="57"/>
      <c r="D337" s="144" t="s">
        <v>644</v>
      </c>
      <c r="E337" s="64"/>
      <c r="F337" s="94">
        <v>0</v>
      </c>
      <c r="G337" s="506">
        <f>((4*(0.2+0.25+1.9+0.42)))</f>
        <v>11.08</v>
      </c>
      <c r="H337" s="511"/>
      <c r="I337" s="155">
        <v>0.96299999999999997</v>
      </c>
      <c r="J337" s="99"/>
      <c r="K337" s="82">
        <f t="shared" si="15"/>
        <v>0</v>
      </c>
      <c r="L337" s="82"/>
      <c r="M337" s="82"/>
      <c r="N337" s="86"/>
    </row>
    <row r="338" spans="2:14" hidden="1" x14ac:dyDescent="0.25">
      <c r="B338" s="49"/>
      <c r="C338" s="57"/>
      <c r="D338" s="144" t="s">
        <v>645</v>
      </c>
      <c r="E338" s="64"/>
      <c r="F338" s="94">
        <v>0</v>
      </c>
      <c r="G338" s="506">
        <f>((4*(0.2+0.25+1.98+0.42)))+(2*(0.2+0.25+1.98))</f>
        <v>16.260000000000002</v>
      </c>
      <c r="H338" s="511"/>
      <c r="I338" s="155">
        <v>0.96299999999999997</v>
      </c>
      <c r="J338" s="99"/>
      <c r="K338" s="82">
        <f t="shared" si="15"/>
        <v>0</v>
      </c>
      <c r="L338" s="82"/>
      <c r="M338" s="82"/>
      <c r="N338" s="86"/>
    </row>
    <row r="339" spans="2:14" ht="30.6" hidden="1" customHeight="1" x14ac:dyDescent="0.25">
      <c r="B339" s="49"/>
      <c r="C339" s="57"/>
      <c r="D339" s="152" t="s">
        <v>610</v>
      </c>
      <c r="E339" s="64"/>
      <c r="F339" s="94">
        <v>1</v>
      </c>
      <c r="G339" s="509">
        <v>52.34</v>
      </c>
      <c r="H339" s="512"/>
      <c r="I339" s="513"/>
      <c r="J339" s="99"/>
      <c r="K339" s="81"/>
      <c r="L339" s="82"/>
      <c r="M339" s="82"/>
      <c r="N339" s="86"/>
    </row>
    <row r="340" spans="2:14" s="167" customFormat="1" ht="33.75" hidden="1" x14ac:dyDescent="0.25">
      <c r="B340" s="49" t="s">
        <v>84</v>
      </c>
      <c r="C340" s="57">
        <v>96536</v>
      </c>
      <c r="D340" s="52" t="s">
        <v>86</v>
      </c>
      <c r="E340" s="64" t="s">
        <v>17</v>
      </c>
      <c r="F340" s="94"/>
      <c r="G340" s="506"/>
      <c r="H340" s="507"/>
      <c r="I340" s="508"/>
      <c r="J340" s="99">
        <f>'BOLETIM DE MEDIÇÃO 05'!I37</f>
        <v>206.33700000000002</v>
      </c>
      <c r="K340" s="81">
        <f>G341*F341</f>
        <v>223.49</v>
      </c>
      <c r="L340" s="82">
        <f t="shared" si="0"/>
        <v>429.827</v>
      </c>
      <c r="M340" s="82">
        <f>'BOLETIM DE MEDIÇÃO 05'!G37</f>
        <v>429.83</v>
      </c>
      <c r="N340" s="86">
        <f t="shared" si="1"/>
        <v>2.9999999999859028E-3</v>
      </c>
    </row>
    <row r="341" spans="2:14" s="167" customFormat="1" hidden="1" x14ac:dyDescent="0.25">
      <c r="B341" s="49"/>
      <c r="C341" s="57"/>
      <c r="D341" s="152" t="s">
        <v>610</v>
      </c>
      <c r="E341" s="64"/>
      <c r="F341" s="94">
        <v>1</v>
      </c>
      <c r="G341" s="506">
        <v>223.49</v>
      </c>
      <c r="H341" s="507"/>
      <c r="I341" s="508"/>
      <c r="J341" s="99"/>
      <c r="K341" s="81"/>
      <c r="L341" s="82"/>
      <c r="M341" s="82"/>
      <c r="N341" s="86"/>
    </row>
    <row r="342" spans="2:14" ht="20.45" hidden="1" customHeight="1" x14ac:dyDescent="0.25">
      <c r="B342" s="49"/>
      <c r="C342" s="57"/>
      <c r="D342" s="152" t="s">
        <v>648</v>
      </c>
      <c r="E342" s="64"/>
      <c r="F342" s="94"/>
      <c r="G342" s="157" t="s">
        <v>649</v>
      </c>
      <c r="H342" s="158" t="s">
        <v>650</v>
      </c>
      <c r="I342" s="122" t="s">
        <v>651</v>
      </c>
      <c r="J342" s="99"/>
      <c r="K342" s="81"/>
      <c r="L342" s="82"/>
      <c r="M342" s="82"/>
      <c r="N342" s="86"/>
    </row>
    <row r="343" spans="2:14" ht="33.75" hidden="1" x14ac:dyDescent="0.25">
      <c r="B343" s="49"/>
      <c r="C343" s="57"/>
      <c r="D343" s="144" t="s">
        <v>569</v>
      </c>
      <c r="E343" s="64"/>
      <c r="F343" s="94">
        <v>32</v>
      </c>
      <c r="G343" s="104">
        <v>0.6</v>
      </c>
      <c r="H343" s="92">
        <v>0.7</v>
      </c>
      <c r="I343" s="105">
        <v>0.25</v>
      </c>
      <c r="J343" s="99"/>
      <c r="K343" s="82">
        <f xml:space="preserve"> (((G343+H343)*2)*I343)*F343</f>
        <v>20.799999999999997</v>
      </c>
      <c r="L343" s="82"/>
      <c r="M343" s="82"/>
      <c r="N343" s="86"/>
    </row>
    <row r="344" spans="2:14" ht="45" hidden="1" x14ac:dyDescent="0.25">
      <c r="B344" s="49"/>
      <c r="C344" s="57"/>
      <c r="D344" s="144" t="s">
        <v>570</v>
      </c>
      <c r="E344" s="64"/>
      <c r="F344" s="94">
        <v>41</v>
      </c>
      <c r="G344" s="104">
        <v>0.6</v>
      </c>
      <c r="H344" s="92">
        <v>0.7</v>
      </c>
      <c r="I344" s="105">
        <v>0.25</v>
      </c>
      <c r="J344" s="99"/>
      <c r="K344" s="82">
        <f t="shared" ref="K344:K349" si="16" xml:space="preserve"> (((G344+H344)*2)*I344)*F344</f>
        <v>26.649999999999995</v>
      </c>
      <c r="L344" s="82"/>
      <c r="M344" s="82"/>
      <c r="N344" s="86"/>
    </row>
    <row r="345" spans="2:14" hidden="1" x14ac:dyDescent="0.25">
      <c r="B345" s="49"/>
      <c r="C345" s="57"/>
      <c r="D345" s="144" t="s">
        <v>571</v>
      </c>
      <c r="E345" s="64"/>
      <c r="F345" s="94">
        <v>1</v>
      </c>
      <c r="G345" s="104">
        <v>0.6</v>
      </c>
      <c r="H345" s="92">
        <v>0.8</v>
      </c>
      <c r="I345" s="105">
        <v>0.25</v>
      </c>
      <c r="J345" s="99"/>
      <c r="K345" s="82">
        <f t="shared" si="16"/>
        <v>0.7</v>
      </c>
      <c r="L345" s="82"/>
      <c r="M345" s="82"/>
      <c r="N345" s="86"/>
    </row>
    <row r="346" spans="2:14" hidden="1" x14ac:dyDescent="0.25">
      <c r="B346" s="49"/>
      <c r="C346" s="57"/>
      <c r="D346" s="144" t="s">
        <v>572</v>
      </c>
      <c r="E346" s="64"/>
      <c r="F346" s="94">
        <v>2</v>
      </c>
      <c r="G346" s="104">
        <v>0.9</v>
      </c>
      <c r="H346" s="92">
        <v>0.9</v>
      </c>
      <c r="I346" s="105">
        <v>0.25</v>
      </c>
      <c r="J346" s="99"/>
      <c r="K346" s="82">
        <f t="shared" si="16"/>
        <v>1.8</v>
      </c>
      <c r="L346" s="82"/>
      <c r="M346" s="82"/>
      <c r="N346" s="86"/>
    </row>
    <row r="347" spans="2:14" hidden="1" x14ac:dyDescent="0.25">
      <c r="B347" s="49"/>
      <c r="C347" s="57"/>
      <c r="D347" s="144" t="s">
        <v>573</v>
      </c>
      <c r="E347" s="64"/>
      <c r="F347" s="94">
        <v>7</v>
      </c>
      <c r="G347" s="104">
        <v>0.65</v>
      </c>
      <c r="H347" s="92">
        <v>0.65</v>
      </c>
      <c r="I347" s="105">
        <v>0.25</v>
      </c>
      <c r="J347" s="99"/>
      <c r="K347" s="82">
        <f t="shared" si="16"/>
        <v>4.55</v>
      </c>
      <c r="L347" s="82"/>
      <c r="M347" s="82"/>
      <c r="N347" s="86"/>
    </row>
    <row r="348" spans="2:14" hidden="1" x14ac:dyDescent="0.25">
      <c r="B348" s="49"/>
      <c r="C348" s="57"/>
      <c r="D348" s="144" t="s">
        <v>574</v>
      </c>
      <c r="E348" s="64"/>
      <c r="F348" s="94">
        <v>3</v>
      </c>
      <c r="G348" s="104">
        <v>0.65</v>
      </c>
      <c r="H348" s="92">
        <v>0.75</v>
      </c>
      <c r="I348" s="105">
        <v>0.25</v>
      </c>
      <c r="J348" s="99"/>
      <c r="K348" s="82">
        <f t="shared" si="16"/>
        <v>2.0999999999999996</v>
      </c>
      <c r="L348" s="82"/>
      <c r="M348" s="82"/>
      <c r="N348" s="86"/>
    </row>
    <row r="349" spans="2:14" hidden="1" x14ac:dyDescent="0.25">
      <c r="B349" s="49"/>
      <c r="C349" s="57"/>
      <c r="D349" s="144" t="s">
        <v>575</v>
      </c>
      <c r="E349" s="64"/>
      <c r="F349" s="94">
        <v>2</v>
      </c>
      <c r="G349" s="104">
        <v>0.55000000000000004</v>
      </c>
      <c r="H349" s="92">
        <v>0.95</v>
      </c>
      <c r="I349" s="105">
        <v>0.25</v>
      </c>
      <c r="J349" s="99"/>
      <c r="K349" s="82">
        <f t="shared" si="16"/>
        <v>1.5</v>
      </c>
      <c r="L349" s="82"/>
      <c r="M349" s="82"/>
      <c r="N349" s="86"/>
    </row>
    <row r="350" spans="2:14" ht="27" hidden="1" customHeight="1" x14ac:dyDescent="0.25">
      <c r="B350" s="49"/>
      <c r="C350" s="57"/>
      <c r="D350" s="152" t="s">
        <v>627</v>
      </c>
      <c r="E350" s="64"/>
      <c r="F350" s="94"/>
      <c r="G350" s="509" t="s">
        <v>706</v>
      </c>
      <c r="H350" s="510"/>
      <c r="I350" s="105" t="s">
        <v>651</v>
      </c>
      <c r="J350" s="99"/>
      <c r="K350" s="81"/>
      <c r="L350" s="82"/>
      <c r="M350" s="82"/>
      <c r="N350" s="86"/>
    </row>
    <row r="351" spans="2:14" hidden="1" x14ac:dyDescent="0.25">
      <c r="B351" s="49"/>
      <c r="C351" s="57"/>
      <c r="D351" s="144" t="s">
        <v>614</v>
      </c>
      <c r="E351" s="64"/>
      <c r="F351" s="94">
        <v>1</v>
      </c>
      <c r="G351" s="506">
        <f xml:space="preserve"> ((0.15+0.25)*2) *2</f>
        <v>1.6</v>
      </c>
      <c r="H351" s="511"/>
      <c r="I351" s="105">
        <v>1.85</v>
      </c>
      <c r="J351" s="99"/>
      <c r="K351" s="82">
        <f>(F351*G351*I351)</f>
        <v>2.9600000000000004</v>
      </c>
      <c r="L351" s="82"/>
      <c r="M351" s="82"/>
      <c r="N351" s="86"/>
    </row>
    <row r="352" spans="2:14" hidden="1" x14ac:dyDescent="0.25">
      <c r="B352" s="49"/>
      <c r="C352" s="57"/>
      <c r="D352" s="144" t="s">
        <v>633</v>
      </c>
      <c r="E352" s="64"/>
      <c r="F352" s="94">
        <v>1</v>
      </c>
      <c r="G352" s="506">
        <f xml:space="preserve"> ((0.2+0.25)*2) + ((0.2+0.3)*2)</f>
        <v>1.9</v>
      </c>
      <c r="H352" s="511"/>
      <c r="I352" s="105">
        <v>1.87</v>
      </c>
      <c r="J352" s="99"/>
      <c r="K352" s="82">
        <f t="shared" ref="K352:K380" si="17">(F352*G352*I352)</f>
        <v>3.5529999999999999</v>
      </c>
      <c r="L352" s="82"/>
      <c r="M352" s="82"/>
      <c r="N352" s="86"/>
    </row>
    <row r="353" spans="2:14" ht="21.6" hidden="1" customHeight="1" x14ac:dyDescent="0.25">
      <c r="B353" s="49"/>
      <c r="C353" s="57"/>
      <c r="D353" s="144" t="s">
        <v>629</v>
      </c>
      <c r="E353" s="64"/>
      <c r="F353" s="94">
        <v>1</v>
      </c>
      <c r="G353" s="506">
        <f xml:space="preserve"> ((0.2+0.25)*2*3) + ((0.2+0.2)*2*1) + ((0.15+0.2)*2*1)</f>
        <v>4.2</v>
      </c>
      <c r="H353" s="511"/>
      <c r="I353" s="105">
        <v>1.9</v>
      </c>
      <c r="J353" s="99"/>
      <c r="K353" s="82">
        <f t="shared" si="17"/>
        <v>7.9799999999999995</v>
      </c>
      <c r="L353" s="82"/>
      <c r="M353" s="82"/>
      <c r="N353" s="86"/>
    </row>
    <row r="354" spans="2:14" hidden="1" x14ac:dyDescent="0.25">
      <c r="B354" s="49"/>
      <c r="C354" s="57"/>
      <c r="D354" s="144" t="s">
        <v>630</v>
      </c>
      <c r="E354" s="64"/>
      <c r="F354" s="94">
        <v>1</v>
      </c>
      <c r="G354" s="506">
        <f xml:space="preserve"> ((0.2+0.25)*2*1) + ((0.15+0.25)*2*2)</f>
        <v>2.5</v>
      </c>
      <c r="H354" s="511"/>
      <c r="I354" s="105">
        <v>1.92</v>
      </c>
      <c r="J354" s="99"/>
      <c r="K354" s="82">
        <f t="shared" si="17"/>
        <v>4.8</v>
      </c>
      <c r="L354" s="82"/>
      <c r="M354" s="82"/>
      <c r="N354" s="86"/>
    </row>
    <row r="355" spans="2:14" hidden="1" x14ac:dyDescent="0.25">
      <c r="B355" s="49"/>
      <c r="C355" s="57"/>
      <c r="D355" s="144" t="s">
        <v>615</v>
      </c>
      <c r="E355" s="64"/>
      <c r="F355" s="94">
        <v>1</v>
      </c>
      <c r="G355" s="506">
        <f xml:space="preserve"> ((0.15+0.3)*2*3)</f>
        <v>2.6999999999999997</v>
      </c>
      <c r="H355" s="511"/>
      <c r="I355" s="86">
        <v>1.94</v>
      </c>
      <c r="J355" s="99"/>
      <c r="K355" s="82">
        <f t="shared" si="17"/>
        <v>5.2379999999999995</v>
      </c>
      <c r="L355" s="82"/>
      <c r="M355" s="82"/>
      <c r="N355" s="86"/>
    </row>
    <row r="356" spans="2:14" ht="20.45" hidden="1" customHeight="1" x14ac:dyDescent="0.25">
      <c r="B356" s="49"/>
      <c r="C356" s="57"/>
      <c r="D356" s="144" t="s">
        <v>616</v>
      </c>
      <c r="E356" s="64"/>
      <c r="F356" s="94">
        <v>1</v>
      </c>
      <c r="G356" s="506">
        <f xml:space="preserve"> ((0.2+0.25)*2*3) + ((0.15+0.25)*2*2)</f>
        <v>4.3000000000000007</v>
      </c>
      <c r="H356" s="511"/>
      <c r="I356" s="86">
        <v>1.96</v>
      </c>
      <c r="J356" s="99"/>
      <c r="K356" s="82">
        <f t="shared" si="17"/>
        <v>8.4280000000000008</v>
      </c>
      <c r="L356" s="82"/>
      <c r="M356" s="82"/>
      <c r="N356" s="86"/>
    </row>
    <row r="357" spans="2:14" ht="20.45" hidden="1" customHeight="1" x14ac:dyDescent="0.25">
      <c r="B357" s="49"/>
      <c r="C357" s="57"/>
      <c r="D357" s="144" t="s">
        <v>617</v>
      </c>
      <c r="E357" s="64"/>
      <c r="F357" s="94">
        <v>1</v>
      </c>
      <c r="G357" s="506">
        <f xml:space="preserve"> ((0.2+0.25)*2*3) + ((0.15+0.25)*2*2) +  ((0.2+0.3)*2*1)</f>
        <v>5.3000000000000007</v>
      </c>
      <c r="H357" s="511"/>
      <c r="I357" s="86">
        <v>1.95</v>
      </c>
      <c r="J357" s="99"/>
      <c r="K357" s="82">
        <f t="shared" si="17"/>
        <v>10.335000000000001</v>
      </c>
      <c r="L357" s="82"/>
      <c r="M357" s="82"/>
      <c r="N357" s="86"/>
    </row>
    <row r="358" spans="2:14" hidden="1" x14ac:dyDescent="0.25">
      <c r="B358" s="49"/>
      <c r="C358" s="57"/>
      <c r="D358" s="144" t="s">
        <v>618</v>
      </c>
      <c r="E358" s="64"/>
      <c r="F358" s="94">
        <v>1</v>
      </c>
      <c r="G358" s="506">
        <f xml:space="preserve"> ((0.2+0.25)*2*2) + ((0.15+0.25)*2*1)</f>
        <v>2.6</v>
      </c>
      <c r="H358" s="511"/>
      <c r="I358" s="86">
        <v>1.97</v>
      </c>
      <c r="J358" s="99"/>
      <c r="K358" s="82">
        <f t="shared" si="17"/>
        <v>5.1219999999999999</v>
      </c>
      <c r="L358" s="82"/>
      <c r="M358" s="82"/>
      <c r="N358" s="86"/>
    </row>
    <row r="359" spans="2:14" hidden="1" x14ac:dyDescent="0.25">
      <c r="B359" s="49"/>
      <c r="C359" s="57"/>
      <c r="D359" s="144" t="s">
        <v>631</v>
      </c>
      <c r="E359" s="64"/>
      <c r="F359" s="94">
        <v>1</v>
      </c>
      <c r="G359" s="506">
        <f>((0.15+0.25)*2*3)</f>
        <v>2.4000000000000004</v>
      </c>
      <c r="H359" s="511"/>
      <c r="I359" s="86">
        <v>1.9</v>
      </c>
      <c r="J359" s="99"/>
      <c r="K359" s="82">
        <f t="shared" si="17"/>
        <v>4.5600000000000005</v>
      </c>
      <c r="L359" s="82"/>
      <c r="M359" s="82"/>
      <c r="N359" s="86"/>
    </row>
    <row r="360" spans="2:14" ht="23.45" hidden="1" customHeight="1" x14ac:dyDescent="0.25">
      <c r="B360" s="49"/>
      <c r="C360" s="57"/>
      <c r="D360" s="144" t="s">
        <v>632</v>
      </c>
      <c r="E360" s="64"/>
      <c r="F360" s="94">
        <v>1</v>
      </c>
      <c r="G360" s="506">
        <f xml:space="preserve"> ((0.2+0.25)*2*1) + ((0.15+0.25)*2*1) +  ((0.2+0.35)*2*1)</f>
        <v>2.8000000000000003</v>
      </c>
      <c r="H360" s="511"/>
      <c r="I360" s="86">
        <v>1.86</v>
      </c>
      <c r="J360" s="99"/>
      <c r="K360" s="82">
        <f t="shared" si="17"/>
        <v>5.2080000000000011</v>
      </c>
      <c r="L360" s="82"/>
      <c r="M360" s="82"/>
      <c r="N360" s="86"/>
    </row>
    <row r="361" spans="2:14" hidden="1" x14ac:dyDescent="0.25">
      <c r="B361" s="49"/>
      <c r="C361" s="57"/>
      <c r="D361" s="144" t="s">
        <v>634</v>
      </c>
      <c r="E361" s="64"/>
      <c r="F361" s="94">
        <v>1</v>
      </c>
      <c r="G361" s="506">
        <f xml:space="preserve"> ((0.2+0.25)*2*1) + ((0.15+0.3)*2*2)</f>
        <v>2.6999999999999997</v>
      </c>
      <c r="H361" s="511"/>
      <c r="I361" s="86">
        <v>1.87</v>
      </c>
      <c r="J361" s="99"/>
      <c r="K361" s="82">
        <f t="shared" si="17"/>
        <v>5.0489999999999995</v>
      </c>
      <c r="L361" s="82"/>
      <c r="M361" s="82"/>
      <c r="N361" s="86"/>
    </row>
    <row r="362" spans="2:14" ht="23.45" hidden="1" customHeight="1" x14ac:dyDescent="0.25">
      <c r="B362" s="49"/>
      <c r="C362" s="57"/>
      <c r="D362" s="144" t="s">
        <v>619</v>
      </c>
      <c r="E362" s="64"/>
      <c r="F362" s="94">
        <v>1</v>
      </c>
      <c r="G362" s="506">
        <f xml:space="preserve"> ((0.2+0.3)*2*1) + ((0.15+0.3)*2*1) +  ((0.15+0.25)*2*1) + ((0.15+0.35)*2*1)</f>
        <v>3.7</v>
      </c>
      <c r="H362" s="511"/>
      <c r="I362" s="86">
        <v>1.9</v>
      </c>
      <c r="J362" s="99"/>
      <c r="K362" s="82">
        <f t="shared" si="17"/>
        <v>7.03</v>
      </c>
      <c r="L362" s="82"/>
      <c r="M362" s="82"/>
      <c r="N362" s="86"/>
    </row>
    <row r="363" spans="2:14" hidden="1" x14ac:dyDescent="0.25">
      <c r="B363" s="49"/>
      <c r="C363" s="57"/>
      <c r="D363" s="144" t="s">
        <v>620</v>
      </c>
      <c r="E363" s="64"/>
      <c r="F363" s="94">
        <v>1</v>
      </c>
      <c r="G363" s="506">
        <f xml:space="preserve"> ((0.15+0.25)*2*1) + ((0.2+0.3)*2*1)</f>
        <v>1.8</v>
      </c>
      <c r="H363" s="511"/>
      <c r="I363" s="86">
        <v>1.91</v>
      </c>
      <c r="J363" s="99"/>
      <c r="K363" s="82">
        <f t="shared" si="17"/>
        <v>3.4379999999999997</v>
      </c>
      <c r="L363" s="82"/>
      <c r="M363" s="82"/>
      <c r="N363" s="86"/>
    </row>
    <row r="364" spans="2:14" ht="22.5" hidden="1" x14ac:dyDescent="0.25">
      <c r="B364" s="49"/>
      <c r="C364" s="57"/>
      <c r="D364" s="144" t="s">
        <v>621</v>
      </c>
      <c r="E364" s="64"/>
      <c r="F364" s="94">
        <v>1</v>
      </c>
      <c r="G364" s="506">
        <f xml:space="preserve"> ((0.15+0.25)*2*5) + ((0.25+0.25)*2*1)</f>
        <v>5</v>
      </c>
      <c r="H364" s="511"/>
      <c r="I364" s="86">
        <v>1.94</v>
      </c>
      <c r="J364" s="99"/>
      <c r="K364" s="82">
        <f t="shared" si="17"/>
        <v>9.6999999999999993</v>
      </c>
      <c r="L364" s="82"/>
      <c r="M364" s="82"/>
      <c r="N364" s="86"/>
    </row>
    <row r="365" spans="2:14" ht="26.45" hidden="1" customHeight="1" x14ac:dyDescent="0.25">
      <c r="B365" s="49"/>
      <c r="C365" s="57"/>
      <c r="D365" s="144" t="s">
        <v>622</v>
      </c>
      <c r="E365" s="64"/>
      <c r="F365" s="94">
        <v>1</v>
      </c>
      <c r="G365" s="506">
        <f xml:space="preserve"> ((0.2+0.25)*2*1) + ((0.15+0.25)*2*1) +  ((0.25+0.25)*2*1)</f>
        <v>2.7</v>
      </c>
      <c r="H365" s="511"/>
      <c r="I365" s="86">
        <v>1.93</v>
      </c>
      <c r="J365" s="99"/>
      <c r="K365" s="82">
        <f t="shared" si="17"/>
        <v>5.2110000000000003</v>
      </c>
      <c r="L365" s="82"/>
      <c r="M365" s="82"/>
      <c r="N365" s="86"/>
    </row>
    <row r="366" spans="2:14" hidden="1" x14ac:dyDescent="0.25">
      <c r="B366" s="49"/>
      <c r="C366" s="57"/>
      <c r="D366" s="144" t="s">
        <v>635</v>
      </c>
      <c r="E366" s="64"/>
      <c r="F366" s="94">
        <v>1</v>
      </c>
      <c r="G366" s="506">
        <f xml:space="preserve"> ((0.15+0.25)*2*2) + ((0.25+0.25)*2*1)</f>
        <v>2.6</v>
      </c>
      <c r="H366" s="511"/>
      <c r="I366" s="86">
        <v>1.92</v>
      </c>
      <c r="J366" s="99"/>
      <c r="K366" s="82">
        <f t="shared" si="17"/>
        <v>4.992</v>
      </c>
      <c r="L366" s="82"/>
      <c r="M366" s="82"/>
      <c r="N366" s="86"/>
    </row>
    <row r="367" spans="2:14" hidden="1" x14ac:dyDescent="0.25">
      <c r="B367" s="49"/>
      <c r="C367" s="57"/>
      <c r="D367" s="144" t="s">
        <v>623</v>
      </c>
      <c r="E367" s="64"/>
      <c r="F367" s="94">
        <v>1</v>
      </c>
      <c r="G367" s="506">
        <f xml:space="preserve"> ((0.15+0.25)*2*2) + ((0.2+0.25)*2*2)</f>
        <v>3.4000000000000004</v>
      </c>
      <c r="H367" s="511"/>
      <c r="I367" s="86">
        <v>1.87</v>
      </c>
      <c r="J367" s="99"/>
      <c r="K367" s="82">
        <f t="shared" si="17"/>
        <v>6.3580000000000014</v>
      </c>
      <c r="L367" s="82"/>
      <c r="M367" s="82"/>
      <c r="N367" s="144"/>
    </row>
    <row r="368" spans="2:14" hidden="1" x14ac:dyDescent="0.25">
      <c r="B368" s="49"/>
      <c r="C368" s="57"/>
      <c r="D368" s="144" t="s">
        <v>624</v>
      </c>
      <c r="E368" s="64"/>
      <c r="F368" s="94">
        <v>1</v>
      </c>
      <c r="G368" s="506">
        <f xml:space="preserve"> ((0.15+0.25)*2*3) + ((0.2+0.25)*2*1)</f>
        <v>3.3000000000000003</v>
      </c>
      <c r="H368" s="511"/>
      <c r="I368" s="86">
        <v>1.88</v>
      </c>
      <c r="J368" s="99"/>
      <c r="K368" s="82">
        <f t="shared" si="17"/>
        <v>6.2039999999999997</v>
      </c>
      <c r="L368" s="82"/>
      <c r="M368" s="82"/>
      <c r="N368" s="86"/>
    </row>
    <row r="369" spans="2:14" hidden="1" x14ac:dyDescent="0.25">
      <c r="B369" s="49"/>
      <c r="C369" s="57"/>
      <c r="D369" s="144" t="s">
        <v>625</v>
      </c>
      <c r="E369" s="64"/>
      <c r="F369" s="94">
        <v>1</v>
      </c>
      <c r="G369" s="506">
        <f>((0.2+0.25)*2*3) + ((0.25+0.25)*2*1)</f>
        <v>3.7</v>
      </c>
      <c r="H369" s="511"/>
      <c r="I369" s="86">
        <v>1.9</v>
      </c>
      <c r="J369" s="99"/>
      <c r="K369" s="82">
        <f t="shared" si="17"/>
        <v>7.03</v>
      </c>
      <c r="L369" s="82"/>
      <c r="M369" s="82"/>
      <c r="N369" s="86"/>
    </row>
    <row r="370" spans="2:14" hidden="1" x14ac:dyDescent="0.25">
      <c r="B370" s="49"/>
      <c r="C370" s="57"/>
      <c r="D370" s="144" t="s">
        <v>637</v>
      </c>
      <c r="E370" s="64"/>
      <c r="F370" s="94">
        <v>1</v>
      </c>
      <c r="G370" s="506">
        <f>((0.2+0.2)*2*1)</f>
        <v>0.8</v>
      </c>
      <c r="H370" s="511"/>
      <c r="I370" s="86">
        <v>1.9</v>
      </c>
      <c r="J370" s="99"/>
      <c r="K370" s="82">
        <f t="shared" si="17"/>
        <v>1.52</v>
      </c>
      <c r="L370" s="82"/>
      <c r="M370" s="82"/>
      <c r="N370" s="86"/>
    </row>
    <row r="371" spans="2:14" hidden="1" x14ac:dyDescent="0.25">
      <c r="B371" s="49"/>
      <c r="C371" s="57"/>
      <c r="D371" s="144" t="s">
        <v>636</v>
      </c>
      <c r="E371" s="64"/>
      <c r="F371" s="94">
        <v>1</v>
      </c>
      <c r="G371" s="506">
        <f>((0.2+0.25)*2*1) + ((0.15+0.25)*2*1)</f>
        <v>1.7000000000000002</v>
      </c>
      <c r="H371" s="511"/>
      <c r="I371" s="86">
        <v>1.97</v>
      </c>
      <c r="J371" s="99"/>
      <c r="K371" s="82">
        <f t="shared" si="17"/>
        <v>3.3490000000000002</v>
      </c>
      <c r="L371" s="82"/>
      <c r="M371" s="82"/>
      <c r="N371" s="86"/>
    </row>
    <row r="372" spans="2:14" hidden="1" x14ac:dyDescent="0.25">
      <c r="B372" s="49"/>
      <c r="C372" s="57"/>
      <c r="D372" s="144" t="s">
        <v>638</v>
      </c>
      <c r="E372" s="64"/>
      <c r="F372" s="94">
        <v>1</v>
      </c>
      <c r="G372" s="506">
        <f>((0.2+0.25)*2*1) + ((0.15+0.25)*2*2)</f>
        <v>2.5</v>
      </c>
      <c r="H372" s="511"/>
      <c r="I372" s="86">
        <v>2</v>
      </c>
      <c r="J372" s="99"/>
      <c r="K372" s="82">
        <f t="shared" si="17"/>
        <v>5</v>
      </c>
      <c r="L372" s="82"/>
      <c r="M372" s="82"/>
      <c r="N372" s="86"/>
    </row>
    <row r="373" spans="2:14" ht="20.45" hidden="1" customHeight="1" x14ac:dyDescent="0.25">
      <c r="B373" s="49"/>
      <c r="C373" s="57"/>
      <c r="D373" s="144" t="s">
        <v>626</v>
      </c>
      <c r="E373" s="64"/>
      <c r="F373" s="94">
        <v>1</v>
      </c>
      <c r="G373" s="506">
        <f xml:space="preserve"> ((0.2+0.3)*2*1) + ((0.15+0.25)*2*5) +  ((0.25+0.25)*2*1)</f>
        <v>6</v>
      </c>
      <c r="H373" s="511"/>
      <c r="I373" s="86">
        <v>2.0099999999999998</v>
      </c>
      <c r="J373" s="99"/>
      <c r="K373" s="82">
        <f t="shared" si="17"/>
        <v>12.059999999999999</v>
      </c>
      <c r="L373" s="82"/>
      <c r="M373" s="82"/>
      <c r="N373" s="86"/>
    </row>
    <row r="374" spans="2:14" hidden="1" x14ac:dyDescent="0.25">
      <c r="B374" s="49"/>
      <c r="C374" s="57"/>
      <c r="D374" s="144" t="s">
        <v>639</v>
      </c>
      <c r="E374" s="64"/>
      <c r="F374" s="94">
        <v>1</v>
      </c>
      <c r="G374" s="506">
        <f>((0.15+0.3)*2*1)</f>
        <v>0.89999999999999991</v>
      </c>
      <c r="H374" s="511"/>
      <c r="I374" s="86">
        <v>1.86</v>
      </c>
      <c r="J374" s="99"/>
      <c r="K374" s="82">
        <f t="shared" si="17"/>
        <v>1.6739999999999999</v>
      </c>
      <c r="L374" s="82"/>
      <c r="M374" s="82"/>
      <c r="N374" s="86"/>
    </row>
    <row r="375" spans="2:14" hidden="1" x14ac:dyDescent="0.25">
      <c r="B375" s="49"/>
      <c r="C375" s="57"/>
      <c r="D375" s="144" t="s">
        <v>640</v>
      </c>
      <c r="E375" s="64"/>
      <c r="F375" s="94">
        <v>1</v>
      </c>
      <c r="G375" s="506">
        <f>((0.15+0.5)*2*1)</f>
        <v>1.3</v>
      </c>
      <c r="H375" s="511"/>
      <c r="I375" s="86">
        <v>1.87</v>
      </c>
      <c r="J375" s="99"/>
      <c r="K375" s="82">
        <f t="shared" si="17"/>
        <v>2.431</v>
      </c>
      <c r="L375" s="82"/>
      <c r="M375" s="82"/>
      <c r="N375" s="86"/>
    </row>
    <row r="376" spans="2:14" hidden="1" x14ac:dyDescent="0.25">
      <c r="B376" s="49"/>
      <c r="C376" s="57"/>
      <c r="D376" s="144" t="s">
        <v>641</v>
      </c>
      <c r="E376" s="64"/>
      <c r="F376" s="94">
        <v>1</v>
      </c>
      <c r="G376" s="506">
        <f>((0.15+0.5)*2*1)</f>
        <v>1.3</v>
      </c>
      <c r="H376" s="511"/>
      <c r="I376" s="86">
        <v>1.89</v>
      </c>
      <c r="J376" s="99"/>
      <c r="K376" s="82">
        <f t="shared" si="17"/>
        <v>2.4569999999999999</v>
      </c>
      <c r="L376" s="82"/>
      <c r="M376" s="82"/>
      <c r="N376" s="86"/>
    </row>
    <row r="377" spans="2:14" hidden="1" x14ac:dyDescent="0.25">
      <c r="B377" s="49"/>
      <c r="C377" s="57"/>
      <c r="D377" s="144" t="s">
        <v>642</v>
      </c>
      <c r="E377" s="64"/>
      <c r="F377" s="94">
        <v>1</v>
      </c>
      <c r="G377" s="506">
        <f>((0.15+0.25)*2*1)</f>
        <v>0.8</v>
      </c>
      <c r="H377" s="511"/>
      <c r="I377" s="86">
        <v>1.9</v>
      </c>
      <c r="J377" s="99"/>
      <c r="K377" s="82">
        <f t="shared" si="17"/>
        <v>1.52</v>
      </c>
      <c r="L377" s="82"/>
      <c r="M377" s="82"/>
      <c r="N377" s="86"/>
    </row>
    <row r="378" spans="2:14" hidden="1" x14ac:dyDescent="0.25">
      <c r="B378" s="49"/>
      <c r="C378" s="57"/>
      <c r="D378" s="144" t="s">
        <v>643</v>
      </c>
      <c r="E378" s="64"/>
      <c r="F378" s="94">
        <v>1</v>
      </c>
      <c r="G378" s="506">
        <f t="shared" ref="G378" si="18">((0.15+0.3)*2*1)</f>
        <v>0.89999999999999991</v>
      </c>
      <c r="H378" s="511"/>
      <c r="I378" s="86">
        <v>1.92</v>
      </c>
      <c r="J378" s="99"/>
      <c r="K378" s="82">
        <f t="shared" si="17"/>
        <v>1.7279999999999998</v>
      </c>
      <c r="L378" s="82"/>
      <c r="M378" s="82"/>
      <c r="N378" s="86"/>
    </row>
    <row r="379" spans="2:14" hidden="1" x14ac:dyDescent="0.25">
      <c r="B379" s="49"/>
      <c r="C379" s="57"/>
      <c r="D379" s="144" t="s">
        <v>644</v>
      </c>
      <c r="E379" s="64"/>
      <c r="F379" s="94">
        <v>1</v>
      </c>
      <c r="G379" s="506">
        <f>((0.15+0.25)*2*1)</f>
        <v>0.8</v>
      </c>
      <c r="H379" s="511"/>
      <c r="I379" s="86">
        <v>1.9</v>
      </c>
      <c r="J379" s="99"/>
      <c r="K379" s="82">
        <f t="shared" si="17"/>
        <v>1.52</v>
      </c>
      <c r="L379" s="82"/>
      <c r="M379" s="82"/>
      <c r="N379" s="86"/>
    </row>
    <row r="380" spans="2:14" hidden="1" x14ac:dyDescent="0.25">
      <c r="B380" s="49"/>
      <c r="C380" s="57"/>
      <c r="D380" s="144" t="s">
        <v>645</v>
      </c>
      <c r="E380" s="64"/>
      <c r="F380" s="94">
        <v>1</v>
      </c>
      <c r="G380" s="506">
        <f>((0.15+0.3)*2*1)</f>
        <v>0.89999999999999991</v>
      </c>
      <c r="H380" s="511"/>
      <c r="I380" s="86">
        <v>1.98</v>
      </c>
      <c r="J380" s="99"/>
      <c r="K380" s="82">
        <f t="shared" si="17"/>
        <v>1.7819999999999998</v>
      </c>
      <c r="L380" s="82"/>
      <c r="M380" s="82"/>
      <c r="N380" s="86"/>
    </row>
    <row r="381" spans="2:14" ht="20.45" hidden="1" customHeight="1" x14ac:dyDescent="0.25">
      <c r="B381" s="49" t="s">
        <v>87</v>
      </c>
      <c r="C381" s="58">
        <v>98557</v>
      </c>
      <c r="D381" s="52" t="s">
        <v>89</v>
      </c>
      <c r="E381" s="64" t="s">
        <v>17</v>
      </c>
      <c r="F381" s="94"/>
      <c r="G381" s="104"/>
      <c r="H381" s="92"/>
      <c r="I381" s="105"/>
      <c r="J381" s="99">
        <f>'BOLETIM DE MEDIÇÃO 05'!O38-'MEMORIAL DE CALCULO 06'!K381</f>
        <v>0</v>
      </c>
      <c r="K381" s="82">
        <f>(F382*G382*I382)</f>
        <v>253.95000000000002</v>
      </c>
      <c r="L381" s="82">
        <f t="shared" si="0"/>
        <v>253.95000000000002</v>
      </c>
      <c r="M381" s="82">
        <f>'BOLETIM DE MEDIÇÃO 05'!G38</f>
        <v>253.95</v>
      </c>
      <c r="N381" s="86">
        <f t="shared" si="1"/>
        <v>0</v>
      </c>
    </row>
    <row r="382" spans="2:14" ht="20.45" hidden="1" customHeight="1" x14ac:dyDescent="0.25">
      <c r="B382" s="49"/>
      <c r="C382" s="58"/>
      <c r="D382" s="293" t="s">
        <v>888</v>
      </c>
      <c r="E382" s="64"/>
      <c r="F382" s="94">
        <v>1</v>
      </c>
      <c r="G382" s="104">
        <v>338.6</v>
      </c>
      <c r="H382" s="92"/>
      <c r="I382" s="105">
        <v>0.75</v>
      </c>
      <c r="J382" s="99"/>
      <c r="K382" s="82"/>
      <c r="L382" s="82"/>
      <c r="M382" s="82"/>
      <c r="N382" s="86"/>
    </row>
    <row r="383" spans="2:14" ht="14.45" customHeight="1" x14ac:dyDescent="0.25">
      <c r="B383" s="56" t="s">
        <v>90</v>
      </c>
      <c r="C383" s="60" t="s">
        <v>91</v>
      </c>
      <c r="D383" s="52"/>
      <c r="E383" s="64"/>
      <c r="F383" s="94"/>
      <c r="G383" s="104"/>
      <c r="H383" s="92"/>
      <c r="I383" s="105"/>
      <c r="J383" s="99"/>
      <c r="K383" s="82"/>
      <c r="L383" s="82"/>
      <c r="M383" s="82"/>
      <c r="N383" s="86"/>
    </row>
    <row r="384" spans="2:14" ht="30.6" customHeight="1" x14ac:dyDescent="0.25">
      <c r="B384" s="49" t="s">
        <v>95</v>
      </c>
      <c r="C384" s="57">
        <v>92480</v>
      </c>
      <c r="D384" s="61" t="s">
        <v>97</v>
      </c>
      <c r="E384" s="64" t="s">
        <v>17</v>
      </c>
      <c r="F384" s="94"/>
      <c r="G384" s="104"/>
      <c r="H384" s="43"/>
      <c r="I384" s="105"/>
      <c r="J384" s="99">
        <v>0</v>
      </c>
      <c r="K384" s="82">
        <f>G385</f>
        <v>261.94400000000002</v>
      </c>
      <c r="L384" s="82">
        <f t="shared" si="0"/>
        <v>261.94400000000002</v>
      </c>
      <c r="M384" s="82">
        <f>'BOLETIM DE MEDIÇÃO 05'!G41</f>
        <v>435.33</v>
      </c>
      <c r="N384" s="86">
        <f t="shared" si="1"/>
        <v>173.38599999999997</v>
      </c>
    </row>
    <row r="385" spans="2:14" ht="18" customHeight="1" x14ac:dyDescent="0.25">
      <c r="B385" s="49"/>
      <c r="C385" s="63"/>
      <c r="D385" s="294"/>
      <c r="E385" s="64"/>
      <c r="F385" s="94">
        <v>1</v>
      </c>
      <c r="G385" s="506">
        <f>0.8*327.43</f>
        <v>261.94400000000002</v>
      </c>
      <c r="H385" s="507"/>
      <c r="I385" s="508"/>
      <c r="J385" s="99"/>
      <c r="K385" s="82">
        <f>F385*G385</f>
        <v>261.94400000000002</v>
      </c>
      <c r="L385" s="82"/>
      <c r="M385" s="82"/>
      <c r="N385" s="86"/>
    </row>
    <row r="386" spans="2:14" ht="30.6" customHeight="1" x14ac:dyDescent="0.25">
      <c r="B386" s="49" t="s">
        <v>101</v>
      </c>
      <c r="C386" s="57">
        <v>92759</v>
      </c>
      <c r="D386" s="52" t="s">
        <v>103</v>
      </c>
      <c r="E386" s="64" t="s">
        <v>62</v>
      </c>
      <c r="F386" s="94"/>
      <c r="G386" s="104"/>
      <c r="H386" s="64"/>
      <c r="I386" s="105"/>
      <c r="J386" s="99">
        <f>'BOLETIM DE MEDIÇÃO 05'!O43-'MEMORIAL DE CALCULO 06'!K386</f>
        <v>468.20000000000005</v>
      </c>
      <c r="K386" s="82">
        <f>K387</f>
        <v>214.5</v>
      </c>
      <c r="L386" s="82">
        <f t="shared" si="0"/>
        <v>682.7</v>
      </c>
      <c r="M386" s="82">
        <f>'BOLETIM DE MEDIÇÃO 05'!G43</f>
        <v>1027.8</v>
      </c>
      <c r="N386" s="86">
        <f t="shared" si="1"/>
        <v>345.09999999999991</v>
      </c>
    </row>
    <row r="387" spans="2:14" ht="19.899999999999999" customHeight="1" x14ac:dyDescent="0.25">
      <c r="B387" s="49"/>
      <c r="C387" s="57"/>
      <c r="D387" s="294" t="s">
        <v>953</v>
      </c>
      <c r="E387" s="64"/>
      <c r="F387" s="94">
        <v>1</v>
      </c>
      <c r="G387" s="506">
        <f>0.6*357.5</f>
        <v>214.5</v>
      </c>
      <c r="H387" s="507"/>
      <c r="I387" s="508"/>
      <c r="J387" s="99"/>
      <c r="K387" s="82">
        <f>F387*G387</f>
        <v>214.5</v>
      </c>
      <c r="L387" s="82"/>
      <c r="M387" s="82"/>
      <c r="N387" s="86"/>
    </row>
    <row r="388" spans="2:14" ht="33.6" customHeight="1" x14ac:dyDescent="0.25">
      <c r="B388" s="49" t="s">
        <v>104</v>
      </c>
      <c r="C388" s="57">
        <v>92760</v>
      </c>
      <c r="D388" s="52" t="s">
        <v>106</v>
      </c>
      <c r="E388" s="64" t="s">
        <v>62</v>
      </c>
      <c r="F388" s="94"/>
      <c r="G388" s="104"/>
      <c r="H388" s="64"/>
      <c r="I388" s="105"/>
      <c r="J388" s="99">
        <f>'BOLETIM DE MEDIÇÃO 05'!O44-'MEMORIAL DE CALCULO 06'!K388</f>
        <v>7.82</v>
      </c>
      <c r="K388" s="82">
        <f>K389</f>
        <v>15.64</v>
      </c>
      <c r="L388" s="82">
        <f t="shared" ref="L388" si="19">J388+K388</f>
        <v>23.46</v>
      </c>
      <c r="M388" s="82">
        <f>'BOLETIM DE MEDIÇÃO 05'!G44</f>
        <v>39.1</v>
      </c>
      <c r="N388" s="86">
        <f t="shared" ref="N388" si="20">M388-L388</f>
        <v>15.64</v>
      </c>
    </row>
    <row r="389" spans="2:14" ht="22.9" customHeight="1" x14ac:dyDescent="0.25">
      <c r="B389" s="49"/>
      <c r="C389" s="57"/>
      <c r="D389" s="294" t="s">
        <v>964</v>
      </c>
      <c r="E389" s="64"/>
      <c r="F389" s="94">
        <v>1</v>
      </c>
      <c r="G389" s="468">
        <f>0.4*39.1</f>
        <v>15.64</v>
      </c>
      <c r="H389" s="469"/>
      <c r="I389" s="470"/>
      <c r="J389" s="99"/>
      <c r="K389" s="82">
        <f>F389*G389</f>
        <v>15.64</v>
      </c>
      <c r="L389" s="82"/>
      <c r="M389" s="82"/>
      <c r="N389" s="86"/>
    </row>
    <row r="390" spans="2:14" ht="30.6" customHeight="1" x14ac:dyDescent="0.25">
      <c r="B390" s="49" t="s">
        <v>107</v>
      </c>
      <c r="C390" s="57">
        <v>92761</v>
      </c>
      <c r="D390" s="52" t="s">
        <v>109</v>
      </c>
      <c r="E390" s="64" t="s">
        <v>62</v>
      </c>
      <c r="F390" s="94"/>
      <c r="G390" s="104"/>
      <c r="H390" s="64"/>
      <c r="I390" s="105"/>
      <c r="J390" s="99">
        <f>'BOLETIM DE MEDIÇÃO 05'!O45-'MEMORIAL DE CALCULO 06'!K390</f>
        <v>0</v>
      </c>
      <c r="K390" s="82">
        <f>K391</f>
        <v>415.67999999999995</v>
      </c>
      <c r="L390" s="82">
        <f t="shared" si="0"/>
        <v>415.67999999999995</v>
      </c>
      <c r="M390" s="82">
        <f>'BOLETIM DE MEDIÇÃO 05'!G45</f>
        <v>1000</v>
      </c>
      <c r="N390" s="86">
        <f t="shared" si="1"/>
        <v>584.32000000000005</v>
      </c>
    </row>
    <row r="391" spans="2:14" s="371" customFormat="1" ht="22.9" customHeight="1" x14ac:dyDescent="0.25">
      <c r="B391" s="363"/>
      <c r="C391" s="364"/>
      <c r="D391" s="365" t="s">
        <v>953</v>
      </c>
      <c r="E391" s="366"/>
      <c r="F391" s="367">
        <v>1</v>
      </c>
      <c r="G391" s="554">
        <f>0.6* 692.8</f>
        <v>415.67999999999995</v>
      </c>
      <c r="H391" s="555"/>
      <c r="I391" s="556"/>
      <c r="J391" s="368"/>
      <c r="K391" s="369">
        <f>F391*G391</f>
        <v>415.67999999999995</v>
      </c>
      <c r="L391" s="369"/>
      <c r="M391" s="369"/>
      <c r="N391" s="370"/>
    </row>
    <row r="392" spans="2:14" ht="30.6" customHeight="1" x14ac:dyDescent="0.25">
      <c r="B392" s="49" t="s">
        <v>110</v>
      </c>
      <c r="C392" s="57">
        <v>92762</v>
      </c>
      <c r="D392" s="52" t="s">
        <v>112</v>
      </c>
      <c r="E392" s="64" t="s">
        <v>62</v>
      </c>
      <c r="F392" s="94"/>
      <c r="G392" s="104"/>
      <c r="H392" s="64"/>
      <c r="I392" s="105"/>
      <c r="J392" s="99">
        <f>'BOLETIM DE MEDIÇÃO 05'!O46-'MEMORIAL DE CALCULO 06'!K392</f>
        <v>1180.4000000000001</v>
      </c>
      <c r="K392" s="82">
        <f>K393</f>
        <v>57</v>
      </c>
      <c r="L392" s="82">
        <f t="shared" si="0"/>
        <v>1237.4000000000001</v>
      </c>
      <c r="M392" s="82">
        <f>'BOLETIM DE MEDIÇÃO 05'!G46</f>
        <v>1306.0999999999999</v>
      </c>
      <c r="N392" s="86">
        <f t="shared" si="1"/>
        <v>68.699999999999818</v>
      </c>
    </row>
    <row r="393" spans="2:14" s="371" customFormat="1" ht="19.899999999999999" customHeight="1" x14ac:dyDescent="0.25">
      <c r="B393" s="363"/>
      <c r="C393" s="364"/>
      <c r="D393" s="365" t="s">
        <v>953</v>
      </c>
      <c r="E393" s="366"/>
      <c r="F393" s="372">
        <v>1</v>
      </c>
      <c r="G393" s="554">
        <f>0.6* 95</f>
        <v>57</v>
      </c>
      <c r="H393" s="555"/>
      <c r="I393" s="556"/>
      <c r="J393" s="368"/>
      <c r="K393" s="369">
        <f>F393*G393</f>
        <v>57</v>
      </c>
      <c r="L393" s="369"/>
      <c r="M393" s="369"/>
      <c r="N393" s="370"/>
    </row>
    <row r="394" spans="2:14" ht="33.75" x14ac:dyDescent="0.25">
      <c r="B394" s="49" t="s">
        <v>116</v>
      </c>
      <c r="C394" s="57">
        <v>92768</v>
      </c>
      <c r="D394" s="52" t="s">
        <v>118</v>
      </c>
      <c r="E394" s="64" t="s">
        <v>62</v>
      </c>
      <c r="F394" s="105"/>
      <c r="G394" s="99"/>
      <c r="H394" s="64"/>
      <c r="I394" s="105"/>
      <c r="J394" s="99">
        <v>0</v>
      </c>
      <c r="K394" s="82">
        <f>K395</f>
        <v>130.5</v>
      </c>
      <c r="L394" s="82">
        <f t="shared" si="0"/>
        <v>130.5</v>
      </c>
      <c r="M394" s="82">
        <f>'BOLETIM DE MEDIÇÃO 05'!G48</f>
        <v>158.69999999999999</v>
      </c>
      <c r="N394" s="86">
        <f t="shared" si="1"/>
        <v>28.199999999999989</v>
      </c>
    </row>
    <row r="395" spans="2:14" x14ac:dyDescent="0.25">
      <c r="B395" s="49"/>
      <c r="C395" s="57"/>
      <c r="D395" s="294" t="s">
        <v>958</v>
      </c>
      <c r="E395" s="64"/>
      <c r="F395" s="105">
        <v>1</v>
      </c>
      <c r="G395" s="506">
        <v>130.5</v>
      </c>
      <c r="H395" s="507"/>
      <c r="I395" s="508"/>
      <c r="J395" s="99"/>
      <c r="K395" s="82">
        <f>F395*G395</f>
        <v>130.5</v>
      </c>
      <c r="L395" s="82"/>
      <c r="M395" s="82"/>
      <c r="N395" s="86"/>
    </row>
    <row r="396" spans="2:14" ht="33.75" x14ac:dyDescent="0.25">
      <c r="B396" s="49" t="s">
        <v>119</v>
      </c>
      <c r="C396" s="57">
        <v>92769</v>
      </c>
      <c r="D396" s="52" t="s">
        <v>121</v>
      </c>
      <c r="E396" s="64" t="s">
        <v>62</v>
      </c>
      <c r="F396" s="105"/>
      <c r="G396" s="99"/>
      <c r="H396" s="64"/>
      <c r="I396" s="105"/>
      <c r="J396" s="99">
        <v>0</v>
      </c>
      <c r="K396" s="82">
        <f>K397</f>
        <v>157.6</v>
      </c>
      <c r="L396" s="82">
        <f t="shared" si="0"/>
        <v>157.6</v>
      </c>
      <c r="M396" s="82">
        <f>'BOLETIM DE MEDIÇÃO 05'!G49</f>
        <v>170.5</v>
      </c>
      <c r="N396" s="86">
        <f t="shared" si="1"/>
        <v>12.900000000000006</v>
      </c>
    </row>
    <row r="397" spans="2:14" x14ac:dyDescent="0.25">
      <c r="B397" s="49"/>
      <c r="C397" s="57"/>
      <c r="D397" s="294" t="s">
        <v>958</v>
      </c>
      <c r="E397" s="64"/>
      <c r="F397" s="105">
        <v>1</v>
      </c>
      <c r="G397" s="506">
        <v>157.6</v>
      </c>
      <c r="H397" s="507"/>
      <c r="I397" s="508"/>
      <c r="J397" s="99"/>
      <c r="K397" s="82">
        <f>F397*G397</f>
        <v>157.6</v>
      </c>
      <c r="L397" s="82"/>
      <c r="M397" s="82"/>
      <c r="N397" s="86"/>
    </row>
    <row r="398" spans="2:14" ht="33.75" x14ac:dyDescent="0.25">
      <c r="B398" s="49" t="s">
        <v>122</v>
      </c>
      <c r="C398" s="57">
        <v>92770</v>
      </c>
      <c r="D398" s="52" t="s">
        <v>124</v>
      </c>
      <c r="E398" s="64" t="s">
        <v>62</v>
      </c>
      <c r="F398" s="105"/>
      <c r="G398" s="99"/>
      <c r="H398" s="64"/>
      <c r="I398" s="105"/>
      <c r="J398" s="99">
        <v>0</v>
      </c>
      <c r="K398" s="82">
        <f>K399</f>
        <v>259</v>
      </c>
      <c r="L398" s="82">
        <f t="shared" si="0"/>
        <v>259</v>
      </c>
      <c r="M398" s="82">
        <f>'BOLETIM DE MEDIÇÃO 05'!G50</f>
        <v>279.10000000000002</v>
      </c>
      <c r="N398" s="86">
        <f t="shared" si="1"/>
        <v>20.100000000000023</v>
      </c>
    </row>
    <row r="399" spans="2:14" ht="18" customHeight="1" x14ac:dyDescent="0.25">
      <c r="B399" s="49"/>
      <c r="C399" s="57"/>
      <c r="D399" s="294" t="s">
        <v>958</v>
      </c>
      <c r="E399" s="64"/>
      <c r="F399" s="105">
        <v>1</v>
      </c>
      <c r="G399" s="506">
        <v>259</v>
      </c>
      <c r="H399" s="507"/>
      <c r="I399" s="508"/>
      <c r="J399" s="99"/>
      <c r="K399" s="82">
        <f>F399*G399</f>
        <v>259</v>
      </c>
      <c r="L399" s="82"/>
      <c r="M399" s="82"/>
      <c r="N399" s="86"/>
    </row>
    <row r="400" spans="2:14" ht="33.75" x14ac:dyDescent="0.25">
      <c r="B400" s="49" t="s">
        <v>125</v>
      </c>
      <c r="C400" s="57">
        <v>94966</v>
      </c>
      <c r="D400" s="52" t="s">
        <v>65</v>
      </c>
      <c r="E400" s="64" t="s">
        <v>41</v>
      </c>
      <c r="F400" s="105"/>
      <c r="G400" s="99"/>
      <c r="H400" s="64"/>
      <c r="I400" s="105"/>
      <c r="J400" s="99">
        <f>'BOLETIM DE MEDIÇÃO 05'!O51-'MEMORIAL DE CALCULO 06'!K400</f>
        <v>3.0000000000001137E-2</v>
      </c>
      <c r="K400" s="82">
        <f>K401+K402</f>
        <v>19.399999999999999</v>
      </c>
      <c r="L400" s="82">
        <f t="shared" si="0"/>
        <v>19.43</v>
      </c>
      <c r="M400" s="82">
        <f>'BOLETIM DE MEDIÇÃO 05'!G51</f>
        <v>61.56</v>
      </c>
      <c r="N400" s="86">
        <f t="shared" si="1"/>
        <v>42.13</v>
      </c>
    </row>
    <row r="401" spans="2:14" ht="19.149999999999999" customHeight="1" x14ac:dyDescent="0.25">
      <c r="B401" s="49"/>
      <c r="C401" s="57"/>
      <c r="D401" s="294" t="s">
        <v>962</v>
      </c>
      <c r="E401" s="64"/>
      <c r="F401" s="105">
        <v>1</v>
      </c>
      <c r="G401" s="550">
        <f>0.8*21.7</f>
        <v>17.36</v>
      </c>
      <c r="H401" s="550"/>
      <c r="I401" s="551"/>
      <c r="J401" s="99"/>
      <c r="K401" s="82">
        <f>F401*G401</f>
        <v>17.36</v>
      </c>
      <c r="L401" s="82"/>
      <c r="M401" s="82"/>
      <c r="N401" s="86"/>
    </row>
    <row r="402" spans="2:14" ht="19.149999999999999" customHeight="1" x14ac:dyDescent="0.25">
      <c r="B402" s="49"/>
      <c r="C402" s="57"/>
      <c r="D402" s="294" t="s">
        <v>961</v>
      </c>
      <c r="E402" s="64"/>
      <c r="F402" s="105">
        <v>1</v>
      </c>
      <c r="G402" s="549">
        <v>2.04</v>
      </c>
      <c r="H402" s="550"/>
      <c r="I402" s="551"/>
      <c r="J402" s="99"/>
      <c r="K402" s="82">
        <f>F402*G402</f>
        <v>2.04</v>
      </c>
      <c r="L402" s="82"/>
      <c r="M402" s="82"/>
      <c r="N402" s="86"/>
    </row>
    <row r="403" spans="2:14" ht="22.5" x14ac:dyDescent="0.25">
      <c r="B403" s="49" t="s">
        <v>126</v>
      </c>
      <c r="C403" s="57">
        <v>103670</v>
      </c>
      <c r="D403" s="61" t="s">
        <v>71</v>
      </c>
      <c r="E403" s="64" t="s">
        <v>41</v>
      </c>
      <c r="F403" s="105"/>
      <c r="G403" s="99"/>
      <c r="H403" s="43"/>
      <c r="I403" s="105"/>
      <c r="J403" s="99">
        <f>'BOLETIM DE MEDIÇÃO 05'!O52-'MEMORIAL DE CALCULO 06'!K403</f>
        <v>3.0000000000001137E-2</v>
      </c>
      <c r="K403" s="82">
        <f>G404</f>
        <v>19.399999999999999</v>
      </c>
      <c r="L403" s="82">
        <f t="shared" si="0"/>
        <v>19.43</v>
      </c>
      <c r="M403" s="82">
        <f>'BOLETIM DE MEDIÇÃO 05'!G52</f>
        <v>61.56</v>
      </c>
      <c r="N403" s="86">
        <f t="shared" si="1"/>
        <v>42.13</v>
      </c>
    </row>
    <row r="404" spans="2:14" x14ac:dyDescent="0.25">
      <c r="B404" s="49"/>
      <c r="C404" s="63"/>
      <c r="D404" s="344" t="s">
        <v>932</v>
      </c>
      <c r="E404" s="64"/>
      <c r="F404" s="94">
        <v>1</v>
      </c>
      <c r="G404" s="506">
        <f>K400</f>
        <v>19.399999999999999</v>
      </c>
      <c r="H404" s="507"/>
      <c r="I404" s="508"/>
      <c r="J404" s="99"/>
      <c r="K404" s="82">
        <f>F404*G404</f>
        <v>19.399999999999999</v>
      </c>
      <c r="L404" s="82"/>
      <c r="M404" s="82"/>
      <c r="N404" s="86"/>
    </row>
    <row r="405" spans="2:14" ht="33.75" x14ac:dyDescent="0.25">
      <c r="B405" s="49" t="s">
        <v>127</v>
      </c>
      <c r="C405" s="57">
        <v>92771</v>
      </c>
      <c r="D405" s="61" t="s">
        <v>129</v>
      </c>
      <c r="E405" s="64" t="s">
        <v>62</v>
      </c>
      <c r="F405" s="94"/>
      <c r="G405" s="104"/>
      <c r="H405" s="43"/>
      <c r="I405" s="105"/>
      <c r="J405" s="99">
        <v>0</v>
      </c>
      <c r="K405" s="82">
        <f>K406</f>
        <v>217.7</v>
      </c>
      <c r="L405" s="82">
        <f t="shared" si="0"/>
        <v>217.7</v>
      </c>
      <c r="M405" s="82">
        <f>'BOLETIM DE MEDIÇÃO 05'!G53</f>
        <v>312.3</v>
      </c>
      <c r="N405" s="86">
        <f t="shared" si="1"/>
        <v>94.600000000000023</v>
      </c>
    </row>
    <row r="406" spans="2:14" ht="18" customHeight="1" x14ac:dyDescent="0.25">
      <c r="B406" s="49"/>
      <c r="C406" s="57"/>
      <c r="D406" s="294" t="s">
        <v>958</v>
      </c>
      <c r="E406" s="64"/>
      <c r="F406" s="105">
        <v>1</v>
      </c>
      <c r="G406" s="506">
        <v>217.7</v>
      </c>
      <c r="H406" s="507"/>
      <c r="I406" s="508"/>
      <c r="J406" s="99"/>
      <c r="K406" s="82">
        <f>F406*G406</f>
        <v>217.7</v>
      </c>
      <c r="L406" s="82"/>
      <c r="M406" s="82"/>
      <c r="N406" s="86"/>
    </row>
    <row r="407" spans="2:14" ht="33.75" x14ac:dyDescent="0.25">
      <c r="B407" s="49" t="s">
        <v>130</v>
      </c>
      <c r="C407" s="57">
        <v>92772</v>
      </c>
      <c r="D407" s="52" t="s">
        <v>132</v>
      </c>
      <c r="E407" s="64" t="s">
        <v>62</v>
      </c>
      <c r="F407" s="94"/>
      <c r="G407" s="104"/>
      <c r="H407" s="64"/>
      <c r="I407" s="105"/>
      <c r="J407" s="99">
        <v>0</v>
      </c>
      <c r="K407" s="82">
        <f>K408</f>
        <v>154.80000000000001</v>
      </c>
      <c r="L407" s="82">
        <f t="shared" si="0"/>
        <v>154.80000000000001</v>
      </c>
      <c r="M407" s="82">
        <f>'BOLETIM DE MEDIÇÃO 05'!G54</f>
        <v>154.80000000000001</v>
      </c>
      <c r="N407" s="86">
        <f t="shared" si="1"/>
        <v>0</v>
      </c>
    </row>
    <row r="408" spans="2:14" ht="18" customHeight="1" x14ac:dyDescent="0.25">
      <c r="B408" s="49"/>
      <c r="C408" s="57"/>
      <c r="D408" s="294" t="s">
        <v>958</v>
      </c>
      <c r="E408" s="64"/>
      <c r="F408" s="105">
        <v>1</v>
      </c>
      <c r="G408" s="506">
        <v>154.80000000000001</v>
      </c>
      <c r="H408" s="507"/>
      <c r="I408" s="508"/>
      <c r="J408" s="99"/>
      <c r="K408" s="82">
        <f>F408*G408</f>
        <v>154.80000000000001</v>
      </c>
      <c r="L408" s="82"/>
      <c r="M408" s="82"/>
      <c r="N408" s="86"/>
    </row>
    <row r="409" spans="2:14" ht="14.45" customHeight="1" x14ac:dyDescent="0.25">
      <c r="B409" s="56">
        <v>1.6</v>
      </c>
      <c r="C409" s="60" t="s">
        <v>148</v>
      </c>
      <c r="D409" s="52"/>
      <c r="E409" s="64"/>
      <c r="F409" s="105"/>
      <c r="G409" s="99"/>
      <c r="H409" s="64"/>
      <c r="I409" s="105"/>
      <c r="J409" s="99"/>
      <c r="K409" s="82"/>
      <c r="L409" s="82"/>
      <c r="M409" s="82"/>
      <c r="N409" s="86"/>
    </row>
    <row r="410" spans="2:14" ht="56.25" x14ac:dyDescent="0.25">
      <c r="B410" s="49" t="s">
        <v>152</v>
      </c>
      <c r="C410" s="57">
        <v>87548</v>
      </c>
      <c r="D410" s="52" t="s">
        <v>154</v>
      </c>
      <c r="E410" s="64" t="s">
        <v>17</v>
      </c>
      <c r="F410" s="105"/>
      <c r="G410" s="99"/>
      <c r="H410" s="64"/>
      <c r="I410" s="105"/>
      <c r="J410" s="99">
        <v>0</v>
      </c>
      <c r="K410" s="82">
        <f>K411</f>
        <v>299.13299999999998</v>
      </c>
      <c r="L410" s="82">
        <f t="shared" si="0"/>
        <v>299.13299999999998</v>
      </c>
      <c r="M410" s="82">
        <f>'BOLETIM DE MEDIÇÃO 05'!G62</f>
        <v>997.11</v>
      </c>
      <c r="N410" s="86">
        <f t="shared" si="1"/>
        <v>697.97700000000009</v>
      </c>
    </row>
    <row r="411" spans="2:14" x14ac:dyDescent="0.25">
      <c r="B411" s="49"/>
      <c r="C411" s="57"/>
      <c r="D411" s="344" t="s">
        <v>963</v>
      </c>
      <c r="E411" s="64"/>
      <c r="F411" s="105">
        <v>1</v>
      </c>
      <c r="G411" s="506">
        <f>0.3*997.11</f>
        <v>299.13299999999998</v>
      </c>
      <c r="H411" s="507"/>
      <c r="I411" s="508"/>
      <c r="J411" s="99"/>
      <c r="K411" s="82">
        <f>F411*G411</f>
        <v>299.13299999999998</v>
      </c>
      <c r="L411" s="82"/>
      <c r="M411" s="82"/>
      <c r="N411" s="86"/>
    </row>
    <row r="412" spans="2:14" ht="14.45" customHeight="1" x14ac:dyDescent="0.25">
      <c r="B412" s="65">
        <v>1.1000000000000001</v>
      </c>
      <c r="C412" s="65" t="s">
        <v>229</v>
      </c>
      <c r="D412" s="53"/>
      <c r="E412" s="44"/>
      <c r="F412" s="130"/>
      <c r="G412" s="121"/>
      <c r="H412" s="70"/>
      <c r="I412" s="105"/>
      <c r="J412" s="99"/>
      <c r="K412" s="82">
        <f t="shared" ref="K412:K417" si="21">(F412*G412*I412)</f>
        <v>0</v>
      </c>
      <c r="L412" s="82"/>
      <c r="M412" s="82"/>
      <c r="N412" s="86"/>
    </row>
    <row r="413" spans="2:14" ht="33.75" x14ac:dyDescent="0.25">
      <c r="B413" s="50" t="s">
        <v>284</v>
      </c>
      <c r="C413" s="68">
        <v>91834</v>
      </c>
      <c r="D413" s="67" t="s">
        <v>286</v>
      </c>
      <c r="E413" s="69" t="s">
        <v>37</v>
      </c>
      <c r="F413" s="312"/>
      <c r="G413" s="121"/>
      <c r="H413" s="44"/>
      <c r="I413" s="105"/>
      <c r="J413" s="99">
        <v>0</v>
      </c>
      <c r="K413" s="82">
        <f>K414</f>
        <v>150</v>
      </c>
      <c r="L413" s="82">
        <f t="shared" ref="L413:L417" si="22">J413+K413</f>
        <v>150</v>
      </c>
      <c r="M413" s="82">
        <f>'BOLETIM DE MEDIÇÃO 05'!G108</f>
        <v>830.48</v>
      </c>
      <c r="N413" s="86">
        <f t="shared" ref="N413:N417" si="23">M413-L413</f>
        <v>680.48</v>
      </c>
    </row>
    <row r="414" spans="2:14" x14ac:dyDescent="0.25">
      <c r="B414" s="50"/>
      <c r="C414" s="68"/>
      <c r="D414" s="344" t="s">
        <v>959</v>
      </c>
      <c r="E414" s="69"/>
      <c r="F414" s="312">
        <v>1</v>
      </c>
      <c r="G414" s="468">
        <v>150</v>
      </c>
      <c r="H414" s="469"/>
      <c r="I414" s="470"/>
      <c r="J414" s="99"/>
      <c r="K414" s="82">
        <f>F414*G414</f>
        <v>150</v>
      </c>
      <c r="L414" s="82"/>
      <c r="M414" s="82"/>
      <c r="N414" s="86"/>
    </row>
    <row r="415" spans="2:14" ht="33.75" hidden="1" x14ac:dyDescent="0.25">
      <c r="B415" s="50" t="s">
        <v>287</v>
      </c>
      <c r="C415" s="66">
        <v>91868</v>
      </c>
      <c r="D415" s="53" t="s">
        <v>289</v>
      </c>
      <c r="E415" s="69" t="s">
        <v>37</v>
      </c>
      <c r="F415" s="312"/>
      <c r="G415" s="121"/>
      <c r="H415" s="70"/>
      <c r="I415" s="105"/>
      <c r="J415" s="99">
        <f>'BOLETIM DE MEDIÇÃO 05'!O109-'MEMORIAL DE CALCULO 06'!K415</f>
        <v>0</v>
      </c>
      <c r="K415" s="82">
        <f t="shared" si="21"/>
        <v>0</v>
      </c>
      <c r="L415" s="82">
        <f t="shared" si="22"/>
        <v>0</v>
      </c>
      <c r="M415" s="82">
        <f>'BOLETIM DE MEDIÇÃO 05'!G109</f>
        <v>55.97</v>
      </c>
      <c r="N415" s="86">
        <f t="shared" si="23"/>
        <v>55.97</v>
      </c>
    </row>
    <row r="416" spans="2:14" hidden="1" x14ac:dyDescent="0.25">
      <c r="B416" s="50"/>
      <c r="C416" s="66"/>
      <c r="D416" s="53"/>
      <c r="E416" s="69"/>
      <c r="F416" s="312"/>
      <c r="G416" s="121"/>
      <c r="H416" s="70"/>
      <c r="I416" s="105"/>
      <c r="J416" s="99"/>
      <c r="K416" s="82"/>
      <c r="L416" s="82"/>
      <c r="M416" s="82"/>
      <c r="N416" s="86"/>
    </row>
    <row r="417" spans="1:14" ht="33.75" hidden="1" x14ac:dyDescent="0.25">
      <c r="B417" s="50" t="s">
        <v>290</v>
      </c>
      <c r="C417" s="66">
        <v>91867</v>
      </c>
      <c r="D417" s="53" t="s">
        <v>292</v>
      </c>
      <c r="E417" s="69" t="s">
        <v>37</v>
      </c>
      <c r="F417" s="312"/>
      <c r="G417" s="121"/>
      <c r="H417" s="70"/>
      <c r="I417" s="105"/>
      <c r="J417" s="99">
        <f>'BOLETIM DE MEDIÇÃO 05'!O110-'MEMORIAL DE CALCULO 06'!K417</f>
        <v>0</v>
      </c>
      <c r="K417" s="82">
        <f t="shared" si="21"/>
        <v>0</v>
      </c>
      <c r="L417" s="82">
        <f t="shared" si="22"/>
        <v>0</v>
      </c>
      <c r="M417" s="82">
        <f>'BOLETIM DE MEDIÇÃO 05'!G110</f>
        <v>36.19</v>
      </c>
      <c r="N417" s="86">
        <f t="shared" si="23"/>
        <v>36.19</v>
      </c>
    </row>
    <row r="418" spans="1:14" hidden="1" x14ac:dyDescent="0.25">
      <c r="B418" s="50"/>
      <c r="C418" s="66"/>
      <c r="D418" s="53"/>
      <c r="E418" s="69"/>
      <c r="F418" s="312"/>
      <c r="G418" s="121"/>
      <c r="H418" s="70"/>
      <c r="I418" s="105"/>
      <c r="J418" s="99"/>
      <c r="K418" s="82"/>
      <c r="L418" s="82"/>
      <c r="M418" s="82"/>
      <c r="N418" s="86"/>
    </row>
    <row r="419" spans="1:14" ht="14.45" customHeight="1" x14ac:dyDescent="0.25">
      <c r="B419" s="51">
        <v>1.1499999999999999</v>
      </c>
      <c r="C419" s="65" t="s">
        <v>474</v>
      </c>
      <c r="D419" s="53"/>
      <c r="E419" s="44"/>
      <c r="F419" s="130"/>
      <c r="G419" s="469"/>
      <c r="H419" s="469"/>
      <c r="I419" s="470"/>
      <c r="J419" s="99"/>
      <c r="K419" s="81"/>
      <c r="L419" s="82"/>
      <c r="M419" s="82"/>
      <c r="N419" s="86"/>
    </row>
    <row r="420" spans="1:14" ht="56.25" x14ac:dyDescent="0.25">
      <c r="A420" s="79"/>
      <c r="B420" s="50" t="s">
        <v>495</v>
      </c>
      <c r="C420" s="66">
        <v>87548</v>
      </c>
      <c r="D420" s="53" t="s">
        <v>154</v>
      </c>
      <c r="E420" s="44" t="s">
        <v>17</v>
      </c>
      <c r="F420" s="259"/>
      <c r="G420" s="121"/>
      <c r="H420" s="70"/>
      <c r="I420" s="105"/>
      <c r="J420" s="99">
        <f>'BOLETIM DE MEDIÇÃO 05'!O190-'MEMORIAL DE CALCULO 06'!K420</f>
        <v>6.2000000000011823E-2</v>
      </c>
      <c r="K420" s="351">
        <f>K421</f>
        <v>405.60400000000004</v>
      </c>
      <c r="L420" s="82">
        <f t="shared" ref="L420" si="24">J420+K420</f>
        <v>405.66600000000005</v>
      </c>
      <c r="M420" s="82">
        <f>'BOLETIM DE MEDIÇÃO 05'!G190</f>
        <v>811.27</v>
      </c>
      <c r="N420" s="86">
        <f t="shared" ref="N420" si="25">M420-L420</f>
        <v>405.60399999999993</v>
      </c>
    </row>
    <row r="421" spans="1:14" x14ac:dyDescent="0.25">
      <c r="A421" s="79"/>
      <c r="B421" s="50"/>
      <c r="C421" s="66"/>
      <c r="D421" s="344" t="s">
        <v>960</v>
      </c>
      <c r="E421" s="44"/>
      <c r="F421" s="130">
        <v>2</v>
      </c>
      <c r="G421" s="468">
        <f>65.42</f>
        <v>65.42</v>
      </c>
      <c r="H421" s="471"/>
      <c r="I421" s="105">
        <v>3.1</v>
      </c>
      <c r="J421" s="99"/>
      <c r="K421" s="351">
        <f>F421*G421*I421</f>
        <v>405.60400000000004</v>
      </c>
      <c r="L421" s="82"/>
      <c r="M421" s="82"/>
      <c r="N421" s="86"/>
    </row>
    <row r="422" spans="1:14" ht="14.45" customHeight="1" x14ac:dyDescent="0.25">
      <c r="A422" s="79"/>
      <c r="B422" s="266"/>
      <c r="C422" s="266"/>
      <c r="D422" s="255"/>
      <c r="E422" s="238"/>
      <c r="F422" s="261"/>
      <c r="G422" s="272"/>
      <c r="H422" s="273"/>
      <c r="I422" s="274"/>
      <c r="J422" s="255"/>
      <c r="K422" s="238"/>
      <c r="L422" s="238"/>
      <c r="M422" s="238"/>
      <c r="N422" s="258"/>
    </row>
    <row r="425" spans="1:14" ht="69.599999999999994" hidden="1" customHeight="1" x14ac:dyDescent="0.25">
      <c r="D425" s="278" t="s">
        <v>832</v>
      </c>
      <c r="E425" s="277" t="s">
        <v>41</v>
      </c>
      <c r="F425" s="279"/>
      <c r="G425" s="546" t="s">
        <v>836</v>
      </c>
      <c r="H425" s="547"/>
      <c r="I425" s="548"/>
      <c r="J425" s="279"/>
      <c r="K425" s="280">
        <f>SUM(K428:K432)</f>
        <v>16.472439999999999</v>
      </c>
      <c r="M425" s="282"/>
    </row>
    <row r="426" spans="1:14" ht="14.45" hidden="1" customHeight="1" x14ac:dyDescent="0.25">
      <c r="D426" s="239"/>
      <c r="E426" s="239"/>
      <c r="F426" s="239"/>
      <c r="G426" s="239"/>
      <c r="H426" s="239"/>
      <c r="I426" s="239"/>
      <c r="J426" s="239"/>
      <c r="K426" s="239"/>
    </row>
    <row r="427" spans="1:14" ht="36.6" hidden="1" customHeight="1" x14ac:dyDescent="0.25">
      <c r="D427" s="281"/>
      <c r="E427" s="239"/>
      <c r="F427" s="275" t="s">
        <v>556</v>
      </c>
      <c r="G427" s="276" t="s">
        <v>833</v>
      </c>
      <c r="H427" s="276" t="s">
        <v>834</v>
      </c>
      <c r="I427" s="276" t="s">
        <v>835</v>
      </c>
      <c r="J427" s="239"/>
      <c r="K427" s="239"/>
    </row>
    <row r="428" spans="1:14" ht="14.45" hidden="1" customHeight="1" x14ac:dyDescent="0.25">
      <c r="D428" s="288" t="s">
        <v>879</v>
      </c>
      <c r="E428" s="239"/>
      <c r="F428" s="245">
        <v>1</v>
      </c>
      <c r="G428" s="245">
        <v>12.5</v>
      </c>
      <c r="H428" s="245">
        <v>0.1</v>
      </c>
      <c r="I428" s="245">
        <v>0.36</v>
      </c>
      <c r="J428" s="277"/>
      <c r="K428" s="245">
        <f>((I428+H428/2)*G428)*0.2</f>
        <v>1.0250000000000001</v>
      </c>
    </row>
    <row r="429" spans="1:14" ht="20.45" hidden="1" customHeight="1" x14ac:dyDescent="0.25">
      <c r="D429" s="288" t="s">
        <v>876</v>
      </c>
      <c r="E429" s="239"/>
      <c r="F429" s="245">
        <v>1</v>
      </c>
      <c r="G429" s="245">
        <v>11.67</v>
      </c>
      <c r="H429" s="245">
        <v>0.36</v>
      </c>
      <c r="I429" s="245">
        <v>0.53</v>
      </c>
      <c r="J429" s="277"/>
      <c r="K429" s="245">
        <f t="shared" ref="K429:K432" si="26">((I429+H429/2)*G429)*0.2</f>
        <v>1.6571400000000001</v>
      </c>
    </row>
    <row r="430" spans="1:14" ht="20.45" hidden="1" customHeight="1" x14ac:dyDescent="0.25">
      <c r="D430" s="288" t="s">
        <v>880</v>
      </c>
      <c r="E430" s="239"/>
      <c r="F430" s="245">
        <v>1</v>
      </c>
      <c r="G430" s="245">
        <v>27.1</v>
      </c>
      <c r="H430" s="245">
        <v>0.53</v>
      </c>
      <c r="I430" s="245">
        <v>0.74</v>
      </c>
      <c r="J430" s="277"/>
      <c r="K430" s="245">
        <f t="shared" si="26"/>
        <v>5.4470999999999998</v>
      </c>
    </row>
    <row r="431" spans="1:14" ht="30.6" hidden="1" customHeight="1" x14ac:dyDescent="0.25">
      <c r="D431" s="288" t="s">
        <v>881</v>
      </c>
      <c r="E431" s="239"/>
      <c r="F431" s="245">
        <v>1</v>
      </c>
      <c r="G431" s="245">
        <v>33.9</v>
      </c>
      <c r="H431" s="245">
        <v>0.74</v>
      </c>
      <c r="I431" s="245">
        <v>0.61</v>
      </c>
      <c r="J431" s="277"/>
      <c r="K431" s="245">
        <f t="shared" si="26"/>
        <v>6.644400000000001</v>
      </c>
    </row>
    <row r="432" spans="1:14" ht="20.45" hidden="1" customHeight="1" x14ac:dyDescent="0.25">
      <c r="D432" s="288" t="s">
        <v>882</v>
      </c>
      <c r="E432" s="239"/>
      <c r="F432" s="245">
        <v>1</v>
      </c>
      <c r="G432" s="245">
        <v>12.4</v>
      </c>
      <c r="H432" s="245">
        <v>0.61</v>
      </c>
      <c r="I432" s="245">
        <v>0.38</v>
      </c>
      <c r="J432" s="277"/>
      <c r="K432" s="245">
        <f t="shared" si="26"/>
        <v>1.6988000000000003</v>
      </c>
    </row>
    <row r="435" spans="7:7" x14ac:dyDescent="0.25">
      <c r="G435" s="330"/>
    </row>
  </sheetData>
  <mergeCells count="260">
    <mergeCell ref="G421:H421"/>
    <mergeCell ref="G425:I425"/>
    <mergeCell ref="G397:I397"/>
    <mergeCell ref="G399:I399"/>
    <mergeCell ref="G406:I406"/>
    <mergeCell ref="G408:I408"/>
    <mergeCell ref="G411:I411"/>
    <mergeCell ref="G414:I414"/>
    <mergeCell ref="G419:I419"/>
    <mergeCell ref="G395:I395"/>
    <mergeCell ref="G401:I401"/>
    <mergeCell ref="G404:I404"/>
    <mergeCell ref="G387:I387"/>
    <mergeCell ref="G389:I389"/>
    <mergeCell ref="G391:I391"/>
    <mergeCell ref="G393:I393"/>
    <mergeCell ref="G379:H379"/>
    <mergeCell ref="G380:H380"/>
    <mergeCell ref="G385:I385"/>
    <mergeCell ref="G402:I402"/>
    <mergeCell ref="G373:H373"/>
    <mergeCell ref="G374:H374"/>
    <mergeCell ref="G375:H375"/>
    <mergeCell ref="G376:H376"/>
    <mergeCell ref="G377:H377"/>
    <mergeCell ref="G378:H378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5:H355"/>
    <mergeCell ref="G356:H356"/>
    <mergeCell ref="G357:H357"/>
    <mergeCell ref="G358:H358"/>
    <mergeCell ref="G359:H359"/>
    <mergeCell ref="G360:H360"/>
    <mergeCell ref="G341:I341"/>
    <mergeCell ref="G350:H350"/>
    <mergeCell ref="G351:H351"/>
    <mergeCell ref="G352:H352"/>
    <mergeCell ref="G353:H353"/>
    <mergeCell ref="G354:H354"/>
    <mergeCell ref="G335:H335"/>
    <mergeCell ref="G336:H336"/>
    <mergeCell ref="G337:H337"/>
    <mergeCell ref="G338:H338"/>
    <mergeCell ref="G339:I339"/>
    <mergeCell ref="G340:I340"/>
    <mergeCell ref="G329:H329"/>
    <mergeCell ref="G330:I330"/>
    <mergeCell ref="G331:H331"/>
    <mergeCell ref="G332:H332"/>
    <mergeCell ref="G333:H333"/>
    <mergeCell ref="G334:H334"/>
    <mergeCell ref="G323:H323"/>
    <mergeCell ref="G324:H324"/>
    <mergeCell ref="G325:H325"/>
    <mergeCell ref="G326:H326"/>
    <mergeCell ref="G327:H327"/>
    <mergeCell ref="G328:H328"/>
    <mergeCell ref="G317:H317"/>
    <mergeCell ref="G318:H318"/>
    <mergeCell ref="G319:H319"/>
    <mergeCell ref="G320:H320"/>
    <mergeCell ref="G321:H321"/>
    <mergeCell ref="G322:H322"/>
    <mergeCell ref="G311:H311"/>
    <mergeCell ref="G312:H312"/>
    <mergeCell ref="G313:H313"/>
    <mergeCell ref="G314:H314"/>
    <mergeCell ref="G315:H315"/>
    <mergeCell ref="G316:H316"/>
    <mergeCell ref="G303:I303"/>
    <mergeCell ref="G306:H306"/>
    <mergeCell ref="G307:H307"/>
    <mergeCell ref="G308:H308"/>
    <mergeCell ref="G309:H309"/>
    <mergeCell ref="G310:H310"/>
    <mergeCell ref="G296:H296"/>
    <mergeCell ref="G297:H297"/>
    <mergeCell ref="G298:H298"/>
    <mergeCell ref="G299:H299"/>
    <mergeCell ref="G300:H300"/>
    <mergeCell ref="G301:H301"/>
    <mergeCell ref="G290:H290"/>
    <mergeCell ref="G291:H291"/>
    <mergeCell ref="G292:H292"/>
    <mergeCell ref="G293:H293"/>
    <mergeCell ref="G294:I294"/>
    <mergeCell ref="G295:H295"/>
    <mergeCell ref="G284:H284"/>
    <mergeCell ref="G285:H285"/>
    <mergeCell ref="G286:H286"/>
    <mergeCell ref="G287:H287"/>
    <mergeCell ref="G288:H288"/>
    <mergeCell ref="G289:H289"/>
    <mergeCell ref="G278:H278"/>
    <mergeCell ref="G279:H279"/>
    <mergeCell ref="G280:H280"/>
    <mergeCell ref="G281:H281"/>
    <mergeCell ref="G282:H282"/>
    <mergeCell ref="G283:H283"/>
    <mergeCell ref="G272:H272"/>
    <mergeCell ref="G273:H273"/>
    <mergeCell ref="G274:H274"/>
    <mergeCell ref="G275:H275"/>
    <mergeCell ref="G276:H276"/>
    <mergeCell ref="G277:H277"/>
    <mergeCell ref="G266:H266"/>
    <mergeCell ref="G267:H267"/>
    <mergeCell ref="G268:H268"/>
    <mergeCell ref="G269:H269"/>
    <mergeCell ref="G270:H270"/>
    <mergeCell ref="G271:H271"/>
    <mergeCell ref="G260:I260"/>
    <mergeCell ref="G261:I261"/>
    <mergeCell ref="G262:I262"/>
    <mergeCell ref="G263:H263"/>
    <mergeCell ref="G264:H264"/>
    <mergeCell ref="G265:H265"/>
    <mergeCell ref="G247:H247"/>
    <mergeCell ref="G248:I248"/>
    <mergeCell ref="G249:I249"/>
    <mergeCell ref="G257:I257"/>
    <mergeCell ref="G258:I258"/>
    <mergeCell ref="G259:I259"/>
    <mergeCell ref="G241:H241"/>
    <mergeCell ref="G242:H242"/>
    <mergeCell ref="G243:H243"/>
    <mergeCell ref="G244:H244"/>
    <mergeCell ref="G245:H245"/>
    <mergeCell ref="G246:H246"/>
    <mergeCell ref="G235:H235"/>
    <mergeCell ref="G236:H236"/>
    <mergeCell ref="G237:H237"/>
    <mergeCell ref="G238:H238"/>
    <mergeCell ref="G239:H239"/>
    <mergeCell ref="G240:H240"/>
    <mergeCell ref="G229:H229"/>
    <mergeCell ref="G230:H230"/>
    <mergeCell ref="G231:H231"/>
    <mergeCell ref="G232:H232"/>
    <mergeCell ref="G233:H233"/>
    <mergeCell ref="G234:H234"/>
    <mergeCell ref="G223:H223"/>
    <mergeCell ref="G224:H224"/>
    <mergeCell ref="G225:H225"/>
    <mergeCell ref="G226:H226"/>
    <mergeCell ref="G227:H227"/>
    <mergeCell ref="G228:H228"/>
    <mergeCell ref="G217:H217"/>
    <mergeCell ref="G218:H218"/>
    <mergeCell ref="G219:H219"/>
    <mergeCell ref="G220:H220"/>
    <mergeCell ref="G221:H221"/>
    <mergeCell ref="G222:H222"/>
    <mergeCell ref="G204:H204"/>
    <mergeCell ref="G205:H205"/>
    <mergeCell ref="G206:H206"/>
    <mergeCell ref="G207:H207"/>
    <mergeCell ref="G208:I208"/>
    <mergeCell ref="G209:I209"/>
    <mergeCell ref="G197:H197"/>
    <mergeCell ref="G198:H198"/>
    <mergeCell ref="G199:H199"/>
    <mergeCell ref="G201:H201"/>
    <mergeCell ref="G202:H202"/>
    <mergeCell ref="G203:H203"/>
    <mergeCell ref="G191:H191"/>
    <mergeCell ref="G192:H192"/>
    <mergeCell ref="G193:H193"/>
    <mergeCell ref="G194:H194"/>
    <mergeCell ref="G195:H195"/>
    <mergeCell ref="G196:H196"/>
    <mergeCell ref="G185:H185"/>
    <mergeCell ref="G186:H186"/>
    <mergeCell ref="G187:H187"/>
    <mergeCell ref="G188:H188"/>
    <mergeCell ref="G189:H189"/>
    <mergeCell ref="G190:H190"/>
    <mergeCell ref="G179:H179"/>
    <mergeCell ref="G180:H180"/>
    <mergeCell ref="G181:H181"/>
    <mergeCell ref="G182:H182"/>
    <mergeCell ref="G183:H183"/>
    <mergeCell ref="G184:H184"/>
    <mergeCell ref="G173:I173"/>
    <mergeCell ref="G174:H174"/>
    <mergeCell ref="G175:H175"/>
    <mergeCell ref="G176:H176"/>
    <mergeCell ref="G177:H177"/>
    <mergeCell ref="G178:H178"/>
    <mergeCell ref="G104:H104"/>
    <mergeCell ref="G105:H105"/>
    <mergeCell ref="G106:H106"/>
    <mergeCell ref="G107:H107"/>
    <mergeCell ref="G108:I108"/>
    <mergeCell ref="G172:I172"/>
    <mergeCell ref="G98:H98"/>
    <mergeCell ref="G99:H99"/>
    <mergeCell ref="G100:H100"/>
    <mergeCell ref="G101:H101"/>
    <mergeCell ref="G102:H102"/>
    <mergeCell ref="G103:H103"/>
    <mergeCell ref="G92:H92"/>
    <mergeCell ref="G93:H93"/>
    <mergeCell ref="G94:H94"/>
    <mergeCell ref="G95:H95"/>
    <mergeCell ref="G96:H96"/>
    <mergeCell ref="G97:H97"/>
    <mergeCell ref="G86:H86"/>
    <mergeCell ref="G87:H87"/>
    <mergeCell ref="G88:H88"/>
    <mergeCell ref="G89:H89"/>
    <mergeCell ref="G90:H90"/>
    <mergeCell ref="G91:H91"/>
    <mergeCell ref="G80:H80"/>
    <mergeCell ref="G81:H81"/>
    <mergeCell ref="G82:H82"/>
    <mergeCell ref="G83:H83"/>
    <mergeCell ref="G84:H84"/>
    <mergeCell ref="G85:H85"/>
    <mergeCell ref="G74:H74"/>
    <mergeCell ref="G75:H75"/>
    <mergeCell ref="G76:H76"/>
    <mergeCell ref="G77:H77"/>
    <mergeCell ref="G78:H78"/>
    <mergeCell ref="G79:H79"/>
    <mergeCell ref="G20:I20"/>
    <mergeCell ref="G22:I22"/>
    <mergeCell ref="F70:F71"/>
    <mergeCell ref="G70:I71"/>
    <mergeCell ref="G72:I72"/>
    <mergeCell ref="G73:H73"/>
    <mergeCell ref="J8:M8"/>
    <mergeCell ref="B10:B11"/>
    <mergeCell ref="C10:C11"/>
    <mergeCell ref="D10:D11"/>
    <mergeCell ref="E10:E11"/>
    <mergeCell ref="F10:F11"/>
    <mergeCell ref="G10:I10"/>
    <mergeCell ref="J10:N10"/>
    <mergeCell ref="B2:N2"/>
    <mergeCell ref="N3:N8"/>
    <mergeCell ref="B4:H4"/>
    <mergeCell ref="J4:M4"/>
    <mergeCell ref="B6:D6"/>
    <mergeCell ref="E6:H6"/>
    <mergeCell ref="I6:M6"/>
    <mergeCell ref="B8:C8"/>
    <mergeCell ref="E8:G8"/>
    <mergeCell ref="H8:I8"/>
  </mergeCells>
  <pageMargins left="0.511811024" right="0.511811024" top="0.78740157499999996" bottom="0.78740157499999996" header="0.31496062000000002" footer="0.31496062000000002"/>
  <pageSetup paperSize="9" scale="68" fitToHeight="0" orientation="landscape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Z200"/>
  <sheetViews>
    <sheetView zoomScale="71" zoomScaleNormal="40" workbookViewId="0">
      <selection activeCell="M54" sqref="M54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966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v>45453</v>
      </c>
      <c r="C8" s="498"/>
      <c r="D8" s="23" t="s">
        <v>957</v>
      </c>
      <c r="E8" s="499">
        <f>'BOLETIM DE MEDIÇÃO 12'!AB209</f>
        <v>70347.038280000008</v>
      </c>
      <c r="F8" s="500"/>
      <c r="G8" s="501"/>
      <c r="H8" s="502">
        <f>'BOLETIM DE MEDIÇÃO 05'!H8</f>
        <v>274592.67562904983</v>
      </c>
      <c r="I8" s="503"/>
      <c r="J8" s="503"/>
      <c r="K8" s="503"/>
      <c r="L8" s="503"/>
      <c r="M8" s="503"/>
      <c r="N8" s="503"/>
      <c r="O8" s="503"/>
      <c r="P8" s="519"/>
      <c r="Q8" s="504" t="s">
        <v>955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53C01-0832-4A1C-89A2-B1B202E1AE62}">
  <sheetPr>
    <pageSetUpPr fitToPage="1"/>
  </sheetPr>
  <dimension ref="B1:Z200"/>
  <sheetViews>
    <sheetView topLeftCell="B1" zoomScale="69" zoomScaleNormal="86" zoomScalePageLayoutView="47" workbookViewId="0">
      <selection activeCell="Q47" sqref="Q47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1007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/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f>'BOLETIM DE MEDIÇÃO 12'!B8:C8</f>
        <v>45985</v>
      </c>
      <c r="C8" s="498"/>
      <c r="D8" s="23" t="str">
        <f>'BOLETIM DE MEDIÇÃO 12'!D8</f>
        <v>27/09/2025 a 24/11/2025</v>
      </c>
      <c r="E8" s="499">
        <f>'BOLETIM DE MEDIÇÃO 12'!E8</f>
        <v>42245.579999999994</v>
      </c>
      <c r="F8" s="500"/>
      <c r="G8" s="501"/>
      <c r="H8" s="141">
        <f>'BOLETIM DE MEDIÇÃO 12'!P8</f>
        <v>815893.51710544969</v>
      </c>
      <c r="I8" s="142"/>
      <c r="J8" s="142"/>
      <c r="K8" s="142"/>
      <c r="L8" s="142"/>
      <c r="M8" s="142"/>
      <c r="N8" s="142"/>
      <c r="O8" s="142"/>
      <c r="P8" s="410"/>
      <c r="Q8" s="504" t="s">
        <v>1006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1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5902-4C10-42F9-8C95-CB7CE1B92ADA}">
  <sheetPr>
    <pageSetUpPr fitToPage="1"/>
  </sheetPr>
  <dimension ref="B1:Z200"/>
  <sheetViews>
    <sheetView zoomScale="70" zoomScaleNormal="70" zoomScalePageLayoutView="47" workbookViewId="0">
      <selection activeCell="P42" sqref="P42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992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f>'BOLETIM DE MEDIÇÃO 12'!B8:C8</f>
        <v>45985</v>
      </c>
      <c r="C8" s="498"/>
      <c r="D8" s="23" t="str">
        <f>'BOLETIM DE MEDIÇÃO 12'!D8</f>
        <v>27/09/2025 a 24/11/2025</v>
      </c>
      <c r="E8" s="499">
        <f>'BOLETIM DE MEDIÇÃO 12'!E8</f>
        <v>42245.579999999994</v>
      </c>
      <c r="F8" s="500"/>
      <c r="G8" s="501"/>
      <c r="H8" s="502">
        <f>'BOLETIM DE MEDIÇÃO 05'!H8</f>
        <v>274592.67562904983</v>
      </c>
      <c r="I8" s="503"/>
      <c r="J8" s="503"/>
      <c r="K8" s="503"/>
      <c r="L8" s="503"/>
      <c r="M8" s="503"/>
      <c r="N8" s="503"/>
      <c r="O8" s="503"/>
      <c r="P8" s="519"/>
      <c r="Q8" s="504" t="s">
        <v>987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0CD39-9923-4D8D-A717-9F4D546EE60D}">
  <sheetPr>
    <pageSetUpPr fitToPage="1"/>
  </sheetPr>
  <dimension ref="B1:Z200"/>
  <sheetViews>
    <sheetView zoomScale="57" zoomScaleNormal="104" workbookViewId="0">
      <selection activeCell="I48" sqref="I48"/>
    </sheetView>
  </sheetViews>
  <sheetFormatPr defaultRowHeight="15" x14ac:dyDescent="0.25"/>
  <cols>
    <col min="2" max="2" width="6.28515625" customWidth="1"/>
    <col min="3" max="3" width="10.7109375" customWidth="1"/>
    <col min="4" max="4" width="47.5703125" customWidth="1"/>
    <col min="8" max="8" width="25.28515625" bestFit="1" customWidth="1"/>
    <col min="9" max="14" width="8.85546875" customWidth="1"/>
    <col min="15" max="15" width="23.5703125" bestFit="1" customWidth="1"/>
    <col min="16" max="16" width="10.85546875" bestFit="1" customWidth="1"/>
    <col min="17" max="17" width="22.42578125" bestFit="1" customWidth="1"/>
    <col min="18" max="18" width="13.7109375" customWidth="1"/>
    <col min="19" max="24" width="8.85546875" hidden="1" customWidth="1"/>
    <col min="25" max="25" width="18.5703125" customWidth="1"/>
    <col min="26" max="26" width="17.28515625" bestFit="1" customWidth="1"/>
  </cols>
  <sheetData>
    <row r="1" spans="2:26" ht="15.75" thickBot="1" x14ac:dyDescent="0.3"/>
    <row r="2" spans="2:26" ht="21" thickBot="1" x14ac:dyDescent="0.3">
      <c r="B2" s="483" t="s">
        <v>985</v>
      </c>
      <c r="C2" s="484"/>
      <c r="D2" s="484"/>
      <c r="E2" s="484"/>
      <c r="F2" s="484"/>
      <c r="G2" s="484"/>
      <c r="H2" s="484"/>
      <c r="I2" s="484"/>
      <c r="J2" s="484"/>
      <c r="K2" s="484"/>
      <c r="L2" s="484"/>
      <c r="M2" s="484"/>
      <c r="N2" s="484"/>
      <c r="O2" s="484"/>
      <c r="P2" s="484"/>
      <c r="Q2" s="484"/>
      <c r="R2" s="484"/>
      <c r="S2" s="484"/>
      <c r="T2" s="484"/>
      <c r="U2" s="484"/>
      <c r="V2" s="484"/>
      <c r="W2" s="484"/>
      <c r="X2" s="484"/>
      <c r="Y2" s="484"/>
      <c r="Z2" s="485"/>
    </row>
    <row r="3" spans="2:26" x14ac:dyDescent="0.25">
      <c r="B3" s="11" t="s">
        <v>511</v>
      </c>
      <c r="C3" s="12"/>
      <c r="D3" s="12"/>
      <c r="E3" s="12"/>
      <c r="F3" s="12"/>
      <c r="G3" s="12"/>
      <c r="H3" s="13"/>
      <c r="I3" s="13"/>
      <c r="J3" s="14"/>
      <c r="K3" s="13"/>
      <c r="L3" s="13"/>
      <c r="M3" s="13"/>
      <c r="N3" s="12"/>
      <c r="O3" s="13" t="s">
        <v>512</v>
      </c>
      <c r="P3" s="13" t="s">
        <v>513</v>
      </c>
      <c r="Q3" s="15" t="s">
        <v>514</v>
      </c>
      <c r="R3" s="15"/>
      <c r="S3" s="15"/>
      <c r="T3" s="15"/>
      <c r="U3" s="15"/>
      <c r="V3" s="15"/>
      <c r="W3" s="15"/>
      <c r="X3" s="15"/>
      <c r="Y3" s="516"/>
      <c r="Z3" s="486"/>
    </row>
    <row r="4" spans="2:26" ht="16.5" x14ac:dyDescent="0.25">
      <c r="B4" s="489" t="s">
        <v>542</v>
      </c>
      <c r="C4" s="490"/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16" t="s">
        <v>544</v>
      </c>
      <c r="P4" s="80" t="s">
        <v>555</v>
      </c>
      <c r="Q4" s="491">
        <v>1240378.43</v>
      </c>
      <c r="R4" s="492"/>
      <c r="S4" s="492"/>
      <c r="T4" s="492"/>
      <c r="U4" s="492"/>
      <c r="V4" s="492"/>
      <c r="W4" s="492"/>
      <c r="X4" s="492"/>
      <c r="Y4" s="517"/>
      <c r="Z4" s="487"/>
    </row>
    <row r="5" spans="2:26" x14ac:dyDescent="0.25">
      <c r="B5" s="17" t="s">
        <v>515</v>
      </c>
      <c r="C5" s="18"/>
      <c r="D5" s="18"/>
      <c r="E5" s="19" t="s">
        <v>516</v>
      </c>
      <c r="F5" s="19"/>
      <c r="G5" s="18"/>
      <c r="H5" s="19"/>
      <c r="I5" s="19"/>
      <c r="J5" s="20"/>
      <c r="K5" s="19"/>
      <c r="L5" s="19"/>
      <c r="M5" s="19"/>
      <c r="N5" s="18"/>
      <c r="O5" s="19" t="s">
        <v>517</v>
      </c>
      <c r="P5" s="19"/>
      <c r="Q5" s="21"/>
      <c r="R5" s="21"/>
      <c r="S5" s="21"/>
      <c r="T5" s="21"/>
      <c r="U5" s="21"/>
      <c r="V5" s="21"/>
      <c r="W5" s="21"/>
      <c r="X5" s="21"/>
      <c r="Y5" s="517"/>
      <c r="Z5" s="487"/>
    </row>
    <row r="6" spans="2:26" ht="16.5" x14ac:dyDescent="0.25">
      <c r="B6" s="489" t="s">
        <v>518</v>
      </c>
      <c r="C6" s="490"/>
      <c r="D6" s="493"/>
      <c r="E6" s="494" t="s">
        <v>519</v>
      </c>
      <c r="F6" s="490"/>
      <c r="G6" s="490"/>
      <c r="H6" s="490"/>
      <c r="I6" s="490"/>
      <c r="J6" s="490"/>
      <c r="K6" s="490"/>
      <c r="L6" s="490"/>
      <c r="M6" s="490"/>
      <c r="N6" s="490"/>
      <c r="O6" s="495" t="s">
        <v>592</v>
      </c>
      <c r="P6" s="496"/>
      <c r="Q6" s="496"/>
      <c r="R6" s="496"/>
      <c r="S6" s="496"/>
      <c r="T6" s="496"/>
      <c r="U6" s="496"/>
      <c r="V6" s="496"/>
      <c r="W6" s="496"/>
      <c r="X6" s="496"/>
      <c r="Y6" s="517"/>
      <c r="Z6" s="487"/>
    </row>
    <row r="7" spans="2:26" x14ac:dyDescent="0.25">
      <c r="B7" s="17" t="s">
        <v>520</v>
      </c>
      <c r="C7" s="18"/>
      <c r="D7" s="19" t="s">
        <v>521</v>
      </c>
      <c r="E7" s="19" t="s">
        <v>522</v>
      </c>
      <c r="F7" s="19"/>
      <c r="G7" s="18"/>
      <c r="H7" s="19" t="s">
        <v>523</v>
      </c>
      <c r="I7" s="19"/>
      <c r="J7" s="22" t="s">
        <v>523</v>
      </c>
      <c r="K7" s="19"/>
      <c r="L7" s="19"/>
      <c r="M7" s="19"/>
      <c r="N7" s="18"/>
      <c r="O7" s="19"/>
      <c r="P7" s="19"/>
      <c r="Q7" s="21" t="s">
        <v>524</v>
      </c>
      <c r="R7" s="21"/>
      <c r="S7" s="21"/>
      <c r="T7" s="21"/>
      <c r="U7" s="21"/>
      <c r="V7" s="21"/>
      <c r="W7" s="21"/>
      <c r="X7" s="21"/>
      <c r="Y7" s="517"/>
      <c r="Z7" s="487"/>
    </row>
    <row r="8" spans="2:26" ht="17.25" thickBot="1" x14ac:dyDescent="0.3">
      <c r="B8" s="497">
        <f>'BOLETIM DE MEDIÇÃO 12'!B8:C8</f>
        <v>45985</v>
      </c>
      <c r="C8" s="498"/>
      <c r="D8" s="23" t="str">
        <f>'BOLETIM DE MEDIÇÃO 12'!D8</f>
        <v>27/09/2025 a 24/11/2025</v>
      </c>
      <c r="E8" s="499">
        <f>'BOLETIM DE MEDIÇÃO 12'!E8</f>
        <v>42245.579999999994</v>
      </c>
      <c r="F8" s="500"/>
      <c r="G8" s="501"/>
      <c r="H8" s="502">
        <f>'BOLETIM DE MEDIÇÃO 05'!H8</f>
        <v>274592.67562904983</v>
      </c>
      <c r="I8" s="503"/>
      <c r="J8" s="503"/>
      <c r="K8" s="503"/>
      <c r="L8" s="503"/>
      <c r="M8" s="503"/>
      <c r="N8" s="503"/>
      <c r="O8" s="503"/>
      <c r="P8" s="519"/>
      <c r="Q8" s="504" t="s">
        <v>965</v>
      </c>
      <c r="R8" s="505"/>
      <c r="S8" s="505"/>
      <c r="T8" s="505"/>
      <c r="U8" s="505"/>
      <c r="V8" s="505"/>
      <c r="W8" s="505"/>
      <c r="X8" s="505"/>
      <c r="Y8" s="518"/>
      <c r="Z8" s="488"/>
    </row>
    <row r="9" spans="2:26" ht="23.25" thickBot="1" x14ac:dyDescent="0.3">
      <c r="B9" s="24"/>
      <c r="C9" s="25" t="s">
        <v>525</v>
      </c>
      <c r="D9" s="26"/>
      <c r="E9" s="26"/>
      <c r="F9" s="26"/>
      <c r="G9" s="26"/>
      <c r="H9" s="26"/>
      <c r="I9" s="26"/>
      <c r="J9" s="27"/>
      <c r="K9" s="26"/>
      <c r="L9" s="26"/>
      <c r="M9" s="26"/>
      <c r="N9" s="26"/>
      <c r="O9" s="26"/>
      <c r="P9" s="26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2:26" ht="14.45" customHeight="1" thickBot="1" x14ac:dyDescent="0.3">
      <c r="B10" s="514" t="s">
        <v>565</v>
      </c>
      <c r="C10" s="515"/>
      <c r="D10" s="515"/>
      <c r="E10" s="515"/>
      <c r="F10" s="515"/>
      <c r="G10" s="515"/>
      <c r="H10" s="515"/>
      <c r="I10" s="515"/>
      <c r="J10" s="515"/>
      <c r="K10" s="515"/>
      <c r="L10" s="515"/>
      <c r="M10" s="515"/>
      <c r="N10" s="515"/>
      <c r="O10" s="515"/>
      <c r="P10" s="515"/>
      <c r="Q10" s="515"/>
      <c r="R10" s="515"/>
      <c r="S10" s="515"/>
      <c r="T10" s="515"/>
      <c r="U10" s="515"/>
      <c r="V10" s="515"/>
      <c r="W10" s="515"/>
      <c r="X10" s="515"/>
      <c r="Y10" s="515"/>
      <c r="Z10" s="515"/>
    </row>
    <row r="11" spans="2:26" ht="10.9" customHeight="1" thickBot="1" x14ac:dyDescent="0.3">
      <c r="B11" s="515"/>
      <c r="C11" s="515"/>
      <c r="D11" s="515"/>
      <c r="E11" s="515"/>
      <c r="F11" s="515"/>
      <c r="G11" s="515"/>
      <c r="H11" s="515"/>
      <c r="I11" s="515"/>
      <c r="J11" s="515"/>
      <c r="K11" s="515"/>
      <c r="L11" s="515"/>
      <c r="M11" s="515"/>
      <c r="N11" s="515"/>
      <c r="O11" s="515"/>
      <c r="P11" s="515"/>
      <c r="Q11" s="515"/>
      <c r="R11" s="515"/>
      <c r="S11" s="515"/>
      <c r="T11" s="515"/>
      <c r="U11" s="515"/>
      <c r="V11" s="515"/>
      <c r="W11" s="515"/>
      <c r="X11" s="515"/>
      <c r="Y11" s="515"/>
      <c r="Z11" s="515"/>
    </row>
    <row r="12" spans="2:26" ht="10.9" customHeight="1" x14ac:dyDescent="0.25"/>
    <row r="13" spans="2:26" ht="10.9" customHeight="1" x14ac:dyDescent="0.25"/>
    <row r="14" spans="2:26" ht="14.45" customHeight="1" x14ac:dyDescent="0.25"/>
    <row r="19" spans="4:4" x14ac:dyDescent="0.25">
      <c r="D19" s="116"/>
    </row>
    <row r="22" spans="4:4" ht="14.45" customHeight="1" x14ac:dyDescent="0.25"/>
    <row r="62" ht="14.45" customHeight="1" x14ac:dyDescent="0.25"/>
    <row r="83" ht="14.45" customHeight="1" x14ac:dyDescent="0.25"/>
    <row r="91" ht="14.45" customHeight="1" x14ac:dyDescent="0.25"/>
    <row r="139" ht="14.45" customHeight="1" x14ac:dyDescent="0.25"/>
    <row r="162" ht="14.45" customHeight="1" x14ac:dyDescent="0.25"/>
    <row r="175" ht="14.45" customHeight="1" x14ac:dyDescent="0.25"/>
    <row r="195" ht="14.45" customHeight="1" x14ac:dyDescent="0.25"/>
    <row r="200" ht="24" customHeight="1" x14ac:dyDescent="0.25"/>
  </sheetData>
  <mergeCells count="12">
    <mergeCell ref="Q8:X8"/>
    <mergeCell ref="B10:Z11"/>
    <mergeCell ref="B2:Z2"/>
    <mergeCell ref="Y3:Z8"/>
    <mergeCell ref="B4:N4"/>
    <mergeCell ref="Q4:X4"/>
    <mergeCell ref="B6:D6"/>
    <mergeCell ref="E6:N6"/>
    <mergeCell ref="O6:X6"/>
    <mergeCell ref="B8:C8"/>
    <mergeCell ref="E8:G8"/>
    <mergeCell ref="H8:P8"/>
  </mergeCells>
  <pageMargins left="0.511811024" right="0.511811024" top="0.78740157499999996" bottom="0.78740157499999996" header="0.31496062000000002" footer="0.31496062000000002"/>
  <pageSetup paperSize="9" scale="49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H190"/>
  <sheetViews>
    <sheetView topLeftCell="A37" zoomScale="137" workbookViewId="0">
      <selection activeCell="J47" sqref="J47"/>
    </sheetView>
  </sheetViews>
  <sheetFormatPr defaultRowHeight="15" x14ac:dyDescent="0.25"/>
  <cols>
    <col min="1" max="1" width="7.42578125" customWidth="1"/>
    <col min="2" max="2" width="8.28515625" customWidth="1"/>
    <col min="3" max="3" width="34.140625" bestFit="1"/>
    <col min="4" max="4" width="7.42578125" customWidth="1"/>
    <col min="5" max="5" width="6.7109375" customWidth="1"/>
    <col min="6" max="6" width="8.28515625" customWidth="1"/>
    <col min="7" max="7" width="10" customWidth="1"/>
    <col min="8" max="8" width="13.28515625" customWidth="1"/>
  </cols>
  <sheetData>
    <row r="1" spans="1:8" ht="85.9" customHeight="1" x14ac:dyDescent="0.25">
      <c r="A1" s="598"/>
      <c r="B1" s="598"/>
      <c r="C1" s="598"/>
      <c r="D1" s="598"/>
      <c r="E1" s="598"/>
      <c r="F1" s="598"/>
      <c r="G1" s="598"/>
      <c r="H1" s="598"/>
    </row>
    <row r="2" spans="1:8" ht="10.15" customHeight="1" x14ac:dyDescent="0.25">
      <c r="A2" s="1"/>
      <c r="B2" s="599" t="s">
        <v>0</v>
      </c>
      <c r="C2" s="599"/>
      <c r="D2" s="599"/>
      <c r="E2" s="599"/>
      <c r="F2" s="599"/>
      <c r="G2" s="599"/>
      <c r="H2" s="1"/>
    </row>
    <row r="3" spans="1:8" ht="22.1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9.899999999999999" customHeight="1" x14ac:dyDescent="0.25">
      <c r="A4" s="3" t="s">
        <v>9</v>
      </c>
      <c r="B4" s="600" t="s">
        <v>10</v>
      </c>
      <c r="C4" s="600"/>
      <c r="D4" s="600"/>
      <c r="E4" s="600"/>
      <c r="F4" s="600"/>
      <c r="G4" s="600"/>
      <c r="H4" s="4">
        <v>1240378.43</v>
      </c>
    </row>
    <row r="5" spans="1:8" ht="19.899999999999999" customHeight="1" x14ac:dyDescent="0.25">
      <c r="A5" s="3" t="s">
        <v>11</v>
      </c>
      <c r="B5" s="600" t="s">
        <v>12</v>
      </c>
      <c r="C5" s="600"/>
      <c r="D5" s="600"/>
      <c r="E5" s="600"/>
      <c r="F5" s="600"/>
      <c r="G5" s="600"/>
      <c r="H5" s="4">
        <v>44462.31</v>
      </c>
    </row>
    <row r="6" spans="1:8" ht="16.5" x14ac:dyDescent="0.25">
      <c r="A6" s="5" t="s">
        <v>13</v>
      </c>
      <c r="B6" s="6" t="s">
        <v>14</v>
      </c>
      <c r="C6" s="7" t="s">
        <v>15</v>
      </c>
      <c r="D6" s="6" t="s">
        <v>16</v>
      </c>
      <c r="E6" s="6" t="s">
        <v>17</v>
      </c>
      <c r="F6" s="8">
        <v>6</v>
      </c>
      <c r="G6" s="9">
        <v>414.1</v>
      </c>
      <c r="H6" s="10">
        <v>2484.6</v>
      </c>
    </row>
    <row r="7" spans="1:8" ht="16.5" x14ac:dyDescent="0.25">
      <c r="A7" s="5" t="s">
        <v>18</v>
      </c>
      <c r="B7" s="6" t="s">
        <v>19</v>
      </c>
      <c r="C7" s="7" t="s">
        <v>20</v>
      </c>
      <c r="D7" s="6" t="s">
        <v>21</v>
      </c>
      <c r="E7" s="6" t="s">
        <v>17</v>
      </c>
      <c r="F7" s="8">
        <v>5</v>
      </c>
      <c r="G7" s="9">
        <v>947.21</v>
      </c>
      <c r="H7" s="10">
        <v>4736.05</v>
      </c>
    </row>
    <row r="8" spans="1:8" ht="24.75" x14ac:dyDescent="0.25">
      <c r="A8" s="5" t="s">
        <v>22</v>
      </c>
      <c r="B8" s="6">
        <v>93206</v>
      </c>
      <c r="C8" s="7" t="s">
        <v>23</v>
      </c>
      <c r="D8" s="6" t="s">
        <v>21</v>
      </c>
      <c r="E8" s="6" t="s">
        <v>17</v>
      </c>
      <c r="F8" s="8">
        <v>5</v>
      </c>
      <c r="G8" s="9">
        <v>1086.7</v>
      </c>
      <c r="H8" s="10">
        <v>5433.5</v>
      </c>
    </row>
    <row r="9" spans="1:8" ht="16.5" x14ac:dyDescent="0.25">
      <c r="A9" s="5" t="s">
        <v>24</v>
      </c>
      <c r="B9" s="6" t="s">
        <v>25</v>
      </c>
      <c r="C9" s="7" t="s">
        <v>26</v>
      </c>
      <c r="D9" s="6" t="s">
        <v>16</v>
      </c>
      <c r="E9" s="6" t="s">
        <v>17</v>
      </c>
      <c r="F9" s="8">
        <v>277.39999999999998</v>
      </c>
      <c r="G9" s="9">
        <v>102.24</v>
      </c>
      <c r="H9" s="10">
        <v>28361.38</v>
      </c>
    </row>
    <row r="10" spans="1:8" ht="16.5" x14ac:dyDescent="0.25">
      <c r="A10" s="5" t="s">
        <v>27</v>
      </c>
      <c r="B10" s="6">
        <v>98524</v>
      </c>
      <c r="C10" s="7" t="s">
        <v>28</v>
      </c>
      <c r="D10" s="6" t="s">
        <v>21</v>
      </c>
      <c r="E10" s="6" t="s">
        <v>17</v>
      </c>
      <c r="F10" s="8">
        <v>1430.2</v>
      </c>
      <c r="G10" s="9">
        <v>2.29</v>
      </c>
      <c r="H10" s="10">
        <v>3275.16</v>
      </c>
    </row>
    <row r="11" spans="1:8" ht="16.5" x14ac:dyDescent="0.25">
      <c r="A11" s="5" t="s">
        <v>29</v>
      </c>
      <c r="B11" s="6" t="s">
        <v>30</v>
      </c>
      <c r="C11" s="7" t="s">
        <v>31</v>
      </c>
      <c r="D11" s="6" t="s">
        <v>21</v>
      </c>
      <c r="E11" s="6" t="s">
        <v>17</v>
      </c>
      <c r="F11" s="8">
        <v>1430.2</v>
      </c>
      <c r="G11" s="9">
        <v>0.12</v>
      </c>
      <c r="H11" s="10">
        <v>171.62</v>
      </c>
    </row>
    <row r="12" spans="1:8" ht="19.899999999999999" customHeight="1" x14ac:dyDescent="0.25">
      <c r="A12" s="3" t="s">
        <v>32</v>
      </c>
      <c r="B12" s="600" t="s">
        <v>33</v>
      </c>
      <c r="C12" s="600"/>
      <c r="D12" s="600"/>
      <c r="E12" s="600"/>
      <c r="F12" s="600"/>
      <c r="G12" s="600"/>
      <c r="H12" s="4">
        <v>21705.09</v>
      </c>
    </row>
    <row r="13" spans="1:8" ht="24.75" x14ac:dyDescent="0.25">
      <c r="A13" s="5" t="s">
        <v>34</v>
      </c>
      <c r="B13" s="6" t="s">
        <v>35</v>
      </c>
      <c r="C13" s="7" t="s">
        <v>36</v>
      </c>
      <c r="D13" s="6" t="s">
        <v>21</v>
      </c>
      <c r="E13" s="6" t="s">
        <v>37</v>
      </c>
      <c r="F13" s="8">
        <v>137.5</v>
      </c>
      <c r="G13" s="9">
        <v>52.4</v>
      </c>
      <c r="H13" s="10">
        <v>7205</v>
      </c>
    </row>
    <row r="14" spans="1:8" ht="16.5" x14ac:dyDescent="0.25">
      <c r="A14" s="5" t="s">
        <v>38</v>
      </c>
      <c r="B14" s="6" t="s">
        <v>39</v>
      </c>
      <c r="C14" s="7" t="s">
        <v>40</v>
      </c>
      <c r="D14" s="6" t="s">
        <v>21</v>
      </c>
      <c r="E14" s="6" t="s">
        <v>41</v>
      </c>
      <c r="F14" s="8">
        <v>89.01</v>
      </c>
      <c r="G14" s="9">
        <v>64.95</v>
      </c>
      <c r="H14" s="10">
        <v>5781.2</v>
      </c>
    </row>
    <row r="15" spans="1:8" ht="16.5" x14ac:dyDescent="0.25">
      <c r="A15" s="5" t="s">
        <v>42</v>
      </c>
      <c r="B15" s="6" t="s">
        <v>43</v>
      </c>
      <c r="C15" s="7" t="s">
        <v>44</v>
      </c>
      <c r="D15" s="6" t="s">
        <v>21</v>
      </c>
      <c r="E15" s="6" t="s">
        <v>41</v>
      </c>
      <c r="F15" s="8">
        <v>44.26</v>
      </c>
      <c r="G15" s="9">
        <v>39.369999999999997</v>
      </c>
      <c r="H15" s="10">
        <v>1742.52</v>
      </c>
    </row>
    <row r="16" spans="1:8" ht="16.5" x14ac:dyDescent="0.25">
      <c r="A16" s="5" t="s">
        <v>45</v>
      </c>
      <c r="B16" s="6" t="s">
        <v>46</v>
      </c>
      <c r="C16" s="7" t="s">
        <v>47</v>
      </c>
      <c r="D16" s="6" t="s">
        <v>21</v>
      </c>
      <c r="E16" s="6" t="s">
        <v>41</v>
      </c>
      <c r="F16" s="8">
        <v>93.63</v>
      </c>
      <c r="G16" s="9">
        <v>74.510000000000005</v>
      </c>
      <c r="H16" s="10">
        <v>6976.37</v>
      </c>
    </row>
    <row r="17" spans="1:8" ht="19.899999999999999" customHeight="1" x14ac:dyDescent="0.25">
      <c r="A17" s="3" t="s">
        <v>48</v>
      </c>
      <c r="B17" s="600" t="s">
        <v>49</v>
      </c>
      <c r="C17" s="600"/>
      <c r="D17" s="600"/>
      <c r="E17" s="600"/>
      <c r="F17" s="600"/>
      <c r="G17" s="600"/>
      <c r="H17" s="4">
        <v>103558.14</v>
      </c>
    </row>
    <row r="18" spans="1:8" ht="33" x14ac:dyDescent="0.25">
      <c r="A18" s="5" t="s">
        <v>50</v>
      </c>
      <c r="B18" s="6" t="s">
        <v>51</v>
      </c>
      <c r="C18" s="7" t="s">
        <v>52</v>
      </c>
      <c r="D18" s="6" t="s">
        <v>16</v>
      </c>
      <c r="E18" s="6" t="s">
        <v>41</v>
      </c>
      <c r="F18" s="8">
        <v>13.99</v>
      </c>
      <c r="G18" s="9">
        <v>411.48</v>
      </c>
      <c r="H18" s="10">
        <v>5756.61</v>
      </c>
    </row>
    <row r="19" spans="1:8" ht="16.5" x14ac:dyDescent="0.25">
      <c r="A19" s="5" t="s">
        <v>53</v>
      </c>
      <c r="B19" s="6" t="s">
        <v>54</v>
      </c>
      <c r="C19" s="7" t="s">
        <v>55</v>
      </c>
      <c r="D19" s="6" t="s">
        <v>21</v>
      </c>
      <c r="E19" s="6" t="s">
        <v>17</v>
      </c>
      <c r="F19" s="8">
        <v>37.81</v>
      </c>
      <c r="G19" s="9">
        <v>4.91</v>
      </c>
      <c r="H19" s="10">
        <v>185.65</v>
      </c>
    </row>
    <row r="20" spans="1:8" ht="24.75" x14ac:dyDescent="0.25">
      <c r="A20" s="5" t="s">
        <v>56</v>
      </c>
      <c r="B20" s="6" t="s">
        <v>57</v>
      </c>
      <c r="C20" s="7" t="s">
        <v>58</v>
      </c>
      <c r="D20" s="6" t="s">
        <v>21</v>
      </c>
      <c r="E20" s="6" t="s">
        <v>17</v>
      </c>
      <c r="F20" s="8">
        <v>77.41</v>
      </c>
      <c r="G20" s="9">
        <v>30.67</v>
      </c>
      <c r="H20" s="10">
        <v>2374.16</v>
      </c>
    </row>
    <row r="21" spans="1:8" ht="24.75" x14ac:dyDescent="0.25">
      <c r="A21" s="5" t="s">
        <v>59</v>
      </c>
      <c r="B21" s="6" t="s">
        <v>60</v>
      </c>
      <c r="C21" s="7" t="s">
        <v>61</v>
      </c>
      <c r="D21" s="6" t="s">
        <v>21</v>
      </c>
      <c r="E21" s="6" t="s">
        <v>62</v>
      </c>
      <c r="F21" s="8">
        <v>537.29999999999995</v>
      </c>
      <c r="G21" s="9">
        <v>15.99</v>
      </c>
      <c r="H21" s="10">
        <v>8591.43</v>
      </c>
    </row>
    <row r="22" spans="1:8" ht="24.75" x14ac:dyDescent="0.25">
      <c r="A22" s="5" t="s">
        <v>63</v>
      </c>
      <c r="B22" s="6" t="s">
        <v>64</v>
      </c>
      <c r="C22" s="7" t="s">
        <v>65</v>
      </c>
      <c r="D22" s="6" t="s">
        <v>21</v>
      </c>
      <c r="E22" s="6" t="s">
        <v>41</v>
      </c>
      <c r="F22" s="8">
        <v>21.16</v>
      </c>
      <c r="G22" s="9">
        <v>530.88</v>
      </c>
      <c r="H22" s="10">
        <v>11233.42</v>
      </c>
    </row>
    <row r="23" spans="1:8" ht="24.75" x14ac:dyDescent="0.25">
      <c r="A23" s="5" t="s">
        <v>66</v>
      </c>
      <c r="B23" s="6" t="s">
        <v>67</v>
      </c>
      <c r="C23" s="7" t="s">
        <v>68</v>
      </c>
      <c r="D23" s="6" t="s">
        <v>21</v>
      </c>
      <c r="E23" s="6" t="s">
        <v>41</v>
      </c>
      <c r="F23" s="8">
        <v>9.6</v>
      </c>
      <c r="G23" s="9">
        <v>488.69</v>
      </c>
      <c r="H23" s="10">
        <v>4691.42</v>
      </c>
    </row>
    <row r="24" spans="1:8" ht="24.75" x14ac:dyDescent="0.25">
      <c r="A24" s="5" t="s">
        <v>69</v>
      </c>
      <c r="B24" s="6" t="s">
        <v>70</v>
      </c>
      <c r="C24" s="7" t="s">
        <v>71</v>
      </c>
      <c r="D24" s="6" t="s">
        <v>21</v>
      </c>
      <c r="E24" s="6" t="s">
        <v>41</v>
      </c>
      <c r="F24" s="8">
        <v>30.76</v>
      </c>
      <c r="G24" s="9">
        <v>230.55</v>
      </c>
      <c r="H24" s="10">
        <v>7091.72</v>
      </c>
    </row>
    <row r="25" spans="1:8" ht="24.75" x14ac:dyDescent="0.25">
      <c r="A25" s="5" t="s">
        <v>72</v>
      </c>
      <c r="B25" s="6" t="s">
        <v>73</v>
      </c>
      <c r="C25" s="7" t="s">
        <v>74</v>
      </c>
      <c r="D25" s="6" t="s">
        <v>21</v>
      </c>
      <c r="E25" s="6" t="s">
        <v>62</v>
      </c>
      <c r="F25" s="8">
        <v>404.4</v>
      </c>
      <c r="G25" s="9">
        <v>17.5</v>
      </c>
      <c r="H25" s="10">
        <v>7077</v>
      </c>
    </row>
    <row r="26" spans="1:8" ht="24.75" x14ac:dyDescent="0.25">
      <c r="A26" s="5" t="s">
        <v>75</v>
      </c>
      <c r="B26" s="6" t="s">
        <v>76</v>
      </c>
      <c r="C26" s="7" t="s">
        <v>77</v>
      </c>
      <c r="D26" s="6" t="s">
        <v>21</v>
      </c>
      <c r="E26" s="6" t="s">
        <v>62</v>
      </c>
      <c r="F26" s="8">
        <v>295</v>
      </c>
      <c r="G26" s="9">
        <v>16.59</v>
      </c>
      <c r="H26" s="10">
        <v>4894.05</v>
      </c>
    </row>
    <row r="27" spans="1:8" ht="24.75" x14ac:dyDescent="0.25">
      <c r="A27" s="5" t="s">
        <v>78</v>
      </c>
      <c r="B27" s="6" t="s">
        <v>79</v>
      </c>
      <c r="C27" s="7" t="s">
        <v>80</v>
      </c>
      <c r="D27" s="6" t="s">
        <v>21</v>
      </c>
      <c r="E27" s="6" t="s">
        <v>62</v>
      </c>
      <c r="F27" s="8">
        <v>534.1</v>
      </c>
      <c r="G27" s="9">
        <v>14.35</v>
      </c>
      <c r="H27" s="10">
        <v>7664.34</v>
      </c>
    </row>
    <row r="28" spans="1:8" ht="24.75" x14ac:dyDescent="0.25">
      <c r="A28" s="5" t="s">
        <v>81</v>
      </c>
      <c r="B28" s="6" t="s">
        <v>82</v>
      </c>
      <c r="C28" s="7" t="s">
        <v>83</v>
      </c>
      <c r="D28" s="6" t="s">
        <v>21</v>
      </c>
      <c r="E28" s="6" t="s">
        <v>62</v>
      </c>
      <c r="F28" s="8">
        <v>152.9</v>
      </c>
      <c r="G28" s="9">
        <v>11.9</v>
      </c>
      <c r="H28" s="10">
        <v>1819.51</v>
      </c>
    </row>
    <row r="29" spans="1:8" ht="24.75" x14ac:dyDescent="0.25">
      <c r="A29" s="5" t="s">
        <v>84</v>
      </c>
      <c r="B29" s="6" t="s">
        <v>85</v>
      </c>
      <c r="C29" s="7" t="s">
        <v>86</v>
      </c>
      <c r="D29" s="6" t="s">
        <v>21</v>
      </c>
      <c r="E29" s="6" t="s">
        <v>17</v>
      </c>
      <c r="F29" s="8">
        <v>429.83</v>
      </c>
      <c r="G29" s="9">
        <v>69.64</v>
      </c>
      <c r="H29" s="10">
        <v>29933.360000000001</v>
      </c>
    </row>
    <row r="30" spans="1:8" ht="16.5" x14ac:dyDescent="0.25">
      <c r="A30" s="5" t="s">
        <v>87</v>
      </c>
      <c r="B30" s="6" t="s">
        <v>88</v>
      </c>
      <c r="C30" s="7" t="s">
        <v>89</v>
      </c>
      <c r="D30" s="6" t="s">
        <v>21</v>
      </c>
      <c r="E30" s="6" t="s">
        <v>17</v>
      </c>
      <c r="F30" s="8">
        <v>253.95</v>
      </c>
      <c r="G30" s="9">
        <v>48.22</v>
      </c>
      <c r="H30" s="10">
        <v>12245.47</v>
      </c>
    </row>
    <row r="31" spans="1:8" ht="19.899999999999999" customHeight="1" x14ac:dyDescent="0.25">
      <c r="A31" s="3" t="s">
        <v>90</v>
      </c>
      <c r="B31" s="600" t="s">
        <v>91</v>
      </c>
      <c r="C31" s="600"/>
      <c r="D31" s="600"/>
      <c r="E31" s="600"/>
      <c r="F31" s="600"/>
      <c r="G31" s="600"/>
      <c r="H31" s="4">
        <v>156522.69</v>
      </c>
    </row>
    <row r="32" spans="1:8" ht="33" x14ac:dyDescent="0.25">
      <c r="A32" s="5" t="s">
        <v>92</v>
      </c>
      <c r="B32" s="6" t="s">
        <v>93</v>
      </c>
      <c r="C32" s="7" t="s">
        <v>94</v>
      </c>
      <c r="D32" s="6" t="s">
        <v>21</v>
      </c>
      <c r="E32" s="6" t="s">
        <v>17</v>
      </c>
      <c r="F32" s="8">
        <v>408.7</v>
      </c>
      <c r="G32" s="9">
        <v>40.35</v>
      </c>
      <c r="H32" s="10">
        <v>16491.05</v>
      </c>
    </row>
    <row r="33" spans="1:8" ht="33" x14ac:dyDescent="0.25">
      <c r="A33" s="5" t="s">
        <v>95</v>
      </c>
      <c r="B33" s="6" t="s">
        <v>96</v>
      </c>
      <c r="C33" s="7" t="s">
        <v>97</v>
      </c>
      <c r="D33" s="6" t="s">
        <v>21</v>
      </c>
      <c r="E33" s="6" t="s">
        <v>17</v>
      </c>
      <c r="F33" s="8">
        <v>435.33</v>
      </c>
      <c r="G33" s="9">
        <v>62.17</v>
      </c>
      <c r="H33" s="10">
        <v>27064.47</v>
      </c>
    </row>
    <row r="34" spans="1:8" ht="24.75" x14ac:dyDescent="0.25">
      <c r="A34" s="5" t="s">
        <v>98</v>
      </c>
      <c r="B34" s="6" t="s">
        <v>99</v>
      </c>
      <c r="C34" s="7" t="s">
        <v>100</v>
      </c>
      <c r="D34" s="6" t="s">
        <v>21</v>
      </c>
      <c r="E34" s="6" t="s">
        <v>17</v>
      </c>
      <c r="F34" s="8">
        <v>111.15</v>
      </c>
      <c r="G34" s="9">
        <v>30.99</v>
      </c>
      <c r="H34" s="10">
        <v>3444.54</v>
      </c>
    </row>
    <row r="35" spans="1:8" ht="24.75" x14ac:dyDescent="0.25">
      <c r="A35" s="5" t="s">
        <v>101</v>
      </c>
      <c r="B35" s="6" t="s">
        <v>102</v>
      </c>
      <c r="C35" s="7" t="s">
        <v>103</v>
      </c>
      <c r="D35" s="6" t="s">
        <v>21</v>
      </c>
      <c r="E35" s="6" t="s">
        <v>62</v>
      </c>
      <c r="F35" s="8">
        <v>1027.8</v>
      </c>
      <c r="G35" s="9">
        <v>14.67</v>
      </c>
      <c r="H35" s="10">
        <v>15077.83</v>
      </c>
    </row>
    <row r="36" spans="1:8" ht="24.75" x14ac:dyDescent="0.25">
      <c r="A36" s="5" t="s">
        <v>104</v>
      </c>
      <c r="B36" s="6" t="s">
        <v>105</v>
      </c>
      <c r="C36" s="7" t="s">
        <v>106</v>
      </c>
      <c r="D36" s="6" t="s">
        <v>21</v>
      </c>
      <c r="E36" s="6" t="s">
        <v>62</v>
      </c>
      <c r="F36" s="8">
        <v>39.1</v>
      </c>
      <c r="G36" s="9">
        <v>14.4</v>
      </c>
      <c r="H36" s="10">
        <v>563.04</v>
      </c>
    </row>
    <row r="37" spans="1:8" ht="24.75" x14ac:dyDescent="0.25">
      <c r="A37" s="5" t="s">
        <v>107</v>
      </c>
      <c r="B37" s="6" t="s">
        <v>108</v>
      </c>
      <c r="C37" s="7" t="s">
        <v>109</v>
      </c>
      <c r="D37" s="6" t="s">
        <v>21</v>
      </c>
      <c r="E37" s="6" t="s">
        <v>62</v>
      </c>
      <c r="F37" s="8">
        <v>1000</v>
      </c>
      <c r="G37" s="9">
        <v>14.25</v>
      </c>
      <c r="H37" s="10">
        <v>14250</v>
      </c>
    </row>
    <row r="38" spans="1:8" ht="24.75" x14ac:dyDescent="0.25">
      <c r="A38" s="5" t="s">
        <v>110</v>
      </c>
      <c r="B38" s="6" t="s">
        <v>111</v>
      </c>
      <c r="C38" s="7" t="s">
        <v>112</v>
      </c>
      <c r="D38" s="6" t="s">
        <v>21</v>
      </c>
      <c r="E38" s="6" t="s">
        <v>62</v>
      </c>
      <c r="F38" s="8">
        <v>1306.0999999999999</v>
      </c>
      <c r="G38" s="9">
        <v>12.94</v>
      </c>
      <c r="H38" s="10">
        <v>16900.93</v>
      </c>
    </row>
    <row r="39" spans="1:8" ht="24.75" x14ac:dyDescent="0.25">
      <c r="A39" s="5" t="s">
        <v>113</v>
      </c>
      <c r="B39" s="6" t="s">
        <v>114</v>
      </c>
      <c r="C39" s="7" t="s">
        <v>115</v>
      </c>
      <c r="D39" s="6" t="s">
        <v>21</v>
      </c>
      <c r="E39" s="6" t="s">
        <v>62</v>
      </c>
      <c r="F39" s="8">
        <v>168.2</v>
      </c>
      <c r="G39" s="9">
        <v>10.71</v>
      </c>
      <c r="H39" s="10">
        <v>1801.42</v>
      </c>
    </row>
    <row r="40" spans="1:8" ht="24.75" x14ac:dyDescent="0.25">
      <c r="A40" s="5" t="s">
        <v>116</v>
      </c>
      <c r="B40" s="6" t="s">
        <v>117</v>
      </c>
      <c r="C40" s="7" t="s">
        <v>118</v>
      </c>
      <c r="D40" s="6" t="s">
        <v>21</v>
      </c>
      <c r="E40" s="6" t="s">
        <v>62</v>
      </c>
      <c r="F40" s="8">
        <v>158.69999999999999</v>
      </c>
      <c r="G40" s="9">
        <v>14.31</v>
      </c>
      <c r="H40" s="10">
        <v>2271</v>
      </c>
    </row>
    <row r="41" spans="1:8" ht="24.75" x14ac:dyDescent="0.25">
      <c r="A41" s="5" t="s">
        <v>119</v>
      </c>
      <c r="B41" s="6" t="s">
        <v>120</v>
      </c>
      <c r="C41" s="7" t="s">
        <v>121</v>
      </c>
      <c r="D41" s="6" t="s">
        <v>21</v>
      </c>
      <c r="E41" s="6" t="s">
        <v>62</v>
      </c>
      <c r="F41" s="8">
        <v>170.5</v>
      </c>
      <c r="G41" s="9">
        <v>14.01</v>
      </c>
      <c r="H41" s="10">
        <v>2388.71</v>
      </c>
    </row>
    <row r="42" spans="1:8" ht="24.75" x14ac:dyDescent="0.25">
      <c r="A42" s="5" t="s">
        <v>122</v>
      </c>
      <c r="B42" s="6" t="s">
        <v>123</v>
      </c>
      <c r="C42" s="7" t="s">
        <v>124</v>
      </c>
      <c r="D42" s="6" t="s">
        <v>21</v>
      </c>
      <c r="E42" s="6" t="s">
        <v>62</v>
      </c>
      <c r="F42" s="8">
        <v>279.10000000000002</v>
      </c>
      <c r="G42" s="9">
        <v>13.86</v>
      </c>
      <c r="H42" s="10">
        <v>3868.33</v>
      </c>
    </row>
    <row r="43" spans="1:8" ht="24.75" x14ac:dyDescent="0.25">
      <c r="A43" s="5" t="s">
        <v>125</v>
      </c>
      <c r="B43" s="6" t="s">
        <v>64</v>
      </c>
      <c r="C43" s="7" t="s">
        <v>65</v>
      </c>
      <c r="D43" s="6" t="s">
        <v>21</v>
      </c>
      <c r="E43" s="6" t="s">
        <v>41</v>
      </c>
      <c r="F43" s="8">
        <v>61.56</v>
      </c>
      <c r="G43" s="9">
        <v>530.88</v>
      </c>
      <c r="H43" s="10">
        <v>32680.97</v>
      </c>
    </row>
    <row r="44" spans="1:8" ht="24.75" x14ac:dyDescent="0.25">
      <c r="A44" s="5" t="s">
        <v>126</v>
      </c>
      <c r="B44" s="6" t="s">
        <v>70</v>
      </c>
      <c r="C44" s="7" t="s">
        <v>71</v>
      </c>
      <c r="D44" s="6" t="s">
        <v>21</v>
      </c>
      <c r="E44" s="6" t="s">
        <v>41</v>
      </c>
      <c r="F44" s="8">
        <v>61.56</v>
      </c>
      <c r="G44" s="9">
        <v>230.55</v>
      </c>
      <c r="H44" s="10">
        <v>14192.66</v>
      </c>
    </row>
    <row r="45" spans="1:8" ht="24.75" x14ac:dyDescent="0.25">
      <c r="A45" s="5" t="s">
        <v>127</v>
      </c>
      <c r="B45" s="6" t="s">
        <v>128</v>
      </c>
      <c r="C45" s="7" t="s">
        <v>129</v>
      </c>
      <c r="D45" s="6" t="s">
        <v>21</v>
      </c>
      <c r="E45" s="6" t="s">
        <v>62</v>
      </c>
      <c r="F45" s="8">
        <v>312.3</v>
      </c>
      <c r="G45" s="9">
        <v>12.55</v>
      </c>
      <c r="H45" s="10">
        <v>3919.37</v>
      </c>
    </row>
    <row r="46" spans="1:8" ht="24.75" x14ac:dyDescent="0.25">
      <c r="A46" s="5" t="s">
        <v>130</v>
      </c>
      <c r="B46" s="6" t="s">
        <v>131</v>
      </c>
      <c r="C46" s="7" t="s">
        <v>132</v>
      </c>
      <c r="D46" s="6" t="s">
        <v>21</v>
      </c>
      <c r="E46" s="6" t="s">
        <v>62</v>
      </c>
      <c r="F46" s="8">
        <v>154.80000000000001</v>
      </c>
      <c r="G46" s="9">
        <v>10.39</v>
      </c>
      <c r="H46" s="10">
        <v>1608.37</v>
      </c>
    </row>
    <row r="47" spans="1:8" ht="19.899999999999999" customHeight="1" x14ac:dyDescent="0.25">
      <c r="A47" s="3" t="s">
        <v>133</v>
      </c>
      <c r="B47" s="600" t="s">
        <v>134</v>
      </c>
      <c r="C47" s="600"/>
      <c r="D47" s="600"/>
      <c r="E47" s="600"/>
      <c r="F47" s="600"/>
      <c r="G47" s="600"/>
      <c r="H47" s="4">
        <v>69589.899999999994</v>
      </c>
    </row>
    <row r="48" spans="1:8" ht="33" x14ac:dyDescent="0.25">
      <c r="A48" s="5" t="s">
        <v>135</v>
      </c>
      <c r="B48" s="6" t="s">
        <v>136</v>
      </c>
      <c r="C48" s="7" t="s">
        <v>137</v>
      </c>
      <c r="D48" s="6" t="s">
        <v>21</v>
      </c>
      <c r="E48" s="6" t="s">
        <v>17</v>
      </c>
      <c r="F48" s="8">
        <v>1131.99</v>
      </c>
      <c r="G48" s="9">
        <v>46.86</v>
      </c>
      <c r="H48" s="10">
        <v>53045.05</v>
      </c>
    </row>
    <row r="49" spans="1:8" ht="16.5" x14ac:dyDescent="0.25">
      <c r="A49" s="5" t="s">
        <v>138</v>
      </c>
      <c r="B49" s="6" t="s">
        <v>139</v>
      </c>
      <c r="C49" s="7" t="s">
        <v>140</v>
      </c>
      <c r="D49" s="6" t="s">
        <v>21</v>
      </c>
      <c r="E49" s="6" t="s">
        <v>37</v>
      </c>
      <c r="F49" s="8">
        <v>64.099999999999994</v>
      </c>
      <c r="G49" s="9">
        <v>99.36</v>
      </c>
      <c r="H49" s="10">
        <v>6368.98</v>
      </c>
    </row>
    <row r="50" spans="1:8" ht="24.75" x14ac:dyDescent="0.25">
      <c r="A50" s="5" t="s">
        <v>141</v>
      </c>
      <c r="B50" s="6" t="s">
        <v>142</v>
      </c>
      <c r="C50" s="7" t="s">
        <v>143</v>
      </c>
      <c r="D50" s="6" t="s">
        <v>21</v>
      </c>
      <c r="E50" s="6" t="s">
        <v>37</v>
      </c>
      <c r="F50" s="8">
        <v>72.2</v>
      </c>
      <c r="G50" s="9">
        <v>50.71</v>
      </c>
      <c r="H50" s="10">
        <v>3661.26</v>
      </c>
    </row>
    <row r="51" spans="1:8" ht="24.75" x14ac:dyDescent="0.25">
      <c r="A51" s="5" t="s">
        <v>144</v>
      </c>
      <c r="B51" s="6" t="s">
        <v>145</v>
      </c>
      <c r="C51" s="7" t="s">
        <v>146</v>
      </c>
      <c r="D51" s="6" t="s">
        <v>21</v>
      </c>
      <c r="E51" s="6" t="s">
        <v>37</v>
      </c>
      <c r="F51" s="8">
        <v>72.2</v>
      </c>
      <c r="G51" s="9">
        <v>90.23</v>
      </c>
      <c r="H51" s="10">
        <v>6514.61</v>
      </c>
    </row>
    <row r="52" spans="1:8" ht="19.899999999999999" customHeight="1" x14ac:dyDescent="0.25">
      <c r="A52" s="3" t="s">
        <v>147</v>
      </c>
      <c r="B52" s="600" t="s">
        <v>148</v>
      </c>
      <c r="C52" s="600"/>
      <c r="D52" s="600"/>
      <c r="E52" s="600"/>
      <c r="F52" s="600"/>
      <c r="G52" s="600"/>
      <c r="H52" s="4">
        <v>67976.03</v>
      </c>
    </row>
    <row r="53" spans="1:8" ht="33" x14ac:dyDescent="0.25">
      <c r="A53" s="5" t="s">
        <v>149</v>
      </c>
      <c r="B53" s="6" t="s">
        <v>150</v>
      </c>
      <c r="C53" s="7" t="s">
        <v>151</v>
      </c>
      <c r="D53" s="6" t="s">
        <v>21</v>
      </c>
      <c r="E53" s="6" t="s">
        <v>17</v>
      </c>
      <c r="F53" s="8">
        <v>1348.98</v>
      </c>
      <c r="G53" s="9">
        <v>6.08</v>
      </c>
      <c r="H53" s="10">
        <v>8201.7999999999993</v>
      </c>
    </row>
    <row r="54" spans="1:8" ht="41.25" x14ac:dyDescent="0.25">
      <c r="A54" s="5" t="s">
        <v>152</v>
      </c>
      <c r="B54" s="6" t="s">
        <v>153</v>
      </c>
      <c r="C54" s="7" t="s">
        <v>154</v>
      </c>
      <c r="D54" s="6" t="s">
        <v>21</v>
      </c>
      <c r="E54" s="6" t="s">
        <v>17</v>
      </c>
      <c r="F54" s="8">
        <v>997.11</v>
      </c>
      <c r="G54" s="9">
        <v>22.4</v>
      </c>
      <c r="H54" s="10">
        <v>22335.26</v>
      </c>
    </row>
    <row r="55" spans="1:8" ht="49.5" x14ac:dyDescent="0.25">
      <c r="A55" s="5" t="s">
        <v>155</v>
      </c>
      <c r="B55" s="6" t="s">
        <v>156</v>
      </c>
      <c r="C55" s="7" t="s">
        <v>157</v>
      </c>
      <c r="D55" s="6" t="s">
        <v>21</v>
      </c>
      <c r="E55" s="6" t="s">
        <v>17</v>
      </c>
      <c r="F55" s="8">
        <v>351.87</v>
      </c>
      <c r="G55" s="9">
        <v>31.26</v>
      </c>
      <c r="H55" s="10">
        <v>10999.46</v>
      </c>
    </row>
    <row r="56" spans="1:8" ht="33" x14ac:dyDescent="0.25">
      <c r="A56" s="5" t="s">
        <v>158</v>
      </c>
      <c r="B56" s="6" t="s">
        <v>159</v>
      </c>
      <c r="C56" s="7" t="s">
        <v>160</v>
      </c>
      <c r="D56" s="6" t="s">
        <v>21</v>
      </c>
      <c r="E56" s="6" t="s">
        <v>17</v>
      </c>
      <c r="F56" s="8">
        <v>351.87</v>
      </c>
      <c r="G56" s="9">
        <v>75.14</v>
      </c>
      <c r="H56" s="10">
        <v>26439.51</v>
      </c>
    </row>
    <row r="57" spans="1:8" ht="19.899999999999999" customHeight="1" x14ac:dyDescent="0.25">
      <c r="A57" s="3" t="s">
        <v>161</v>
      </c>
      <c r="B57" s="600" t="s">
        <v>162</v>
      </c>
      <c r="C57" s="600"/>
      <c r="D57" s="600"/>
      <c r="E57" s="600"/>
      <c r="F57" s="600"/>
      <c r="G57" s="600"/>
      <c r="H57" s="4">
        <v>111068.43</v>
      </c>
    </row>
    <row r="58" spans="1:8" ht="49.5" x14ac:dyDescent="0.25">
      <c r="A58" s="5" t="s">
        <v>163</v>
      </c>
      <c r="B58" s="6" t="s">
        <v>164</v>
      </c>
      <c r="C58" s="7" t="s">
        <v>165</v>
      </c>
      <c r="D58" s="6" t="s">
        <v>21</v>
      </c>
      <c r="E58" s="6" t="s">
        <v>166</v>
      </c>
      <c r="F58" s="8">
        <v>18</v>
      </c>
      <c r="G58" s="9">
        <v>919.01</v>
      </c>
      <c r="H58" s="10">
        <v>16542.18</v>
      </c>
    </row>
    <row r="59" spans="1:8" ht="41.25" x14ac:dyDescent="0.25">
      <c r="A59" s="5" t="s">
        <v>167</v>
      </c>
      <c r="B59" s="6" t="s">
        <v>168</v>
      </c>
      <c r="C59" s="7" t="s">
        <v>169</v>
      </c>
      <c r="D59" s="6" t="s">
        <v>21</v>
      </c>
      <c r="E59" s="6" t="s">
        <v>17</v>
      </c>
      <c r="F59" s="8">
        <v>49.7</v>
      </c>
      <c r="G59" s="9">
        <v>960.32</v>
      </c>
      <c r="H59" s="10">
        <v>47727.9</v>
      </c>
    </row>
    <row r="60" spans="1:8" ht="41.25" x14ac:dyDescent="0.25">
      <c r="A60" s="5" t="s">
        <v>170</v>
      </c>
      <c r="B60" s="6" t="s">
        <v>171</v>
      </c>
      <c r="C60" s="7" t="s">
        <v>172</v>
      </c>
      <c r="D60" s="6" t="s">
        <v>21</v>
      </c>
      <c r="E60" s="6" t="s">
        <v>166</v>
      </c>
      <c r="F60" s="8">
        <v>5</v>
      </c>
      <c r="G60" s="9">
        <v>1069.74</v>
      </c>
      <c r="H60" s="10">
        <v>5348.7</v>
      </c>
    </row>
    <row r="61" spans="1:8" ht="24.75" x14ac:dyDescent="0.25">
      <c r="A61" s="5" t="s">
        <v>173</v>
      </c>
      <c r="B61" s="6" t="s">
        <v>174</v>
      </c>
      <c r="C61" s="7" t="s">
        <v>175</v>
      </c>
      <c r="D61" s="6" t="s">
        <v>16</v>
      </c>
      <c r="E61" s="6" t="s">
        <v>5</v>
      </c>
      <c r="F61" s="8">
        <v>1</v>
      </c>
      <c r="G61" s="9">
        <v>2030.34</v>
      </c>
      <c r="H61" s="10">
        <v>2030.34</v>
      </c>
    </row>
    <row r="62" spans="1:8" ht="24.75" x14ac:dyDescent="0.25">
      <c r="A62" s="5" t="s">
        <v>176</v>
      </c>
      <c r="B62" s="6" t="s">
        <v>177</v>
      </c>
      <c r="C62" s="7" t="s">
        <v>178</v>
      </c>
      <c r="D62" s="6" t="s">
        <v>16</v>
      </c>
      <c r="E62" s="6" t="s">
        <v>5</v>
      </c>
      <c r="F62" s="8">
        <v>3</v>
      </c>
      <c r="G62" s="9">
        <v>4697.45</v>
      </c>
      <c r="H62" s="10">
        <v>14092.35</v>
      </c>
    </row>
    <row r="63" spans="1:8" ht="24.75" x14ac:dyDescent="0.25">
      <c r="A63" s="5" t="s">
        <v>179</v>
      </c>
      <c r="B63" s="6" t="s">
        <v>180</v>
      </c>
      <c r="C63" s="7" t="s">
        <v>181</v>
      </c>
      <c r="D63" s="6" t="s">
        <v>21</v>
      </c>
      <c r="E63" s="6" t="s">
        <v>17</v>
      </c>
      <c r="F63" s="8">
        <v>12.96</v>
      </c>
      <c r="G63" s="9">
        <v>976.37</v>
      </c>
      <c r="H63" s="10">
        <v>12653.76</v>
      </c>
    </row>
    <row r="64" spans="1:8" ht="24.75" x14ac:dyDescent="0.25">
      <c r="A64" s="5" t="s">
        <v>182</v>
      </c>
      <c r="B64" s="6" t="s">
        <v>183</v>
      </c>
      <c r="C64" s="7" t="s">
        <v>184</v>
      </c>
      <c r="D64" s="6" t="s">
        <v>21</v>
      </c>
      <c r="E64" s="6" t="s">
        <v>17</v>
      </c>
      <c r="F64" s="8">
        <v>19.96</v>
      </c>
      <c r="G64" s="9">
        <v>579.9</v>
      </c>
      <c r="H64" s="10">
        <v>11574.8</v>
      </c>
    </row>
    <row r="65" spans="1:8" ht="33" x14ac:dyDescent="0.25">
      <c r="A65" s="5" t="s">
        <v>185</v>
      </c>
      <c r="B65" s="6" t="s">
        <v>186</v>
      </c>
      <c r="C65" s="7" t="s">
        <v>187</v>
      </c>
      <c r="D65" s="6" t="s">
        <v>21</v>
      </c>
      <c r="E65" s="6" t="s">
        <v>166</v>
      </c>
      <c r="F65" s="8">
        <v>8</v>
      </c>
      <c r="G65" s="9">
        <v>137.30000000000001</v>
      </c>
      <c r="H65" s="10">
        <v>1098.4000000000001</v>
      </c>
    </row>
    <row r="66" spans="1:8" ht="19.899999999999999" customHeight="1" x14ac:dyDescent="0.25">
      <c r="A66" s="3" t="s">
        <v>188</v>
      </c>
      <c r="B66" s="600" t="s">
        <v>189</v>
      </c>
      <c r="C66" s="600"/>
      <c r="D66" s="600"/>
      <c r="E66" s="600"/>
      <c r="F66" s="600"/>
      <c r="G66" s="600"/>
      <c r="H66" s="4">
        <v>46432.76</v>
      </c>
    </row>
    <row r="67" spans="1:8" ht="16.5" x14ac:dyDescent="0.25">
      <c r="A67" s="5" t="s">
        <v>190</v>
      </c>
      <c r="B67" s="6" t="s">
        <v>191</v>
      </c>
      <c r="C67" s="7" t="s">
        <v>192</v>
      </c>
      <c r="D67" s="6" t="s">
        <v>21</v>
      </c>
      <c r="E67" s="6" t="s">
        <v>17</v>
      </c>
      <c r="F67" s="8">
        <v>997.11</v>
      </c>
      <c r="G67" s="9">
        <v>2.74</v>
      </c>
      <c r="H67" s="10">
        <v>2732.08</v>
      </c>
    </row>
    <row r="68" spans="1:8" ht="16.5" x14ac:dyDescent="0.25">
      <c r="A68" s="5" t="s">
        <v>193</v>
      </c>
      <c r="B68" s="6" t="s">
        <v>194</v>
      </c>
      <c r="C68" s="7" t="s">
        <v>195</v>
      </c>
      <c r="D68" s="6" t="s">
        <v>21</v>
      </c>
      <c r="E68" s="6" t="s">
        <v>17</v>
      </c>
      <c r="F68" s="8">
        <v>997.11</v>
      </c>
      <c r="G68" s="9">
        <v>9.86</v>
      </c>
      <c r="H68" s="10">
        <v>9831.5</v>
      </c>
    </row>
    <row r="69" spans="1:8" ht="16.5" x14ac:dyDescent="0.25">
      <c r="A69" s="5" t="s">
        <v>196</v>
      </c>
      <c r="B69" s="6" t="s">
        <v>197</v>
      </c>
      <c r="C69" s="7" t="s">
        <v>198</v>
      </c>
      <c r="D69" s="6" t="s">
        <v>21</v>
      </c>
      <c r="E69" s="6" t="s">
        <v>17</v>
      </c>
      <c r="F69" s="8">
        <v>997.11</v>
      </c>
      <c r="G69" s="9">
        <v>12.16</v>
      </c>
      <c r="H69" s="10">
        <v>12124.86</v>
      </c>
    </row>
    <row r="70" spans="1:8" ht="16.5" x14ac:dyDescent="0.25">
      <c r="A70" s="5" t="s">
        <v>199</v>
      </c>
      <c r="B70" s="6" t="s">
        <v>200</v>
      </c>
      <c r="C70" s="7" t="s">
        <v>201</v>
      </c>
      <c r="D70" s="6" t="s">
        <v>21</v>
      </c>
      <c r="E70" s="6" t="s">
        <v>17</v>
      </c>
      <c r="F70" s="8">
        <v>634.5</v>
      </c>
      <c r="G70" s="9">
        <v>3.1</v>
      </c>
      <c r="H70" s="10">
        <v>1966.95</v>
      </c>
    </row>
    <row r="71" spans="1:8" ht="16.5" x14ac:dyDescent="0.25">
      <c r="A71" s="5" t="s">
        <v>202</v>
      </c>
      <c r="B71" s="6" t="s">
        <v>203</v>
      </c>
      <c r="C71" s="7" t="s">
        <v>204</v>
      </c>
      <c r="D71" s="6" t="s">
        <v>21</v>
      </c>
      <c r="E71" s="6" t="s">
        <v>17</v>
      </c>
      <c r="F71" s="8">
        <v>634.5</v>
      </c>
      <c r="G71" s="9">
        <v>17.43</v>
      </c>
      <c r="H71" s="10">
        <v>11059.34</v>
      </c>
    </row>
    <row r="72" spans="1:8" ht="16.5" x14ac:dyDescent="0.25">
      <c r="A72" s="5" t="s">
        <v>205</v>
      </c>
      <c r="B72" s="6" t="s">
        <v>206</v>
      </c>
      <c r="C72" s="7" t="s">
        <v>207</v>
      </c>
      <c r="D72" s="6" t="s">
        <v>21</v>
      </c>
      <c r="E72" s="6" t="s">
        <v>17</v>
      </c>
      <c r="F72" s="8">
        <v>634.5</v>
      </c>
      <c r="G72" s="9">
        <v>13.74</v>
      </c>
      <c r="H72" s="10">
        <v>8718.0300000000007</v>
      </c>
    </row>
    <row r="73" spans="1:8" ht="19.899999999999999" customHeight="1" x14ac:dyDescent="0.25">
      <c r="A73" s="3" t="s">
        <v>208</v>
      </c>
      <c r="B73" s="600" t="s">
        <v>209</v>
      </c>
      <c r="C73" s="600"/>
      <c r="D73" s="600"/>
      <c r="E73" s="600"/>
      <c r="F73" s="600"/>
      <c r="G73" s="600"/>
      <c r="H73" s="4">
        <v>42089.25</v>
      </c>
    </row>
    <row r="74" spans="1:8" ht="33" x14ac:dyDescent="0.25">
      <c r="A74" s="5" t="s">
        <v>210</v>
      </c>
      <c r="B74" s="6" t="s">
        <v>211</v>
      </c>
      <c r="C74" s="7" t="s">
        <v>212</v>
      </c>
      <c r="D74" s="6" t="s">
        <v>21</v>
      </c>
      <c r="E74" s="6" t="s">
        <v>17</v>
      </c>
      <c r="F74" s="8">
        <v>466.37</v>
      </c>
      <c r="G74" s="9">
        <v>5.72</v>
      </c>
      <c r="H74" s="10">
        <v>2667.64</v>
      </c>
    </row>
    <row r="75" spans="1:8" ht="41.25" x14ac:dyDescent="0.25">
      <c r="A75" s="5" t="s">
        <v>213</v>
      </c>
      <c r="B75" s="6" t="s">
        <v>214</v>
      </c>
      <c r="C75" s="7" t="s">
        <v>215</v>
      </c>
      <c r="D75" s="6" t="s">
        <v>21</v>
      </c>
      <c r="E75" s="6" t="s">
        <v>17</v>
      </c>
      <c r="F75" s="8">
        <v>466.37</v>
      </c>
      <c r="G75" s="9">
        <v>31.53</v>
      </c>
      <c r="H75" s="10">
        <v>14704.65</v>
      </c>
    </row>
    <row r="76" spans="1:8" ht="24.75" x14ac:dyDescent="0.25">
      <c r="A76" s="5" t="s">
        <v>216</v>
      </c>
      <c r="B76" s="6" t="s">
        <v>217</v>
      </c>
      <c r="C76" s="7" t="s">
        <v>218</v>
      </c>
      <c r="D76" s="6" t="s">
        <v>16</v>
      </c>
      <c r="E76" s="6" t="s">
        <v>17</v>
      </c>
      <c r="F76" s="8">
        <v>32.5</v>
      </c>
      <c r="G76" s="9">
        <v>154.75</v>
      </c>
      <c r="H76" s="10">
        <v>5029.38</v>
      </c>
    </row>
    <row r="77" spans="1:8" ht="24.75" x14ac:dyDescent="0.25">
      <c r="A77" s="5" t="s">
        <v>219</v>
      </c>
      <c r="B77" s="6" t="s">
        <v>220</v>
      </c>
      <c r="C77" s="7" t="s">
        <v>221</v>
      </c>
      <c r="D77" s="6" t="s">
        <v>16</v>
      </c>
      <c r="E77" s="6" t="s">
        <v>222</v>
      </c>
      <c r="F77" s="8">
        <v>29.5</v>
      </c>
      <c r="G77" s="9">
        <v>228.6</v>
      </c>
      <c r="H77" s="10">
        <v>6743.7</v>
      </c>
    </row>
    <row r="78" spans="1:8" ht="16.5" x14ac:dyDescent="0.25">
      <c r="A78" s="5" t="s">
        <v>223</v>
      </c>
      <c r="B78" s="6" t="s">
        <v>191</v>
      </c>
      <c r="C78" s="7" t="s">
        <v>192</v>
      </c>
      <c r="D78" s="6" t="s">
        <v>21</v>
      </c>
      <c r="E78" s="6" t="s">
        <v>17</v>
      </c>
      <c r="F78" s="8">
        <v>404.37</v>
      </c>
      <c r="G78" s="9">
        <v>2.74</v>
      </c>
      <c r="H78" s="10">
        <v>1107.97</v>
      </c>
    </row>
    <row r="79" spans="1:8" ht="16.5" x14ac:dyDescent="0.25">
      <c r="A79" s="5" t="s">
        <v>224</v>
      </c>
      <c r="B79" s="6" t="s">
        <v>225</v>
      </c>
      <c r="C79" s="7" t="s">
        <v>226</v>
      </c>
      <c r="D79" s="6" t="s">
        <v>21</v>
      </c>
      <c r="E79" s="6" t="s">
        <v>17</v>
      </c>
      <c r="F79" s="8">
        <v>404.37</v>
      </c>
      <c r="G79" s="9">
        <v>17.11</v>
      </c>
      <c r="H79" s="10">
        <v>6918.77</v>
      </c>
    </row>
    <row r="80" spans="1:8" ht="16.5" x14ac:dyDescent="0.25">
      <c r="A80" s="5" t="s">
        <v>227</v>
      </c>
      <c r="B80" s="6" t="s">
        <v>197</v>
      </c>
      <c r="C80" s="7" t="s">
        <v>198</v>
      </c>
      <c r="D80" s="6" t="s">
        <v>21</v>
      </c>
      <c r="E80" s="6" t="s">
        <v>17</v>
      </c>
      <c r="F80" s="8">
        <v>404.37</v>
      </c>
      <c r="G80" s="9">
        <v>12.16</v>
      </c>
      <c r="H80" s="10">
        <v>4917.1400000000003</v>
      </c>
    </row>
    <row r="81" spans="1:8" ht="19.899999999999999" customHeight="1" x14ac:dyDescent="0.25">
      <c r="A81" s="3" t="s">
        <v>228</v>
      </c>
      <c r="B81" s="600" t="s">
        <v>229</v>
      </c>
      <c r="C81" s="600"/>
      <c r="D81" s="600"/>
      <c r="E81" s="600"/>
      <c r="F81" s="600"/>
      <c r="G81" s="600"/>
      <c r="H81" s="4">
        <v>40014.01</v>
      </c>
    </row>
    <row r="82" spans="1:8" ht="24.75" x14ac:dyDescent="0.25">
      <c r="A82" s="5" t="s">
        <v>230</v>
      </c>
      <c r="B82" s="6" t="s">
        <v>231</v>
      </c>
      <c r="C82" s="7" t="s">
        <v>232</v>
      </c>
      <c r="D82" s="6" t="s">
        <v>21</v>
      </c>
      <c r="E82" s="6" t="s">
        <v>166</v>
      </c>
      <c r="F82" s="8">
        <v>117</v>
      </c>
      <c r="G82" s="9">
        <v>13.45</v>
      </c>
      <c r="H82" s="10">
        <v>1573.65</v>
      </c>
    </row>
    <row r="83" spans="1:8" ht="16.5" x14ac:dyDescent="0.25">
      <c r="A83" s="5" t="s">
        <v>233</v>
      </c>
      <c r="B83" s="6" t="s">
        <v>234</v>
      </c>
      <c r="C83" s="7" t="s">
        <v>235</v>
      </c>
      <c r="D83" s="6" t="s">
        <v>21</v>
      </c>
      <c r="E83" s="6" t="s">
        <v>166</v>
      </c>
      <c r="F83" s="8">
        <v>76</v>
      </c>
      <c r="G83" s="9">
        <v>11.14</v>
      </c>
      <c r="H83" s="10">
        <v>846.64</v>
      </c>
    </row>
    <row r="84" spans="1:8" ht="24.75" x14ac:dyDescent="0.25">
      <c r="A84" s="5" t="s">
        <v>236</v>
      </c>
      <c r="B84" s="6" t="s">
        <v>237</v>
      </c>
      <c r="C84" s="7" t="s">
        <v>238</v>
      </c>
      <c r="D84" s="6" t="s">
        <v>21</v>
      </c>
      <c r="E84" s="6" t="s">
        <v>37</v>
      </c>
      <c r="F84" s="8">
        <v>1253.8</v>
      </c>
      <c r="G84" s="9">
        <v>2.7</v>
      </c>
      <c r="H84" s="10">
        <v>3385.26</v>
      </c>
    </row>
    <row r="85" spans="1:8" ht="24.75" x14ac:dyDescent="0.25">
      <c r="A85" s="5" t="s">
        <v>239</v>
      </c>
      <c r="B85" s="6" t="s">
        <v>240</v>
      </c>
      <c r="C85" s="7" t="s">
        <v>241</v>
      </c>
      <c r="D85" s="6" t="s">
        <v>21</v>
      </c>
      <c r="E85" s="6" t="s">
        <v>37</v>
      </c>
      <c r="F85" s="8">
        <v>1496.3</v>
      </c>
      <c r="G85" s="9">
        <v>3.98</v>
      </c>
      <c r="H85" s="10">
        <v>5955.27</v>
      </c>
    </row>
    <row r="86" spans="1:8" ht="24.75" x14ac:dyDescent="0.25">
      <c r="A86" s="5" t="s">
        <v>242</v>
      </c>
      <c r="B86" s="6" t="s">
        <v>243</v>
      </c>
      <c r="C86" s="7" t="s">
        <v>244</v>
      </c>
      <c r="D86" s="6" t="s">
        <v>21</v>
      </c>
      <c r="E86" s="6" t="s">
        <v>37</v>
      </c>
      <c r="F86" s="8">
        <v>284.60000000000002</v>
      </c>
      <c r="G86" s="9">
        <v>6.23</v>
      </c>
      <c r="H86" s="10">
        <v>1773.06</v>
      </c>
    </row>
    <row r="87" spans="1:8" ht="24.75" x14ac:dyDescent="0.25">
      <c r="A87" s="5" t="s">
        <v>245</v>
      </c>
      <c r="B87" s="6" t="s">
        <v>246</v>
      </c>
      <c r="C87" s="7" t="s">
        <v>247</v>
      </c>
      <c r="D87" s="6" t="s">
        <v>21</v>
      </c>
      <c r="E87" s="6" t="s">
        <v>37</v>
      </c>
      <c r="F87" s="8">
        <v>224</v>
      </c>
      <c r="G87" s="9">
        <v>9.51</v>
      </c>
      <c r="H87" s="10">
        <v>2130.2399999999998</v>
      </c>
    </row>
    <row r="88" spans="1:8" ht="16.5" x14ac:dyDescent="0.25">
      <c r="A88" s="5" t="s">
        <v>248</v>
      </c>
      <c r="B88" s="6" t="s">
        <v>249</v>
      </c>
      <c r="C88" s="7" t="s">
        <v>250</v>
      </c>
      <c r="D88" s="6" t="s">
        <v>21</v>
      </c>
      <c r="E88" s="6" t="s">
        <v>166</v>
      </c>
      <c r="F88" s="8">
        <v>2</v>
      </c>
      <c r="G88" s="9">
        <v>101.17</v>
      </c>
      <c r="H88" s="10">
        <v>202.34</v>
      </c>
    </row>
    <row r="89" spans="1:8" ht="24.75" x14ac:dyDescent="0.25">
      <c r="A89" s="5" t="s">
        <v>251</v>
      </c>
      <c r="B89" s="6" t="s">
        <v>252</v>
      </c>
      <c r="C89" s="7" t="s">
        <v>253</v>
      </c>
      <c r="D89" s="6" t="s">
        <v>21</v>
      </c>
      <c r="E89" s="6" t="s">
        <v>166</v>
      </c>
      <c r="F89" s="8">
        <v>19</v>
      </c>
      <c r="G89" s="9">
        <v>15.35</v>
      </c>
      <c r="H89" s="10">
        <v>291.64999999999998</v>
      </c>
    </row>
    <row r="90" spans="1:8" ht="16.5" x14ac:dyDescent="0.25">
      <c r="A90" s="5" t="s">
        <v>254</v>
      </c>
      <c r="B90" s="6" t="s">
        <v>255</v>
      </c>
      <c r="C90" s="7" t="s">
        <v>256</v>
      </c>
      <c r="D90" s="6" t="s">
        <v>21</v>
      </c>
      <c r="E90" s="6" t="s">
        <v>166</v>
      </c>
      <c r="F90" s="8">
        <v>1</v>
      </c>
      <c r="G90" s="9">
        <v>73.97</v>
      </c>
      <c r="H90" s="10">
        <v>73.97</v>
      </c>
    </row>
    <row r="91" spans="1:8" ht="16.5" x14ac:dyDescent="0.25">
      <c r="A91" s="5" t="s">
        <v>257</v>
      </c>
      <c r="B91" s="6" t="s">
        <v>258</v>
      </c>
      <c r="C91" s="7" t="s">
        <v>259</v>
      </c>
      <c r="D91" s="6" t="s">
        <v>21</v>
      </c>
      <c r="E91" s="6" t="s">
        <v>166</v>
      </c>
      <c r="F91" s="8">
        <v>1</v>
      </c>
      <c r="G91" s="9">
        <v>77.569999999999993</v>
      </c>
      <c r="H91" s="10">
        <v>77.569999999999993</v>
      </c>
    </row>
    <row r="92" spans="1:8" ht="16.5" x14ac:dyDescent="0.25">
      <c r="A92" s="5" t="s">
        <v>260</v>
      </c>
      <c r="B92" s="6" t="s">
        <v>261</v>
      </c>
      <c r="C92" s="7" t="s">
        <v>262</v>
      </c>
      <c r="D92" s="6" t="s">
        <v>21</v>
      </c>
      <c r="E92" s="6" t="s">
        <v>166</v>
      </c>
      <c r="F92" s="8">
        <v>6</v>
      </c>
      <c r="G92" s="9">
        <v>74.81</v>
      </c>
      <c r="H92" s="10">
        <v>448.86</v>
      </c>
    </row>
    <row r="93" spans="1:8" ht="16.5" x14ac:dyDescent="0.25">
      <c r="A93" s="5" t="s">
        <v>263</v>
      </c>
      <c r="B93" s="6" t="s">
        <v>264</v>
      </c>
      <c r="C93" s="7" t="s">
        <v>265</v>
      </c>
      <c r="D93" s="6" t="s">
        <v>21</v>
      </c>
      <c r="E93" s="6" t="s">
        <v>166</v>
      </c>
      <c r="F93" s="8">
        <v>1</v>
      </c>
      <c r="G93" s="9">
        <v>136.80000000000001</v>
      </c>
      <c r="H93" s="10">
        <v>136.80000000000001</v>
      </c>
    </row>
    <row r="94" spans="1:8" ht="16.5" x14ac:dyDescent="0.25">
      <c r="A94" s="5" t="s">
        <v>266</v>
      </c>
      <c r="B94" s="6" t="s">
        <v>267</v>
      </c>
      <c r="C94" s="7" t="s">
        <v>268</v>
      </c>
      <c r="D94" s="6" t="s">
        <v>21</v>
      </c>
      <c r="E94" s="6" t="s">
        <v>166</v>
      </c>
      <c r="F94" s="8">
        <v>1</v>
      </c>
      <c r="G94" s="9">
        <v>139.25</v>
      </c>
      <c r="H94" s="10">
        <v>139.25</v>
      </c>
    </row>
    <row r="95" spans="1:8" ht="24.75" x14ac:dyDescent="0.25">
      <c r="A95" s="5" t="s">
        <v>269</v>
      </c>
      <c r="B95" s="6" t="s">
        <v>270</v>
      </c>
      <c r="C95" s="7" t="s">
        <v>271</v>
      </c>
      <c r="D95" s="6" t="s">
        <v>21</v>
      </c>
      <c r="E95" s="6" t="s">
        <v>166</v>
      </c>
      <c r="F95" s="8">
        <v>23</v>
      </c>
      <c r="G95" s="9">
        <v>25.8</v>
      </c>
      <c r="H95" s="10">
        <v>593.4</v>
      </c>
    </row>
    <row r="96" spans="1:8" ht="24.75" x14ac:dyDescent="0.25">
      <c r="A96" s="5" t="s">
        <v>272</v>
      </c>
      <c r="B96" s="6" t="s">
        <v>273</v>
      </c>
      <c r="C96" s="7" t="s">
        <v>274</v>
      </c>
      <c r="D96" s="6" t="s">
        <v>21</v>
      </c>
      <c r="E96" s="6" t="s">
        <v>166</v>
      </c>
      <c r="F96" s="8">
        <v>1</v>
      </c>
      <c r="G96" s="9">
        <v>53.44</v>
      </c>
      <c r="H96" s="10">
        <v>53.44</v>
      </c>
    </row>
    <row r="97" spans="1:8" ht="24.75" x14ac:dyDescent="0.25">
      <c r="A97" s="5" t="s">
        <v>275</v>
      </c>
      <c r="B97" s="6" t="s">
        <v>276</v>
      </c>
      <c r="C97" s="7" t="s">
        <v>277</v>
      </c>
      <c r="D97" s="6" t="s">
        <v>21</v>
      </c>
      <c r="E97" s="6" t="s">
        <v>166</v>
      </c>
      <c r="F97" s="8">
        <v>54</v>
      </c>
      <c r="G97" s="9">
        <v>27.19</v>
      </c>
      <c r="H97" s="10">
        <v>1468.26</v>
      </c>
    </row>
    <row r="98" spans="1:8" ht="24.75" x14ac:dyDescent="0.25">
      <c r="A98" s="5" t="s">
        <v>278</v>
      </c>
      <c r="B98" s="6" t="s">
        <v>279</v>
      </c>
      <c r="C98" s="7" t="s">
        <v>280</v>
      </c>
      <c r="D98" s="6" t="s">
        <v>21</v>
      </c>
      <c r="E98" s="6" t="s">
        <v>166</v>
      </c>
      <c r="F98" s="8">
        <v>8</v>
      </c>
      <c r="G98" s="9">
        <v>42.35</v>
      </c>
      <c r="H98" s="10">
        <v>338.8</v>
      </c>
    </row>
    <row r="99" spans="1:8" ht="24.75" x14ac:dyDescent="0.25">
      <c r="A99" s="5" t="s">
        <v>281</v>
      </c>
      <c r="B99" s="6" t="s">
        <v>282</v>
      </c>
      <c r="C99" s="7" t="s">
        <v>283</v>
      </c>
      <c r="D99" s="6" t="s">
        <v>21</v>
      </c>
      <c r="E99" s="6" t="s">
        <v>166</v>
      </c>
      <c r="F99" s="8">
        <v>2</v>
      </c>
      <c r="G99" s="9">
        <v>39.619999999999997</v>
      </c>
      <c r="H99" s="10">
        <v>79.239999999999995</v>
      </c>
    </row>
    <row r="100" spans="1:8" ht="24.75" x14ac:dyDescent="0.25">
      <c r="A100" s="5" t="s">
        <v>284</v>
      </c>
      <c r="B100" s="6" t="s">
        <v>285</v>
      </c>
      <c r="C100" s="7" t="s">
        <v>286</v>
      </c>
      <c r="D100" s="6" t="s">
        <v>21</v>
      </c>
      <c r="E100" s="6" t="s">
        <v>37</v>
      </c>
      <c r="F100" s="8">
        <v>830.48</v>
      </c>
      <c r="G100" s="9">
        <v>9.77</v>
      </c>
      <c r="H100" s="10">
        <v>8113.79</v>
      </c>
    </row>
    <row r="101" spans="1:8" ht="24.75" x14ac:dyDescent="0.25">
      <c r="A101" s="5" t="s">
        <v>287</v>
      </c>
      <c r="B101" s="6" t="s">
        <v>288</v>
      </c>
      <c r="C101" s="7" t="s">
        <v>289</v>
      </c>
      <c r="D101" s="6" t="s">
        <v>21</v>
      </c>
      <c r="E101" s="6" t="s">
        <v>37</v>
      </c>
      <c r="F101" s="8">
        <v>55.97</v>
      </c>
      <c r="G101" s="9">
        <v>13.05</v>
      </c>
      <c r="H101" s="10">
        <v>730.41</v>
      </c>
    </row>
    <row r="102" spans="1:8" ht="24.75" x14ac:dyDescent="0.25">
      <c r="A102" s="5" t="s">
        <v>290</v>
      </c>
      <c r="B102" s="6" t="s">
        <v>291</v>
      </c>
      <c r="C102" s="7" t="s">
        <v>292</v>
      </c>
      <c r="D102" s="6" t="s">
        <v>21</v>
      </c>
      <c r="E102" s="6" t="s">
        <v>37</v>
      </c>
      <c r="F102" s="8">
        <v>36.19</v>
      </c>
      <c r="G102" s="9">
        <v>9.18</v>
      </c>
      <c r="H102" s="10">
        <v>332.22</v>
      </c>
    </row>
    <row r="103" spans="1:8" ht="16.5" x14ac:dyDescent="0.25">
      <c r="A103" s="5" t="s">
        <v>293</v>
      </c>
      <c r="B103" s="6" t="s">
        <v>294</v>
      </c>
      <c r="C103" s="7" t="s">
        <v>295</v>
      </c>
      <c r="D103" s="6" t="s">
        <v>21</v>
      </c>
      <c r="E103" s="6" t="s">
        <v>166</v>
      </c>
      <c r="F103" s="8">
        <v>15</v>
      </c>
      <c r="G103" s="9">
        <v>289.93</v>
      </c>
      <c r="H103" s="10">
        <v>4348.95</v>
      </c>
    </row>
    <row r="104" spans="1:8" ht="24.75" x14ac:dyDescent="0.25">
      <c r="A104" s="5" t="s">
        <v>296</v>
      </c>
      <c r="B104" s="6" t="s">
        <v>297</v>
      </c>
      <c r="C104" s="7" t="s">
        <v>298</v>
      </c>
      <c r="D104" s="6" t="s">
        <v>21</v>
      </c>
      <c r="E104" s="6" t="s">
        <v>166</v>
      </c>
      <c r="F104" s="8">
        <v>76</v>
      </c>
      <c r="G104" s="9">
        <v>33.380000000000003</v>
      </c>
      <c r="H104" s="10">
        <v>2536.88</v>
      </c>
    </row>
    <row r="105" spans="1:8" ht="33" x14ac:dyDescent="0.25">
      <c r="A105" s="5" t="s">
        <v>299</v>
      </c>
      <c r="B105" s="6" t="s">
        <v>300</v>
      </c>
      <c r="C105" s="7" t="s">
        <v>301</v>
      </c>
      <c r="D105" s="6" t="s">
        <v>21</v>
      </c>
      <c r="E105" s="6" t="s">
        <v>166</v>
      </c>
      <c r="F105" s="8">
        <v>1</v>
      </c>
      <c r="G105" s="9">
        <v>1759.39</v>
      </c>
      <c r="H105" s="10">
        <v>1759.39</v>
      </c>
    </row>
    <row r="106" spans="1:8" ht="24.75" x14ac:dyDescent="0.25">
      <c r="A106" s="5" t="s">
        <v>302</v>
      </c>
      <c r="B106" s="6" t="s">
        <v>303</v>
      </c>
      <c r="C106" s="7" t="s">
        <v>304</v>
      </c>
      <c r="D106" s="6" t="s">
        <v>21</v>
      </c>
      <c r="E106" s="6" t="s">
        <v>166</v>
      </c>
      <c r="F106" s="8">
        <v>1</v>
      </c>
      <c r="G106" s="9">
        <v>924.88</v>
      </c>
      <c r="H106" s="10">
        <v>924.88</v>
      </c>
    </row>
    <row r="107" spans="1:8" ht="33" x14ac:dyDescent="0.25">
      <c r="A107" s="5" t="s">
        <v>305</v>
      </c>
      <c r="B107" s="6" t="s">
        <v>306</v>
      </c>
      <c r="C107" s="7" t="s">
        <v>307</v>
      </c>
      <c r="D107" s="6" t="s">
        <v>21</v>
      </c>
      <c r="E107" s="6" t="s">
        <v>166</v>
      </c>
      <c r="F107" s="8">
        <v>1</v>
      </c>
      <c r="G107" s="9">
        <v>555.51</v>
      </c>
      <c r="H107" s="10">
        <v>555.51</v>
      </c>
    </row>
    <row r="108" spans="1:8" ht="24.75" x14ac:dyDescent="0.25">
      <c r="A108" s="5" t="s">
        <v>308</v>
      </c>
      <c r="B108" s="6" t="s">
        <v>303</v>
      </c>
      <c r="C108" s="7" t="s">
        <v>304</v>
      </c>
      <c r="D108" s="6" t="s">
        <v>21</v>
      </c>
      <c r="E108" s="6" t="s">
        <v>166</v>
      </c>
      <c r="F108" s="8">
        <v>1</v>
      </c>
      <c r="G108" s="9">
        <v>924.88</v>
      </c>
      <c r="H108" s="10">
        <v>924.88</v>
      </c>
    </row>
    <row r="109" spans="1:8" ht="24.75" x14ac:dyDescent="0.25">
      <c r="A109" s="5" t="s">
        <v>309</v>
      </c>
      <c r="B109" s="6" t="s">
        <v>310</v>
      </c>
      <c r="C109" s="7" t="s">
        <v>311</v>
      </c>
      <c r="D109" s="6" t="s">
        <v>21</v>
      </c>
      <c r="E109" s="6" t="s">
        <v>166</v>
      </c>
      <c r="F109" s="8">
        <v>5</v>
      </c>
      <c r="G109" s="9">
        <v>43.88</v>
      </c>
      <c r="H109" s="10">
        <v>219.4</v>
      </c>
    </row>
    <row r="110" spans="1:8" ht="19.899999999999999" customHeight="1" x14ac:dyDescent="0.25">
      <c r="A110" s="3" t="s">
        <v>312</v>
      </c>
      <c r="B110" s="600" t="s">
        <v>313</v>
      </c>
      <c r="C110" s="600"/>
      <c r="D110" s="600"/>
      <c r="E110" s="600"/>
      <c r="F110" s="600"/>
      <c r="G110" s="600"/>
      <c r="H110" s="4">
        <v>152184.26</v>
      </c>
    </row>
    <row r="111" spans="1:8" ht="16.5" x14ac:dyDescent="0.25">
      <c r="A111" s="5" t="s">
        <v>314</v>
      </c>
      <c r="B111" s="6" t="s">
        <v>315</v>
      </c>
      <c r="C111" s="7" t="s">
        <v>316</v>
      </c>
      <c r="D111" s="6" t="s">
        <v>21</v>
      </c>
      <c r="E111" s="6" t="s">
        <v>41</v>
      </c>
      <c r="F111" s="8">
        <v>31.73</v>
      </c>
      <c r="G111" s="9">
        <v>593.44000000000005</v>
      </c>
      <c r="H111" s="10">
        <v>18829.849999999999</v>
      </c>
    </row>
    <row r="112" spans="1:8" ht="49.5" x14ac:dyDescent="0.25">
      <c r="A112" s="5" t="s">
        <v>317</v>
      </c>
      <c r="B112" s="6" t="s">
        <v>318</v>
      </c>
      <c r="C112" s="7" t="s">
        <v>319</v>
      </c>
      <c r="D112" s="6" t="s">
        <v>21</v>
      </c>
      <c r="E112" s="6" t="s">
        <v>17</v>
      </c>
      <c r="F112" s="8">
        <v>634.5</v>
      </c>
      <c r="G112" s="9">
        <v>46.08</v>
      </c>
      <c r="H112" s="10">
        <v>29237.759999999998</v>
      </c>
    </row>
    <row r="113" spans="1:8" ht="33" x14ac:dyDescent="0.25">
      <c r="A113" s="5" t="s">
        <v>320</v>
      </c>
      <c r="B113" s="6" t="s">
        <v>321</v>
      </c>
      <c r="C113" s="7" t="s">
        <v>322</v>
      </c>
      <c r="D113" s="6" t="s">
        <v>21</v>
      </c>
      <c r="E113" s="6" t="s">
        <v>17</v>
      </c>
      <c r="F113" s="8">
        <v>634.5</v>
      </c>
      <c r="G113" s="9">
        <v>95.14</v>
      </c>
      <c r="H113" s="10">
        <v>60366.33</v>
      </c>
    </row>
    <row r="114" spans="1:8" ht="24.75" x14ac:dyDescent="0.25">
      <c r="A114" s="5" t="s">
        <v>323</v>
      </c>
      <c r="B114" s="6" t="s">
        <v>324</v>
      </c>
      <c r="C114" s="7" t="s">
        <v>325</v>
      </c>
      <c r="D114" s="6" t="s">
        <v>21</v>
      </c>
      <c r="E114" s="6" t="s">
        <v>17</v>
      </c>
      <c r="F114" s="8">
        <v>629.38</v>
      </c>
      <c r="G114" s="9">
        <v>51.12</v>
      </c>
      <c r="H114" s="10">
        <v>32173.91</v>
      </c>
    </row>
    <row r="115" spans="1:8" ht="41.25" x14ac:dyDescent="0.25">
      <c r="A115" s="5" t="s">
        <v>326</v>
      </c>
      <c r="B115" s="6" t="s">
        <v>327</v>
      </c>
      <c r="C115" s="7" t="s">
        <v>328</v>
      </c>
      <c r="D115" s="6" t="s">
        <v>21</v>
      </c>
      <c r="E115" s="6" t="s">
        <v>37</v>
      </c>
      <c r="F115" s="8">
        <v>126.37</v>
      </c>
      <c r="G115" s="9">
        <v>47.25</v>
      </c>
      <c r="H115" s="10">
        <v>5970.98</v>
      </c>
    </row>
    <row r="116" spans="1:8" ht="16.5" x14ac:dyDescent="0.25">
      <c r="A116" s="5" t="s">
        <v>329</v>
      </c>
      <c r="B116" s="6" t="s">
        <v>330</v>
      </c>
      <c r="C116" s="7" t="s">
        <v>331</v>
      </c>
      <c r="D116" s="6" t="s">
        <v>21</v>
      </c>
      <c r="E116" s="6" t="s">
        <v>41</v>
      </c>
      <c r="F116" s="8">
        <v>7.46</v>
      </c>
      <c r="G116" s="9">
        <v>70.77</v>
      </c>
      <c r="H116" s="10">
        <v>527.94000000000005</v>
      </c>
    </row>
    <row r="117" spans="1:8" x14ac:dyDescent="0.25">
      <c r="A117" s="5" t="s">
        <v>332</v>
      </c>
      <c r="B117" s="6" t="s">
        <v>333</v>
      </c>
      <c r="C117" s="7" t="s">
        <v>334</v>
      </c>
      <c r="D117" s="6" t="s">
        <v>21</v>
      </c>
      <c r="E117" s="6" t="s">
        <v>17</v>
      </c>
      <c r="F117" s="8">
        <v>25.6</v>
      </c>
      <c r="G117" s="9">
        <v>15.87</v>
      </c>
      <c r="H117" s="10">
        <v>406.27</v>
      </c>
    </row>
    <row r="118" spans="1:8" ht="24.75" x14ac:dyDescent="0.25">
      <c r="A118" s="5" t="s">
        <v>335</v>
      </c>
      <c r="B118" s="6" t="s">
        <v>336</v>
      </c>
      <c r="C118" s="7" t="s">
        <v>337</v>
      </c>
      <c r="D118" s="6" t="s">
        <v>21</v>
      </c>
      <c r="E118" s="6" t="s">
        <v>17</v>
      </c>
      <c r="F118" s="8">
        <v>39.6</v>
      </c>
      <c r="G118" s="9">
        <v>117.96</v>
      </c>
      <c r="H118" s="10">
        <v>4671.22</v>
      </c>
    </row>
    <row r="119" spans="1:8" ht="19.899999999999999" customHeight="1" x14ac:dyDescent="0.25">
      <c r="A119" s="3" t="s">
        <v>338</v>
      </c>
      <c r="B119" s="600" t="s">
        <v>339</v>
      </c>
      <c r="C119" s="600"/>
      <c r="D119" s="600"/>
      <c r="E119" s="600"/>
      <c r="F119" s="600"/>
      <c r="G119" s="600"/>
      <c r="H119" s="4">
        <v>172109.59</v>
      </c>
    </row>
    <row r="120" spans="1:8" ht="41.25" x14ac:dyDescent="0.25">
      <c r="A120" s="5" t="s">
        <v>340</v>
      </c>
      <c r="B120" s="6" t="s">
        <v>341</v>
      </c>
      <c r="C120" s="7" t="s">
        <v>342</v>
      </c>
      <c r="D120" s="6" t="s">
        <v>21</v>
      </c>
      <c r="E120" s="6" t="s">
        <v>17</v>
      </c>
      <c r="F120" s="8">
        <v>610.20000000000005</v>
      </c>
      <c r="G120" s="9">
        <v>69.180000000000007</v>
      </c>
      <c r="H120" s="10">
        <v>42213.64</v>
      </c>
    </row>
    <row r="121" spans="1:8" ht="24.75" x14ac:dyDescent="0.25">
      <c r="A121" s="5" t="s">
        <v>343</v>
      </c>
      <c r="B121" s="6" t="s">
        <v>344</v>
      </c>
      <c r="C121" s="7" t="s">
        <v>345</v>
      </c>
      <c r="D121" s="6" t="s">
        <v>21</v>
      </c>
      <c r="E121" s="6" t="s">
        <v>17</v>
      </c>
      <c r="F121" s="8">
        <v>181.61</v>
      </c>
      <c r="G121" s="9">
        <v>109.11</v>
      </c>
      <c r="H121" s="10">
        <v>19815.47</v>
      </c>
    </row>
    <row r="122" spans="1:8" ht="24.75" x14ac:dyDescent="0.25">
      <c r="A122" s="5" t="s">
        <v>346</v>
      </c>
      <c r="B122" s="6" t="s">
        <v>347</v>
      </c>
      <c r="C122" s="7" t="s">
        <v>348</v>
      </c>
      <c r="D122" s="6" t="s">
        <v>21</v>
      </c>
      <c r="E122" s="6" t="s">
        <v>17</v>
      </c>
      <c r="F122" s="8">
        <v>181.61</v>
      </c>
      <c r="G122" s="9">
        <v>46.12</v>
      </c>
      <c r="H122" s="10">
        <v>8375.85</v>
      </c>
    </row>
    <row r="123" spans="1:8" ht="41.25" x14ac:dyDescent="0.25">
      <c r="A123" s="5" t="s">
        <v>349</v>
      </c>
      <c r="B123" s="6" t="s">
        <v>350</v>
      </c>
      <c r="C123" s="7" t="s">
        <v>351</v>
      </c>
      <c r="D123" s="6" t="s">
        <v>21</v>
      </c>
      <c r="E123" s="6" t="s">
        <v>166</v>
      </c>
      <c r="F123" s="8">
        <v>10</v>
      </c>
      <c r="G123" s="9">
        <v>2472.0700000000002</v>
      </c>
      <c r="H123" s="10">
        <v>24720.7</v>
      </c>
    </row>
    <row r="124" spans="1:8" ht="41.25" x14ac:dyDescent="0.25">
      <c r="A124" s="5" t="s">
        <v>352</v>
      </c>
      <c r="B124" s="6" t="s">
        <v>353</v>
      </c>
      <c r="C124" s="7" t="s">
        <v>354</v>
      </c>
      <c r="D124" s="6" t="s">
        <v>21</v>
      </c>
      <c r="E124" s="6" t="s">
        <v>166</v>
      </c>
      <c r="F124" s="8">
        <v>10</v>
      </c>
      <c r="G124" s="9">
        <v>2766.14</v>
      </c>
      <c r="H124" s="10">
        <v>27661.4</v>
      </c>
    </row>
    <row r="125" spans="1:8" ht="33" x14ac:dyDescent="0.25">
      <c r="A125" s="5" t="s">
        <v>355</v>
      </c>
      <c r="B125" s="6" t="s">
        <v>356</v>
      </c>
      <c r="C125" s="7" t="s">
        <v>357</v>
      </c>
      <c r="D125" s="6" t="s">
        <v>21</v>
      </c>
      <c r="E125" s="6" t="s">
        <v>17</v>
      </c>
      <c r="F125" s="8">
        <v>610.20000000000005</v>
      </c>
      <c r="G125" s="9">
        <v>15.3</v>
      </c>
      <c r="H125" s="10">
        <v>9336.06</v>
      </c>
    </row>
    <row r="126" spans="1:8" ht="24.75" x14ac:dyDescent="0.25">
      <c r="A126" s="5" t="s">
        <v>358</v>
      </c>
      <c r="B126" s="6" t="s">
        <v>359</v>
      </c>
      <c r="C126" s="7" t="s">
        <v>360</v>
      </c>
      <c r="D126" s="6" t="s">
        <v>21</v>
      </c>
      <c r="E126" s="6" t="s">
        <v>37</v>
      </c>
      <c r="F126" s="8">
        <v>113.1</v>
      </c>
      <c r="G126" s="9">
        <v>84.59</v>
      </c>
      <c r="H126" s="10">
        <v>9567.1299999999992</v>
      </c>
    </row>
    <row r="127" spans="1:8" ht="24.75" x14ac:dyDescent="0.25">
      <c r="A127" s="5" t="s">
        <v>361</v>
      </c>
      <c r="B127" s="6" t="s">
        <v>362</v>
      </c>
      <c r="C127" s="7" t="s">
        <v>363</v>
      </c>
      <c r="D127" s="6" t="s">
        <v>21</v>
      </c>
      <c r="E127" s="6" t="s">
        <v>37</v>
      </c>
      <c r="F127" s="8">
        <v>52.64</v>
      </c>
      <c r="G127" s="9">
        <v>165.04</v>
      </c>
      <c r="H127" s="10">
        <v>8687.7099999999991</v>
      </c>
    </row>
    <row r="128" spans="1:8" ht="16.5" x14ac:dyDescent="0.25">
      <c r="A128" s="5" t="s">
        <v>364</v>
      </c>
      <c r="B128" s="6" t="s">
        <v>365</v>
      </c>
      <c r="C128" s="7" t="s">
        <v>366</v>
      </c>
      <c r="D128" s="6" t="s">
        <v>21</v>
      </c>
      <c r="E128" s="6" t="s">
        <v>17</v>
      </c>
      <c r="F128" s="8">
        <v>634.5</v>
      </c>
      <c r="G128" s="9">
        <v>34.25</v>
      </c>
      <c r="H128" s="10">
        <v>21731.63</v>
      </c>
    </row>
    <row r="129" spans="1:8" ht="19.899999999999999" customHeight="1" x14ac:dyDescent="0.25">
      <c r="A129" s="3" t="s">
        <v>367</v>
      </c>
      <c r="B129" s="600" t="s">
        <v>368</v>
      </c>
      <c r="C129" s="600"/>
      <c r="D129" s="600"/>
      <c r="E129" s="600"/>
      <c r="F129" s="600"/>
      <c r="G129" s="600"/>
      <c r="H129" s="4">
        <v>36628.07</v>
      </c>
    </row>
    <row r="130" spans="1:8" ht="41.25" x14ac:dyDescent="0.25">
      <c r="A130" s="5" t="s">
        <v>369</v>
      </c>
      <c r="B130" s="6" t="s">
        <v>370</v>
      </c>
      <c r="C130" s="7" t="s">
        <v>371</v>
      </c>
      <c r="D130" s="6" t="s">
        <v>21</v>
      </c>
      <c r="E130" s="6" t="s">
        <v>37</v>
      </c>
      <c r="F130" s="8">
        <v>98.77</v>
      </c>
      <c r="G130" s="9">
        <v>39.15</v>
      </c>
      <c r="H130" s="10">
        <v>3866.85</v>
      </c>
    </row>
    <row r="131" spans="1:8" ht="41.25" x14ac:dyDescent="0.25">
      <c r="A131" s="5" t="s">
        <v>372</v>
      </c>
      <c r="B131" s="6" t="s">
        <v>373</v>
      </c>
      <c r="C131" s="7" t="s">
        <v>374</v>
      </c>
      <c r="D131" s="6" t="s">
        <v>21</v>
      </c>
      <c r="E131" s="6" t="s">
        <v>37</v>
      </c>
      <c r="F131" s="8">
        <v>62.17</v>
      </c>
      <c r="G131" s="9">
        <v>40.17</v>
      </c>
      <c r="H131" s="10">
        <v>2497.37</v>
      </c>
    </row>
    <row r="132" spans="1:8" ht="41.25" x14ac:dyDescent="0.25">
      <c r="A132" s="5" t="s">
        <v>375</v>
      </c>
      <c r="B132" s="6" t="s">
        <v>376</v>
      </c>
      <c r="C132" s="7" t="s">
        <v>377</v>
      </c>
      <c r="D132" s="6" t="s">
        <v>21</v>
      </c>
      <c r="E132" s="6" t="s">
        <v>37</v>
      </c>
      <c r="F132" s="8">
        <v>24.75</v>
      </c>
      <c r="G132" s="9">
        <v>30.41</v>
      </c>
      <c r="H132" s="10">
        <v>752.65</v>
      </c>
    </row>
    <row r="133" spans="1:8" ht="41.25" x14ac:dyDescent="0.25">
      <c r="A133" s="5" t="s">
        <v>378</v>
      </c>
      <c r="B133" s="6" t="s">
        <v>379</v>
      </c>
      <c r="C133" s="7" t="s">
        <v>380</v>
      </c>
      <c r="D133" s="6" t="s">
        <v>21</v>
      </c>
      <c r="E133" s="6" t="s">
        <v>37</v>
      </c>
      <c r="F133" s="8">
        <v>25.92</v>
      </c>
      <c r="G133" s="9">
        <v>36.86</v>
      </c>
      <c r="H133" s="10">
        <v>955.41</v>
      </c>
    </row>
    <row r="134" spans="1:8" ht="24.75" x14ac:dyDescent="0.25">
      <c r="A134" s="5" t="s">
        <v>381</v>
      </c>
      <c r="B134" s="6" t="s">
        <v>382</v>
      </c>
      <c r="C134" s="7" t="s">
        <v>383</v>
      </c>
      <c r="D134" s="6" t="s">
        <v>21</v>
      </c>
      <c r="E134" s="6" t="s">
        <v>166</v>
      </c>
      <c r="F134" s="8">
        <v>10</v>
      </c>
      <c r="G134" s="9">
        <v>102.73</v>
      </c>
      <c r="H134" s="10">
        <v>1027.3</v>
      </c>
    </row>
    <row r="135" spans="1:8" ht="16.5" x14ac:dyDescent="0.25">
      <c r="A135" s="5" t="s">
        <v>384</v>
      </c>
      <c r="B135" s="6" t="s">
        <v>385</v>
      </c>
      <c r="C135" s="7" t="s">
        <v>386</v>
      </c>
      <c r="D135" s="6" t="s">
        <v>21</v>
      </c>
      <c r="E135" s="6" t="s">
        <v>166</v>
      </c>
      <c r="F135" s="8">
        <v>2</v>
      </c>
      <c r="G135" s="9">
        <v>29.96</v>
      </c>
      <c r="H135" s="10">
        <v>59.92</v>
      </c>
    </row>
    <row r="136" spans="1:8" ht="24.75" x14ac:dyDescent="0.25">
      <c r="A136" s="5" t="s">
        <v>387</v>
      </c>
      <c r="B136" s="6" t="s">
        <v>388</v>
      </c>
      <c r="C136" s="7" t="s">
        <v>389</v>
      </c>
      <c r="D136" s="6" t="s">
        <v>21</v>
      </c>
      <c r="E136" s="6" t="s">
        <v>166</v>
      </c>
      <c r="F136" s="8">
        <v>6</v>
      </c>
      <c r="G136" s="9">
        <v>97.38</v>
      </c>
      <c r="H136" s="10">
        <v>584.28</v>
      </c>
    </row>
    <row r="137" spans="1:8" ht="24.75" x14ac:dyDescent="0.25">
      <c r="A137" s="5" t="s">
        <v>390</v>
      </c>
      <c r="B137" s="6" t="s">
        <v>391</v>
      </c>
      <c r="C137" s="7" t="s">
        <v>392</v>
      </c>
      <c r="D137" s="6" t="s">
        <v>21</v>
      </c>
      <c r="E137" s="6" t="s">
        <v>166</v>
      </c>
      <c r="F137" s="8">
        <v>2</v>
      </c>
      <c r="G137" s="9">
        <v>742.5</v>
      </c>
      <c r="H137" s="10">
        <v>1485</v>
      </c>
    </row>
    <row r="138" spans="1:8" ht="16.5" x14ac:dyDescent="0.25">
      <c r="A138" s="5" t="s">
        <v>393</v>
      </c>
      <c r="B138" s="6" t="s">
        <v>394</v>
      </c>
      <c r="C138" s="7" t="s">
        <v>395</v>
      </c>
      <c r="D138" s="6" t="s">
        <v>21</v>
      </c>
      <c r="E138" s="6" t="s">
        <v>166</v>
      </c>
      <c r="F138" s="8">
        <v>2</v>
      </c>
      <c r="G138" s="9">
        <v>1379.9</v>
      </c>
      <c r="H138" s="10">
        <v>2759.8</v>
      </c>
    </row>
    <row r="139" spans="1:8" ht="16.5" x14ac:dyDescent="0.25">
      <c r="A139" s="5" t="s">
        <v>396</v>
      </c>
      <c r="B139" s="6" t="s">
        <v>397</v>
      </c>
      <c r="C139" s="7" t="s">
        <v>398</v>
      </c>
      <c r="D139" s="6" t="s">
        <v>21</v>
      </c>
      <c r="E139" s="6" t="s">
        <v>166</v>
      </c>
      <c r="F139" s="8">
        <v>4</v>
      </c>
      <c r="G139" s="9">
        <v>47</v>
      </c>
      <c r="H139" s="10">
        <v>188</v>
      </c>
    </row>
    <row r="140" spans="1:8" ht="16.5" x14ac:dyDescent="0.25">
      <c r="A140" s="5" t="s">
        <v>399</v>
      </c>
      <c r="B140" s="6" t="s">
        <v>400</v>
      </c>
      <c r="C140" s="7" t="s">
        <v>401</v>
      </c>
      <c r="D140" s="6" t="s">
        <v>21</v>
      </c>
      <c r="E140" s="6" t="s">
        <v>166</v>
      </c>
      <c r="F140" s="8">
        <v>4</v>
      </c>
      <c r="G140" s="9">
        <v>40.99</v>
      </c>
      <c r="H140" s="10">
        <v>163.96</v>
      </c>
    </row>
    <row r="141" spans="1:8" ht="16.5" x14ac:dyDescent="0.25">
      <c r="A141" s="5" t="s">
        <v>402</v>
      </c>
      <c r="B141" s="6" t="s">
        <v>403</v>
      </c>
      <c r="C141" s="7" t="s">
        <v>404</v>
      </c>
      <c r="D141" s="6" t="s">
        <v>21</v>
      </c>
      <c r="E141" s="6" t="s">
        <v>166</v>
      </c>
      <c r="F141" s="8">
        <v>2</v>
      </c>
      <c r="G141" s="9">
        <v>42.12</v>
      </c>
      <c r="H141" s="10">
        <v>84.24</v>
      </c>
    </row>
    <row r="142" spans="1:8" ht="16.5" x14ac:dyDescent="0.25">
      <c r="A142" s="5" t="s">
        <v>405</v>
      </c>
      <c r="B142" s="6" t="s">
        <v>406</v>
      </c>
      <c r="C142" s="7" t="s">
        <v>407</v>
      </c>
      <c r="D142" s="6" t="s">
        <v>21</v>
      </c>
      <c r="E142" s="6" t="s">
        <v>166</v>
      </c>
      <c r="F142" s="8">
        <v>1</v>
      </c>
      <c r="G142" s="9">
        <v>147.76</v>
      </c>
      <c r="H142" s="10">
        <v>147.76</v>
      </c>
    </row>
    <row r="143" spans="1:8" ht="33" x14ac:dyDescent="0.25">
      <c r="A143" s="5" t="s">
        <v>408</v>
      </c>
      <c r="B143" s="6" t="s">
        <v>409</v>
      </c>
      <c r="C143" s="7" t="s">
        <v>410</v>
      </c>
      <c r="D143" s="6" t="s">
        <v>21</v>
      </c>
      <c r="E143" s="6" t="s">
        <v>166</v>
      </c>
      <c r="F143" s="8">
        <v>7</v>
      </c>
      <c r="G143" s="9">
        <v>503.94</v>
      </c>
      <c r="H143" s="10">
        <v>3527.58</v>
      </c>
    </row>
    <row r="144" spans="1:8" ht="33" x14ac:dyDescent="0.25">
      <c r="A144" s="5" t="s">
        <v>411</v>
      </c>
      <c r="B144" s="6" t="s">
        <v>412</v>
      </c>
      <c r="C144" s="7" t="s">
        <v>413</v>
      </c>
      <c r="D144" s="6" t="s">
        <v>21</v>
      </c>
      <c r="E144" s="6" t="s">
        <v>166</v>
      </c>
      <c r="F144" s="8">
        <v>1</v>
      </c>
      <c r="G144" s="9">
        <v>206.7</v>
      </c>
      <c r="H144" s="10">
        <v>206.7</v>
      </c>
    </row>
    <row r="145" spans="1:8" ht="24.75" x14ac:dyDescent="0.25">
      <c r="A145" s="5" t="s">
        <v>414</v>
      </c>
      <c r="B145" s="6" t="s">
        <v>415</v>
      </c>
      <c r="C145" s="7" t="s">
        <v>416</v>
      </c>
      <c r="D145" s="6" t="s">
        <v>21</v>
      </c>
      <c r="E145" s="6" t="s">
        <v>166</v>
      </c>
      <c r="F145" s="8">
        <v>10</v>
      </c>
      <c r="G145" s="9">
        <v>32.83</v>
      </c>
      <c r="H145" s="10">
        <v>328.3</v>
      </c>
    </row>
    <row r="146" spans="1:8" ht="49.5" x14ac:dyDescent="0.25">
      <c r="A146" s="5" t="s">
        <v>417</v>
      </c>
      <c r="B146" s="6" t="s">
        <v>418</v>
      </c>
      <c r="C146" s="7" t="s">
        <v>419</v>
      </c>
      <c r="D146" s="6" t="s">
        <v>21</v>
      </c>
      <c r="E146" s="6" t="s">
        <v>37</v>
      </c>
      <c r="F146" s="8">
        <v>38.85</v>
      </c>
      <c r="G146" s="9">
        <v>54.23</v>
      </c>
      <c r="H146" s="10">
        <v>2106.84</v>
      </c>
    </row>
    <row r="147" spans="1:8" ht="49.5" x14ac:dyDescent="0.25">
      <c r="A147" s="5" t="s">
        <v>420</v>
      </c>
      <c r="B147" s="6" t="s">
        <v>421</v>
      </c>
      <c r="C147" s="7" t="s">
        <v>422</v>
      </c>
      <c r="D147" s="6" t="s">
        <v>21</v>
      </c>
      <c r="E147" s="6" t="s">
        <v>37</v>
      </c>
      <c r="F147" s="8">
        <v>46.51</v>
      </c>
      <c r="G147" s="9">
        <v>87.3</v>
      </c>
      <c r="H147" s="10">
        <v>4060.32</v>
      </c>
    </row>
    <row r="148" spans="1:8" ht="33" x14ac:dyDescent="0.25">
      <c r="A148" s="5" t="s">
        <v>423</v>
      </c>
      <c r="B148" s="6" t="s">
        <v>424</v>
      </c>
      <c r="C148" s="7" t="s">
        <v>425</v>
      </c>
      <c r="D148" s="6" t="s">
        <v>21</v>
      </c>
      <c r="E148" s="6" t="s">
        <v>166</v>
      </c>
      <c r="F148" s="8">
        <v>1</v>
      </c>
      <c r="G148" s="9">
        <v>243.02</v>
      </c>
      <c r="H148" s="10">
        <v>243.02</v>
      </c>
    </row>
    <row r="149" spans="1:8" ht="49.5" x14ac:dyDescent="0.25">
      <c r="A149" s="5" t="s">
        <v>426</v>
      </c>
      <c r="B149" s="6" t="s">
        <v>427</v>
      </c>
      <c r="C149" s="7" t="s">
        <v>428</v>
      </c>
      <c r="D149" s="6" t="s">
        <v>21</v>
      </c>
      <c r="E149" s="6" t="s">
        <v>37</v>
      </c>
      <c r="F149" s="8">
        <v>132.77000000000001</v>
      </c>
      <c r="G149" s="9">
        <v>65.239999999999995</v>
      </c>
      <c r="H149" s="10">
        <v>8661.91</v>
      </c>
    </row>
    <row r="150" spans="1:8" ht="33" x14ac:dyDescent="0.25">
      <c r="A150" s="5" t="s">
        <v>429</v>
      </c>
      <c r="B150" s="6" t="s">
        <v>430</v>
      </c>
      <c r="C150" s="7" t="s">
        <v>431</v>
      </c>
      <c r="D150" s="6" t="s">
        <v>21</v>
      </c>
      <c r="E150" s="6" t="s">
        <v>166</v>
      </c>
      <c r="F150" s="8">
        <v>2</v>
      </c>
      <c r="G150" s="9">
        <v>247.12</v>
      </c>
      <c r="H150" s="10">
        <v>494.24</v>
      </c>
    </row>
    <row r="151" spans="1:8" ht="49.5" x14ac:dyDescent="0.25">
      <c r="A151" s="5" t="s">
        <v>432</v>
      </c>
      <c r="B151" s="6" t="s">
        <v>433</v>
      </c>
      <c r="C151" s="7" t="s">
        <v>434</v>
      </c>
      <c r="D151" s="6" t="s">
        <v>21</v>
      </c>
      <c r="E151" s="6" t="s">
        <v>37</v>
      </c>
      <c r="F151" s="8">
        <v>43.01</v>
      </c>
      <c r="G151" s="9">
        <v>56.42</v>
      </c>
      <c r="H151" s="10">
        <v>2426.62</v>
      </c>
    </row>
    <row r="152" spans="1:8" ht="19.899999999999999" customHeight="1" x14ac:dyDescent="0.25">
      <c r="A152" s="3" t="s">
        <v>435</v>
      </c>
      <c r="B152" s="600" t="s">
        <v>436</v>
      </c>
      <c r="C152" s="600"/>
      <c r="D152" s="600"/>
      <c r="E152" s="600"/>
      <c r="F152" s="600"/>
      <c r="G152" s="600"/>
      <c r="H152" s="4">
        <v>44112.13</v>
      </c>
    </row>
    <row r="153" spans="1:8" ht="16.5" x14ac:dyDescent="0.25">
      <c r="A153" s="5" t="s">
        <v>437</v>
      </c>
      <c r="B153" s="6" t="s">
        <v>438</v>
      </c>
      <c r="C153" s="7" t="s">
        <v>439</v>
      </c>
      <c r="D153" s="6" t="s">
        <v>16</v>
      </c>
      <c r="E153" s="6" t="s">
        <v>17</v>
      </c>
      <c r="F153" s="8">
        <v>14.07</v>
      </c>
      <c r="G153" s="9">
        <v>530.87</v>
      </c>
      <c r="H153" s="10">
        <v>7469.34</v>
      </c>
    </row>
    <row r="154" spans="1:8" ht="24.75" x14ac:dyDescent="0.25">
      <c r="A154" s="5" t="s">
        <v>440</v>
      </c>
      <c r="B154" s="6" t="s">
        <v>441</v>
      </c>
      <c r="C154" s="7" t="s">
        <v>442</v>
      </c>
      <c r="D154" s="6" t="s">
        <v>21</v>
      </c>
      <c r="E154" s="6" t="s">
        <v>166</v>
      </c>
      <c r="F154" s="8">
        <v>10</v>
      </c>
      <c r="G154" s="9">
        <v>70.64</v>
      </c>
      <c r="H154" s="10">
        <v>706.4</v>
      </c>
    </row>
    <row r="155" spans="1:8" ht="24.75" x14ac:dyDescent="0.25">
      <c r="A155" s="5" t="s">
        <v>443</v>
      </c>
      <c r="B155" s="6" t="s">
        <v>444</v>
      </c>
      <c r="C155" s="7" t="s">
        <v>445</v>
      </c>
      <c r="D155" s="6" t="s">
        <v>21</v>
      </c>
      <c r="E155" s="6" t="s">
        <v>166</v>
      </c>
      <c r="F155" s="8">
        <v>3</v>
      </c>
      <c r="G155" s="9">
        <v>82.65</v>
      </c>
      <c r="H155" s="10">
        <v>247.95</v>
      </c>
    </row>
    <row r="156" spans="1:8" ht="24.75" x14ac:dyDescent="0.25">
      <c r="A156" s="5" t="s">
        <v>446</v>
      </c>
      <c r="B156" s="6" t="s">
        <v>447</v>
      </c>
      <c r="C156" s="7" t="s">
        <v>448</v>
      </c>
      <c r="D156" s="6" t="s">
        <v>21</v>
      </c>
      <c r="E156" s="6" t="s">
        <v>166</v>
      </c>
      <c r="F156" s="8">
        <v>8</v>
      </c>
      <c r="G156" s="9">
        <v>500.75</v>
      </c>
      <c r="H156" s="10">
        <v>4006</v>
      </c>
    </row>
    <row r="157" spans="1:8" ht="33" x14ac:dyDescent="0.25">
      <c r="A157" s="5" t="s">
        <v>449</v>
      </c>
      <c r="B157" s="6" t="s">
        <v>450</v>
      </c>
      <c r="C157" s="7" t="s">
        <v>451</v>
      </c>
      <c r="D157" s="6" t="s">
        <v>21</v>
      </c>
      <c r="E157" s="6" t="s">
        <v>166</v>
      </c>
      <c r="F157" s="8">
        <v>9</v>
      </c>
      <c r="G157" s="9">
        <v>530.35</v>
      </c>
      <c r="H157" s="10">
        <v>4773.1499999999996</v>
      </c>
    </row>
    <row r="158" spans="1:8" ht="33" x14ac:dyDescent="0.25">
      <c r="A158" s="5" t="s">
        <v>452</v>
      </c>
      <c r="B158" s="6" t="s">
        <v>453</v>
      </c>
      <c r="C158" s="7" t="s">
        <v>454</v>
      </c>
      <c r="D158" s="6" t="s">
        <v>21</v>
      </c>
      <c r="E158" s="6" t="s">
        <v>166</v>
      </c>
      <c r="F158" s="8">
        <v>2</v>
      </c>
      <c r="G158" s="9">
        <v>324.29000000000002</v>
      </c>
      <c r="H158" s="10">
        <v>648.58000000000004</v>
      </c>
    </row>
    <row r="159" spans="1:8" ht="24.75" x14ac:dyDescent="0.25">
      <c r="A159" s="5" t="s">
        <v>455</v>
      </c>
      <c r="B159" s="6" t="s">
        <v>456</v>
      </c>
      <c r="C159" s="7" t="s">
        <v>457</v>
      </c>
      <c r="D159" s="6" t="s">
        <v>21</v>
      </c>
      <c r="E159" s="6" t="s">
        <v>166</v>
      </c>
      <c r="F159" s="8">
        <v>2</v>
      </c>
      <c r="G159" s="9">
        <v>353.45</v>
      </c>
      <c r="H159" s="10">
        <v>706.9</v>
      </c>
    </row>
    <row r="160" spans="1:8" ht="41.25" x14ac:dyDescent="0.25">
      <c r="A160" s="5" t="s">
        <v>458</v>
      </c>
      <c r="B160" s="6" t="s">
        <v>459</v>
      </c>
      <c r="C160" s="7" t="s">
        <v>460</v>
      </c>
      <c r="D160" s="6" t="s">
        <v>21</v>
      </c>
      <c r="E160" s="6" t="s">
        <v>166</v>
      </c>
      <c r="F160" s="8">
        <v>1</v>
      </c>
      <c r="G160" s="9">
        <v>260.25</v>
      </c>
      <c r="H160" s="10">
        <v>260.25</v>
      </c>
    </row>
    <row r="161" spans="1:8" ht="41.25" x14ac:dyDescent="0.25">
      <c r="A161" s="5" t="s">
        <v>461</v>
      </c>
      <c r="B161" s="6" t="s">
        <v>462</v>
      </c>
      <c r="C161" s="7" t="s">
        <v>463</v>
      </c>
      <c r="D161" s="6" t="s">
        <v>21</v>
      </c>
      <c r="E161" s="6" t="s">
        <v>166</v>
      </c>
      <c r="F161" s="8">
        <v>1</v>
      </c>
      <c r="G161" s="9">
        <v>586.14</v>
      </c>
      <c r="H161" s="10">
        <v>586.14</v>
      </c>
    </row>
    <row r="162" spans="1:8" ht="41.25" x14ac:dyDescent="0.25">
      <c r="A162" s="5" t="s">
        <v>464</v>
      </c>
      <c r="B162" s="6" t="s">
        <v>465</v>
      </c>
      <c r="C162" s="7" t="s">
        <v>466</v>
      </c>
      <c r="D162" s="6" t="s">
        <v>21</v>
      </c>
      <c r="E162" s="6" t="s">
        <v>166</v>
      </c>
      <c r="F162" s="8">
        <v>1</v>
      </c>
      <c r="G162" s="9">
        <v>769.27</v>
      </c>
      <c r="H162" s="10">
        <v>769.27</v>
      </c>
    </row>
    <row r="163" spans="1:8" ht="24.75" x14ac:dyDescent="0.25">
      <c r="A163" s="5" t="s">
        <v>467</v>
      </c>
      <c r="B163" s="6" t="s">
        <v>468</v>
      </c>
      <c r="C163" s="7" t="s">
        <v>469</v>
      </c>
      <c r="D163" s="6" t="s">
        <v>21</v>
      </c>
      <c r="E163" s="6" t="s">
        <v>17</v>
      </c>
      <c r="F163" s="8">
        <v>33.92</v>
      </c>
      <c r="G163" s="9">
        <v>692.62</v>
      </c>
      <c r="H163" s="10">
        <v>23493.67</v>
      </c>
    </row>
    <row r="164" spans="1:8" ht="16.5" x14ac:dyDescent="0.25">
      <c r="A164" s="5" t="s">
        <v>470</v>
      </c>
      <c r="B164" s="6" t="s">
        <v>471</v>
      </c>
      <c r="C164" s="7" t="s">
        <v>472</v>
      </c>
      <c r="D164" s="6" t="s">
        <v>21</v>
      </c>
      <c r="E164" s="6" t="s">
        <v>166</v>
      </c>
      <c r="F164" s="8">
        <v>4</v>
      </c>
      <c r="G164" s="9">
        <v>111.12</v>
      </c>
      <c r="H164" s="10">
        <v>444.48</v>
      </c>
    </row>
    <row r="165" spans="1:8" ht="19.899999999999999" customHeight="1" x14ac:dyDescent="0.25">
      <c r="A165" s="3" t="s">
        <v>473</v>
      </c>
      <c r="B165" s="600" t="s">
        <v>474</v>
      </c>
      <c r="C165" s="600"/>
      <c r="D165" s="600"/>
      <c r="E165" s="600"/>
      <c r="F165" s="600"/>
      <c r="G165" s="600"/>
      <c r="H165" s="4">
        <v>118436.8</v>
      </c>
    </row>
    <row r="166" spans="1:8" ht="24.75" x14ac:dyDescent="0.25">
      <c r="A166" s="5" t="s">
        <v>475</v>
      </c>
      <c r="B166" s="6" t="s">
        <v>35</v>
      </c>
      <c r="C166" s="7" t="s">
        <v>36</v>
      </c>
      <c r="D166" s="6" t="s">
        <v>21</v>
      </c>
      <c r="E166" s="6" t="s">
        <v>37</v>
      </c>
      <c r="F166" s="8">
        <v>130.85</v>
      </c>
      <c r="G166" s="9">
        <v>52.4</v>
      </c>
      <c r="H166" s="10">
        <v>6856.54</v>
      </c>
    </row>
    <row r="167" spans="1:8" ht="16.5" x14ac:dyDescent="0.25">
      <c r="A167" s="5" t="s">
        <v>476</v>
      </c>
      <c r="B167" s="6" t="s">
        <v>39</v>
      </c>
      <c r="C167" s="7" t="s">
        <v>40</v>
      </c>
      <c r="D167" s="6" t="s">
        <v>21</v>
      </c>
      <c r="E167" s="6" t="s">
        <v>41</v>
      </c>
      <c r="F167" s="8">
        <v>32.68</v>
      </c>
      <c r="G167" s="9">
        <v>64.95</v>
      </c>
      <c r="H167" s="10">
        <v>2122.5700000000002</v>
      </c>
    </row>
    <row r="168" spans="1:8" ht="16.5" x14ac:dyDescent="0.25">
      <c r="A168" s="5" t="s">
        <v>477</v>
      </c>
      <c r="B168" s="6" t="s">
        <v>43</v>
      </c>
      <c r="C168" s="7" t="s">
        <v>44</v>
      </c>
      <c r="D168" s="6" t="s">
        <v>21</v>
      </c>
      <c r="E168" s="6" t="s">
        <v>41</v>
      </c>
      <c r="F168" s="8">
        <v>11.01</v>
      </c>
      <c r="G168" s="9">
        <v>39.369999999999997</v>
      </c>
      <c r="H168" s="10">
        <v>433.46</v>
      </c>
    </row>
    <row r="169" spans="1:8" ht="24.75" x14ac:dyDescent="0.25">
      <c r="A169" s="5" t="s">
        <v>478</v>
      </c>
      <c r="B169" s="6" t="s">
        <v>479</v>
      </c>
      <c r="C169" s="7" t="s">
        <v>480</v>
      </c>
      <c r="D169" s="6" t="s">
        <v>21</v>
      </c>
      <c r="E169" s="6" t="s">
        <v>37</v>
      </c>
      <c r="F169" s="8">
        <v>244.5</v>
      </c>
      <c r="G169" s="9">
        <v>39.79</v>
      </c>
      <c r="H169" s="10">
        <v>9728.66</v>
      </c>
    </row>
    <row r="170" spans="1:8" ht="16.5" x14ac:dyDescent="0.25">
      <c r="A170" s="5" t="s">
        <v>481</v>
      </c>
      <c r="B170" s="6" t="s">
        <v>54</v>
      </c>
      <c r="C170" s="7" t="s">
        <v>55</v>
      </c>
      <c r="D170" s="6" t="s">
        <v>21</v>
      </c>
      <c r="E170" s="6" t="s">
        <v>17</v>
      </c>
      <c r="F170" s="8">
        <v>15.48</v>
      </c>
      <c r="G170" s="9">
        <v>4.91</v>
      </c>
      <c r="H170" s="10">
        <v>76.010000000000005</v>
      </c>
    </row>
    <row r="171" spans="1:8" ht="24.75" x14ac:dyDescent="0.25">
      <c r="A171" s="5" t="s">
        <v>482</v>
      </c>
      <c r="B171" s="6" t="s">
        <v>57</v>
      </c>
      <c r="C171" s="7" t="s">
        <v>58</v>
      </c>
      <c r="D171" s="6" t="s">
        <v>21</v>
      </c>
      <c r="E171" s="6" t="s">
        <v>17</v>
      </c>
      <c r="F171" s="8">
        <v>15.48</v>
      </c>
      <c r="G171" s="9">
        <v>30.67</v>
      </c>
      <c r="H171" s="10">
        <v>474.77</v>
      </c>
    </row>
    <row r="172" spans="1:8" ht="24.75" x14ac:dyDescent="0.25">
      <c r="A172" s="5" t="s">
        <v>483</v>
      </c>
      <c r="B172" s="6" t="s">
        <v>60</v>
      </c>
      <c r="C172" s="7" t="s">
        <v>61</v>
      </c>
      <c r="D172" s="6" t="s">
        <v>21</v>
      </c>
      <c r="E172" s="6" t="s">
        <v>62</v>
      </c>
      <c r="F172" s="8">
        <v>167.13</v>
      </c>
      <c r="G172" s="9">
        <v>15.99</v>
      </c>
      <c r="H172" s="10">
        <v>2672.41</v>
      </c>
    </row>
    <row r="173" spans="1:8" ht="24.75" x14ac:dyDescent="0.25">
      <c r="A173" s="5" t="s">
        <v>484</v>
      </c>
      <c r="B173" s="6" t="s">
        <v>64</v>
      </c>
      <c r="C173" s="7" t="s">
        <v>65</v>
      </c>
      <c r="D173" s="6" t="s">
        <v>21</v>
      </c>
      <c r="E173" s="6" t="s">
        <v>41</v>
      </c>
      <c r="F173" s="8">
        <v>9.89</v>
      </c>
      <c r="G173" s="9">
        <v>530.88</v>
      </c>
      <c r="H173" s="10">
        <v>5250.4</v>
      </c>
    </row>
    <row r="174" spans="1:8" ht="33" x14ac:dyDescent="0.25">
      <c r="A174" s="5" t="s">
        <v>485</v>
      </c>
      <c r="B174" s="6" t="s">
        <v>486</v>
      </c>
      <c r="C174" s="7" t="s">
        <v>487</v>
      </c>
      <c r="D174" s="6" t="s">
        <v>21</v>
      </c>
      <c r="E174" s="6" t="s">
        <v>41</v>
      </c>
      <c r="F174" s="8">
        <v>11.78</v>
      </c>
      <c r="G174" s="9">
        <v>496.62</v>
      </c>
      <c r="H174" s="10">
        <v>5850.18</v>
      </c>
    </row>
    <row r="175" spans="1:8" ht="24.75" x14ac:dyDescent="0.25">
      <c r="A175" s="5" t="s">
        <v>488</v>
      </c>
      <c r="B175" s="6" t="s">
        <v>70</v>
      </c>
      <c r="C175" s="7" t="s">
        <v>71</v>
      </c>
      <c r="D175" s="6" t="s">
        <v>21</v>
      </c>
      <c r="E175" s="6" t="s">
        <v>41</v>
      </c>
      <c r="F175" s="8">
        <v>9.89</v>
      </c>
      <c r="G175" s="9">
        <v>230.55</v>
      </c>
      <c r="H175" s="10">
        <v>2280.14</v>
      </c>
    </row>
    <row r="176" spans="1:8" ht="24.75" x14ac:dyDescent="0.25">
      <c r="A176" s="5" t="s">
        <v>489</v>
      </c>
      <c r="B176" s="6" t="s">
        <v>73</v>
      </c>
      <c r="C176" s="7" t="s">
        <v>74</v>
      </c>
      <c r="D176" s="6" t="s">
        <v>21</v>
      </c>
      <c r="E176" s="6" t="s">
        <v>62</v>
      </c>
      <c r="F176" s="8">
        <v>162.02000000000001</v>
      </c>
      <c r="G176" s="9">
        <v>17.5</v>
      </c>
      <c r="H176" s="10">
        <v>2835.35</v>
      </c>
    </row>
    <row r="177" spans="1:8" ht="24.75" x14ac:dyDescent="0.25">
      <c r="A177" s="5" t="s">
        <v>490</v>
      </c>
      <c r="B177" s="6" t="s">
        <v>79</v>
      </c>
      <c r="C177" s="7" t="s">
        <v>80</v>
      </c>
      <c r="D177" s="6" t="s">
        <v>21</v>
      </c>
      <c r="E177" s="6" t="s">
        <v>62</v>
      </c>
      <c r="F177" s="8">
        <v>377.8</v>
      </c>
      <c r="G177" s="9">
        <v>14.35</v>
      </c>
      <c r="H177" s="10">
        <v>5421.43</v>
      </c>
    </row>
    <row r="178" spans="1:8" ht="24.75" x14ac:dyDescent="0.25">
      <c r="A178" s="5" t="s">
        <v>491</v>
      </c>
      <c r="B178" s="6" t="s">
        <v>85</v>
      </c>
      <c r="C178" s="7" t="s">
        <v>86</v>
      </c>
      <c r="D178" s="6" t="s">
        <v>21</v>
      </c>
      <c r="E178" s="6" t="s">
        <v>17</v>
      </c>
      <c r="F178" s="8">
        <v>149.6</v>
      </c>
      <c r="G178" s="9">
        <v>69.64</v>
      </c>
      <c r="H178" s="10">
        <v>10418.14</v>
      </c>
    </row>
    <row r="179" spans="1:8" ht="16.5" x14ac:dyDescent="0.25">
      <c r="A179" s="5" t="s">
        <v>492</v>
      </c>
      <c r="B179" s="6" t="s">
        <v>88</v>
      </c>
      <c r="C179" s="7" t="s">
        <v>89</v>
      </c>
      <c r="D179" s="6" t="s">
        <v>21</v>
      </c>
      <c r="E179" s="6" t="s">
        <v>17</v>
      </c>
      <c r="F179" s="8">
        <v>65.430000000000007</v>
      </c>
      <c r="G179" s="9">
        <v>48.22</v>
      </c>
      <c r="H179" s="10">
        <v>3155.03</v>
      </c>
    </row>
    <row r="180" spans="1:8" ht="33" x14ac:dyDescent="0.25">
      <c r="A180" s="5" t="s">
        <v>493</v>
      </c>
      <c r="B180" s="6" t="s">
        <v>136</v>
      </c>
      <c r="C180" s="7" t="s">
        <v>137</v>
      </c>
      <c r="D180" s="6" t="s">
        <v>21</v>
      </c>
      <c r="E180" s="6" t="s">
        <v>17</v>
      </c>
      <c r="F180" s="8">
        <v>405.64</v>
      </c>
      <c r="G180" s="9">
        <v>46.86</v>
      </c>
      <c r="H180" s="10">
        <v>19008.29</v>
      </c>
    </row>
    <row r="181" spans="1:8" ht="33" x14ac:dyDescent="0.25">
      <c r="A181" s="5" t="s">
        <v>494</v>
      </c>
      <c r="B181" s="6" t="s">
        <v>150</v>
      </c>
      <c r="C181" s="7" t="s">
        <v>151</v>
      </c>
      <c r="D181" s="6" t="s">
        <v>21</v>
      </c>
      <c r="E181" s="6" t="s">
        <v>17</v>
      </c>
      <c r="F181" s="8">
        <v>811.27</v>
      </c>
      <c r="G181" s="9">
        <v>6.08</v>
      </c>
      <c r="H181" s="10">
        <v>4932.5200000000004</v>
      </c>
    </row>
    <row r="182" spans="1:8" ht="41.25" x14ac:dyDescent="0.25">
      <c r="A182" s="5" t="s">
        <v>495</v>
      </c>
      <c r="B182" s="6" t="s">
        <v>153</v>
      </c>
      <c r="C182" s="7" t="s">
        <v>154</v>
      </c>
      <c r="D182" s="6" t="s">
        <v>21</v>
      </c>
      <c r="E182" s="6" t="s">
        <v>17</v>
      </c>
      <c r="F182" s="8">
        <v>811.27</v>
      </c>
      <c r="G182" s="9">
        <v>22.4</v>
      </c>
      <c r="H182" s="10">
        <v>18172.45</v>
      </c>
    </row>
    <row r="183" spans="1:8" ht="16.5" x14ac:dyDescent="0.25">
      <c r="A183" s="5" t="s">
        <v>496</v>
      </c>
      <c r="B183" s="6" t="s">
        <v>197</v>
      </c>
      <c r="C183" s="7" t="s">
        <v>198</v>
      </c>
      <c r="D183" s="6" t="s">
        <v>21</v>
      </c>
      <c r="E183" s="6" t="s">
        <v>17</v>
      </c>
      <c r="F183" s="8">
        <v>811.27</v>
      </c>
      <c r="G183" s="9">
        <v>12.16</v>
      </c>
      <c r="H183" s="10">
        <v>9865.0400000000009</v>
      </c>
    </row>
    <row r="184" spans="1:8" ht="16.5" x14ac:dyDescent="0.25">
      <c r="A184" s="5" t="s">
        <v>497</v>
      </c>
      <c r="B184" s="6" t="s">
        <v>498</v>
      </c>
      <c r="C184" s="7" t="s">
        <v>499</v>
      </c>
      <c r="D184" s="6" t="s">
        <v>21</v>
      </c>
      <c r="E184" s="6" t="s">
        <v>17</v>
      </c>
      <c r="F184" s="8">
        <v>811.27</v>
      </c>
      <c r="G184" s="9">
        <v>10.95</v>
      </c>
      <c r="H184" s="10">
        <v>8883.41</v>
      </c>
    </row>
    <row r="185" spans="1:8" ht="19.899999999999999" customHeight="1" x14ac:dyDescent="0.25">
      <c r="A185" s="3" t="s">
        <v>500</v>
      </c>
      <c r="B185" s="600" t="s">
        <v>501</v>
      </c>
      <c r="C185" s="600"/>
      <c r="D185" s="600"/>
      <c r="E185" s="600"/>
      <c r="F185" s="600"/>
      <c r="G185" s="600"/>
      <c r="H185" s="4">
        <v>13488.97</v>
      </c>
    </row>
    <row r="186" spans="1:8" ht="33" x14ac:dyDescent="0.25">
      <c r="A186" s="5" t="s">
        <v>502</v>
      </c>
      <c r="B186" s="6" t="s">
        <v>503</v>
      </c>
      <c r="C186" s="7" t="s">
        <v>504</v>
      </c>
      <c r="D186" s="6" t="s">
        <v>16</v>
      </c>
      <c r="E186" s="6" t="s">
        <v>166</v>
      </c>
      <c r="F186" s="8">
        <v>2</v>
      </c>
      <c r="G186" s="9">
        <v>4877.91</v>
      </c>
      <c r="H186" s="10">
        <v>9755.82</v>
      </c>
    </row>
    <row r="187" spans="1:8" ht="33" x14ac:dyDescent="0.25">
      <c r="A187" s="5" t="s">
        <v>505</v>
      </c>
      <c r="B187" s="6" t="s">
        <v>506</v>
      </c>
      <c r="C187" s="7" t="s">
        <v>507</v>
      </c>
      <c r="D187" s="6" t="s">
        <v>16</v>
      </c>
      <c r="E187" s="6" t="s">
        <v>166</v>
      </c>
      <c r="F187" s="8">
        <v>1</v>
      </c>
      <c r="G187" s="9">
        <v>3733.15</v>
      </c>
      <c r="H187" s="10">
        <v>3733.15</v>
      </c>
    </row>
    <row r="188" spans="1:8" ht="15" customHeight="1" x14ac:dyDescent="0.25">
      <c r="A188" s="1"/>
      <c r="B188" s="1"/>
      <c r="C188" s="1"/>
      <c r="D188" s="1"/>
      <c r="E188" s="1"/>
      <c r="F188" s="601" t="s">
        <v>508</v>
      </c>
      <c r="G188" s="601"/>
      <c r="H188" s="4">
        <v>232596.52</v>
      </c>
    </row>
    <row r="189" spans="1:8" ht="15" customHeight="1" x14ac:dyDescent="0.25">
      <c r="A189" s="1"/>
      <c r="B189" s="1"/>
      <c r="C189" s="1"/>
      <c r="D189" s="1"/>
      <c r="E189" s="1"/>
      <c r="F189" s="601" t="s">
        <v>509</v>
      </c>
      <c r="G189" s="601"/>
      <c r="H189" s="4">
        <v>1007781.91</v>
      </c>
    </row>
    <row r="190" spans="1:8" ht="15" customHeight="1" x14ac:dyDescent="0.25">
      <c r="A190" s="1"/>
      <c r="B190" s="1"/>
      <c r="C190" s="1"/>
      <c r="D190" s="1"/>
      <c r="E190" s="1"/>
      <c r="F190" s="601" t="s">
        <v>510</v>
      </c>
      <c r="G190" s="601"/>
      <c r="H190" s="4">
        <v>1240378.43</v>
      </c>
    </row>
  </sheetData>
  <mergeCells count="22">
    <mergeCell ref="F189:G189"/>
    <mergeCell ref="F190:G190"/>
    <mergeCell ref="B129:G129"/>
    <mergeCell ref="B152:G152"/>
    <mergeCell ref="B165:G165"/>
    <mergeCell ref="B185:G185"/>
    <mergeCell ref="F188:G188"/>
    <mergeCell ref="B66:G66"/>
    <mergeCell ref="B73:G73"/>
    <mergeCell ref="B81:G81"/>
    <mergeCell ref="B110:G110"/>
    <mergeCell ref="B119:G119"/>
    <mergeCell ref="B17:G17"/>
    <mergeCell ref="B31:G31"/>
    <mergeCell ref="B47:G47"/>
    <mergeCell ref="B52:G52"/>
    <mergeCell ref="B57:G57"/>
    <mergeCell ref="A1:H1"/>
    <mergeCell ref="B2:G2"/>
    <mergeCell ref="B4:G4"/>
    <mergeCell ref="B5:G5"/>
    <mergeCell ref="B12:G12"/>
  </mergeCells>
  <pageMargins left="0" right="0" top="0" bottom="0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23</vt:i4>
      </vt:variant>
      <vt:variant>
        <vt:lpstr>Intervalos Nomeados</vt:lpstr>
      </vt:variant>
      <vt:variant>
        <vt:i4>23</vt:i4>
      </vt:variant>
    </vt:vector>
  </HeadingPairs>
  <TitlesOfParts>
    <vt:vector size="46" baseType="lpstr">
      <vt:lpstr>MEMORIAL DE CALCULO 01</vt:lpstr>
      <vt:lpstr>MEMORIAL DE CALCULO 02</vt:lpstr>
      <vt:lpstr>MEMORIAL FOTOGRÁFICO 01</vt:lpstr>
      <vt:lpstr>MEMORIAL FOTOGRÁFICO 02</vt:lpstr>
      <vt:lpstr>MEMORIAL DE CALCULO 03</vt:lpstr>
      <vt:lpstr>MEMORIAL FOTOGRÁFICO 03</vt:lpstr>
      <vt:lpstr>MEMORIAL DE CALCULO 04</vt:lpstr>
      <vt:lpstr>BOLETIM DE MEDIÇÃO 05</vt:lpstr>
      <vt:lpstr>MEMORIAL DE CALCULO 05</vt:lpstr>
      <vt:lpstr>MEMORIAL FOTOGRÁFICO 04</vt:lpstr>
      <vt:lpstr>MEMORIAL FOTOGRÁFICO 05</vt:lpstr>
      <vt:lpstr>BOLETIM DE MEDIÇÃO 12</vt:lpstr>
      <vt:lpstr>MEMÓRIA MEDIÇÃO 12</vt:lpstr>
      <vt:lpstr>MEMORIAL DE CALCULO 10</vt:lpstr>
      <vt:lpstr>MEMORIAL DE CALCULO 09)</vt:lpstr>
      <vt:lpstr>MEMORIAL DE CALCULO 08</vt:lpstr>
      <vt:lpstr>MEMORIAL DE CALCULO 07</vt:lpstr>
      <vt:lpstr>MEMORIAL DE CALCULO 06</vt:lpstr>
      <vt:lpstr>MEMORIAL FOTOGRÁFICO 06</vt:lpstr>
      <vt:lpstr>MEMORIAL FOTOGRÁFICO 09</vt:lpstr>
      <vt:lpstr>MEMORIAL FOTOGRÁFICO 08</vt:lpstr>
      <vt:lpstr>MEMORIAL FOTOGRÁFICO 07</vt:lpstr>
      <vt:lpstr>orcamento</vt:lpstr>
      <vt:lpstr>'BOLETIM DE MEDIÇÃO 05'!Area_de_impressao</vt:lpstr>
      <vt:lpstr>'BOLETIM DE MEDIÇÃO 12'!Area_de_impressao</vt:lpstr>
      <vt:lpstr>'MEMÓRIA MEDIÇÃO 12'!Area_de_impressao</vt:lpstr>
      <vt:lpstr>'MEMORIAL DE CALCULO 01'!Area_de_impressao</vt:lpstr>
      <vt:lpstr>'MEMORIAL DE CALCULO 02'!Area_de_impressao</vt:lpstr>
      <vt:lpstr>'MEMORIAL DE CALCULO 03'!Area_de_impressao</vt:lpstr>
      <vt:lpstr>'MEMORIAL DE CALCULO 04'!Area_de_impressao</vt:lpstr>
      <vt:lpstr>'MEMORIAL DE CALCULO 05'!Area_de_impressao</vt:lpstr>
      <vt:lpstr>'MEMORIAL DE CALCULO 06'!Area_de_impressao</vt:lpstr>
      <vt:lpstr>'MEMORIAL DE CALCULO 07'!Area_de_impressao</vt:lpstr>
      <vt:lpstr>'MEMORIAL DE CALCULO 08'!Area_de_impressao</vt:lpstr>
      <vt:lpstr>'MEMORIAL DE CALCULO 09)'!Area_de_impressao</vt:lpstr>
      <vt:lpstr>'MEMORIAL DE CALCULO 10'!Area_de_impressao</vt:lpstr>
      <vt:lpstr>'MEMORIAL FOTOGRÁFICO 01'!Area_de_impressao</vt:lpstr>
      <vt:lpstr>'MEMORIAL FOTOGRÁFICO 02'!Area_de_impressao</vt:lpstr>
      <vt:lpstr>'MEMORIAL FOTOGRÁFICO 03'!Area_de_impressao</vt:lpstr>
      <vt:lpstr>'MEMORIAL FOTOGRÁFICO 04'!Area_de_impressao</vt:lpstr>
      <vt:lpstr>'MEMORIAL FOTOGRÁFICO 05'!Area_de_impressao</vt:lpstr>
      <vt:lpstr>'MEMORIAL FOTOGRÁFICO 06'!Area_de_impressao</vt:lpstr>
      <vt:lpstr>'MEMORIAL FOTOGRÁFICO 07'!Area_de_impressao</vt:lpstr>
      <vt:lpstr>'MEMORIAL FOTOGRÁFICO 08'!Area_de_impressao</vt:lpstr>
      <vt:lpstr>'MEMORIAL FOTOGRÁFICO 09'!Area_de_impressao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2024-02-19T14:44:34Z</dcterms:created>
  <dcterms:modified xsi:type="dcterms:W3CDTF">2025-11-25T01:36:26Z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2023-12-14T22:30:03Z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ddb11f74-4bfe-479b-a28c-dd322473d55b</vt:lpwstr>
  </property>
  <property fmtid="{D5CDD505-2E9C-101B-9397-08002B2CF9AE}" pid="7" name="MSIP_Label_defa4170-0d19-0005-0004-bc88714345d2_ActionId">
    <vt:lpwstr>2e4d41f0-d2c9-40cc-b846-57bda7413001</vt:lpwstr>
  </property>
  <property fmtid="{D5CDD505-2E9C-101B-9397-08002B2CF9AE}" pid="8" name="MSIP_Label_defa4170-0d19-0005-0004-bc88714345d2_ContentBits">
    <vt:lpwstr>0</vt:lpwstr>
  </property>
</Properties>
</file>