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 defaultThemeVersion="166925"/>
  <xr:revisionPtr revIDLastSave="0" documentId="13_ncr:1_{6266FAD6-66B6-4A3B-A9DE-422C1CDAE714}" xr6:coauthVersionLast="47" xr6:coauthVersionMax="47" xr10:uidLastSave="{00000000-0000-0000-0000-000000000000}"/>
  <bookViews>
    <workbookView xWindow="-120" yWindow="-120" windowWidth="20730" windowHeight="11160" firstSheet="11" activeTab="12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4" sheetId="15" r:id="rId12"/>
    <sheet name="MEMÓRIA MEDIÇÃO 14" sheetId="27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08" sheetId="21" state="hidden" r:id="rId21"/>
    <sheet name="MEMORIAL FOTOGRÁFICO 07" sheetId="19" state="hidden" r:id="rId22"/>
    <sheet name="orcamento" sheetId="1" state="hidden" r:id="rId23"/>
  </sheets>
  <definedNames>
    <definedName name="_xlnm.Print_Area" localSheetId="7">'BOLETIM DE MEDIÇÃO 05'!$B$2:$Z$198</definedName>
    <definedName name="_xlnm.Print_Area" localSheetId="11">'BOLETIM DE MEDIÇÃO 14'!$B$2:$AN$227</definedName>
    <definedName name="_xlnm.Print_Area" localSheetId="12">'MEMÓRIA MEDIÇÃO 14'!$A$2:$F$205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1">'MEMORIAL FOTOGRÁFICO 07'!$B$2:$Z$62</definedName>
    <definedName name="_xlnm.Print_Area" localSheetId="20">'MEMORIAL FOTOGRÁFICO 08'!$B$2:$Z$62</definedName>
    <definedName name="_xlnm.Print_Area" localSheetId="19">'MEMORIAL FOTOGRÁFICO 09'!$B$2:$Z$62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27" l="1"/>
  <c r="F120" i="27"/>
  <c r="F200" i="27"/>
  <c r="F199" i="27"/>
  <c r="F186" i="27"/>
  <c r="F123" i="27"/>
  <c r="F22" i="27"/>
  <c r="F116" i="27"/>
  <c r="F102" i="27"/>
  <c r="F89" i="27"/>
  <c r="F88" i="27"/>
  <c r="F87" i="27"/>
  <c r="F86" i="27"/>
  <c r="H81" i="27"/>
  <c r="AK209" i="15" l="1"/>
  <c r="AK15" i="15"/>
  <c r="AK16" i="15"/>
  <c r="AK17" i="15"/>
  <c r="AK18" i="15"/>
  <c r="AK19" i="15"/>
  <c r="AK20" i="15"/>
  <c r="AK21" i="15"/>
  <c r="AK22" i="15"/>
  <c r="AK23" i="15"/>
  <c r="AK24" i="15"/>
  <c r="AK25" i="15"/>
  <c r="AK26" i="15"/>
  <c r="AK27" i="15"/>
  <c r="AK28" i="15"/>
  <c r="AK29" i="15"/>
  <c r="AK30" i="15"/>
  <c r="AK31" i="15"/>
  <c r="AK32" i="15"/>
  <c r="AK33" i="15"/>
  <c r="AK34" i="15"/>
  <c r="AK35" i="15"/>
  <c r="AK36" i="15"/>
  <c r="AK37" i="15"/>
  <c r="AK38" i="15"/>
  <c r="AK39" i="15"/>
  <c r="AK40" i="15"/>
  <c r="AK41" i="15"/>
  <c r="AK42" i="15"/>
  <c r="AK43" i="15"/>
  <c r="AK44" i="15"/>
  <c r="AK45" i="15"/>
  <c r="AK46" i="15"/>
  <c r="AK47" i="15"/>
  <c r="AK48" i="15"/>
  <c r="AK49" i="15"/>
  <c r="AK50" i="15"/>
  <c r="AK51" i="15"/>
  <c r="AK52" i="15"/>
  <c r="AK53" i="15"/>
  <c r="AK54" i="15"/>
  <c r="AK55" i="15"/>
  <c r="AK56" i="15"/>
  <c r="AK57" i="15"/>
  <c r="AK58" i="15"/>
  <c r="AK59" i="15"/>
  <c r="AK60" i="15"/>
  <c r="AK61" i="15"/>
  <c r="AK62" i="15"/>
  <c r="AK63" i="15"/>
  <c r="AK64" i="15"/>
  <c r="AK65" i="15"/>
  <c r="AK66" i="15"/>
  <c r="AK67" i="15"/>
  <c r="AK68" i="15"/>
  <c r="AK69" i="15"/>
  <c r="AK70" i="15"/>
  <c r="AK71" i="15"/>
  <c r="AK72" i="15"/>
  <c r="AK73" i="15"/>
  <c r="AK74" i="15"/>
  <c r="AK75" i="15"/>
  <c r="AK76" i="15"/>
  <c r="AK77" i="15"/>
  <c r="AK78" i="15"/>
  <c r="AK79" i="15"/>
  <c r="AK80" i="15"/>
  <c r="AK81" i="15"/>
  <c r="AK82" i="15"/>
  <c r="AK83" i="15"/>
  <c r="AK84" i="15"/>
  <c r="AK85" i="15"/>
  <c r="AK86" i="15"/>
  <c r="AK87" i="15"/>
  <c r="AK88" i="15"/>
  <c r="AK89" i="15"/>
  <c r="AK90" i="15"/>
  <c r="AK91" i="15"/>
  <c r="AK92" i="15"/>
  <c r="AK93" i="15"/>
  <c r="AK94" i="15"/>
  <c r="AK95" i="15"/>
  <c r="AK96" i="15"/>
  <c r="AK97" i="15"/>
  <c r="AK98" i="15"/>
  <c r="AK99" i="15"/>
  <c r="AK100" i="15"/>
  <c r="AK101" i="15"/>
  <c r="AK102" i="15"/>
  <c r="AK103" i="15"/>
  <c r="AK104" i="15"/>
  <c r="AK105" i="15"/>
  <c r="AK106" i="15"/>
  <c r="AK107" i="15"/>
  <c r="AK108" i="15"/>
  <c r="AK109" i="15"/>
  <c r="AK110" i="15"/>
  <c r="AK111" i="15"/>
  <c r="AK112" i="15"/>
  <c r="AK113" i="15"/>
  <c r="AK114" i="15"/>
  <c r="AK115" i="15"/>
  <c r="AK116" i="15"/>
  <c r="AK117" i="15"/>
  <c r="AK118" i="15"/>
  <c r="AK119" i="15"/>
  <c r="AK120" i="15"/>
  <c r="AK121" i="15"/>
  <c r="AK122" i="15"/>
  <c r="AK123" i="15"/>
  <c r="AK124" i="15"/>
  <c r="AK125" i="15"/>
  <c r="AK126" i="15"/>
  <c r="AK127" i="15"/>
  <c r="AK128" i="15"/>
  <c r="AK129" i="15"/>
  <c r="AK130" i="15"/>
  <c r="AK131" i="15"/>
  <c r="AK132" i="15"/>
  <c r="AK133" i="15"/>
  <c r="AK134" i="15"/>
  <c r="AK135" i="15"/>
  <c r="AK136" i="15"/>
  <c r="AK137" i="15"/>
  <c r="AK138" i="15"/>
  <c r="AK139" i="15"/>
  <c r="AK140" i="15"/>
  <c r="AK141" i="15"/>
  <c r="AK142" i="15"/>
  <c r="AK143" i="15"/>
  <c r="AK144" i="15"/>
  <c r="AK145" i="15"/>
  <c r="AK146" i="15"/>
  <c r="AK147" i="15"/>
  <c r="AK148" i="15"/>
  <c r="AK149" i="15"/>
  <c r="AK150" i="15"/>
  <c r="AK151" i="15"/>
  <c r="AK152" i="15"/>
  <c r="AK153" i="15"/>
  <c r="AK154" i="15"/>
  <c r="AK155" i="15"/>
  <c r="AK156" i="15"/>
  <c r="AK157" i="15"/>
  <c r="AK158" i="15"/>
  <c r="AK159" i="15"/>
  <c r="AK160" i="15"/>
  <c r="AK161" i="15"/>
  <c r="AK162" i="15"/>
  <c r="AK163" i="15"/>
  <c r="AK164" i="15"/>
  <c r="AK165" i="15"/>
  <c r="AK166" i="15"/>
  <c r="AK167" i="15"/>
  <c r="AK168" i="15"/>
  <c r="AK169" i="15"/>
  <c r="AK170" i="15"/>
  <c r="AK171" i="15"/>
  <c r="AK172" i="15"/>
  <c r="AK173" i="15"/>
  <c r="AK174" i="15"/>
  <c r="AK175" i="15"/>
  <c r="AK176" i="15"/>
  <c r="AK177" i="15"/>
  <c r="AK178" i="15"/>
  <c r="AK179" i="15"/>
  <c r="AK180" i="15"/>
  <c r="AK181" i="15"/>
  <c r="AK182" i="15"/>
  <c r="AK183" i="15"/>
  <c r="AK184" i="15"/>
  <c r="AK185" i="15"/>
  <c r="AK186" i="15"/>
  <c r="AK187" i="15"/>
  <c r="AK188" i="15"/>
  <c r="AK189" i="15"/>
  <c r="AK190" i="15"/>
  <c r="AK191" i="15"/>
  <c r="AK192" i="15"/>
  <c r="AK193" i="15"/>
  <c r="AK194" i="15"/>
  <c r="AK195" i="15"/>
  <c r="AK196" i="15"/>
  <c r="AK197" i="15"/>
  <c r="AK198" i="15"/>
  <c r="AK199" i="15"/>
  <c r="AK200" i="15"/>
  <c r="AK201" i="15"/>
  <c r="AK202" i="15"/>
  <c r="AK203" i="15"/>
  <c r="AK204" i="15"/>
  <c r="AK205" i="15"/>
  <c r="AK206" i="15"/>
  <c r="AK207" i="15"/>
  <c r="AK208" i="15"/>
  <c r="AK14" i="15"/>
  <c r="G129" i="27" l="1"/>
  <c r="G122" i="27"/>
  <c r="U121" i="15" l="1"/>
  <c r="U15" i="15"/>
  <c r="U16" i="15"/>
  <c r="U17" i="15"/>
  <c r="U18" i="15"/>
  <c r="U19" i="15"/>
  <c r="U20" i="15"/>
  <c r="V20" i="15" s="1"/>
  <c r="U21" i="15"/>
  <c r="U22" i="15"/>
  <c r="U23" i="15"/>
  <c r="U24" i="15"/>
  <c r="V24" i="15" s="1"/>
  <c r="U25" i="15"/>
  <c r="U26" i="15"/>
  <c r="U27" i="15"/>
  <c r="U28" i="15"/>
  <c r="V28" i="15" s="1"/>
  <c r="U29" i="15"/>
  <c r="U30" i="15"/>
  <c r="U31" i="15"/>
  <c r="V31" i="15" s="1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V55" i="15" s="1"/>
  <c r="U56" i="15"/>
  <c r="U57" i="15"/>
  <c r="U58" i="15"/>
  <c r="U59" i="15"/>
  <c r="U60" i="15"/>
  <c r="U61" i="15"/>
  <c r="V61" i="15" s="1"/>
  <c r="U62" i="15"/>
  <c r="U63" i="15"/>
  <c r="U64" i="15"/>
  <c r="U65" i="15"/>
  <c r="V65" i="15" s="1"/>
  <c r="U66" i="15"/>
  <c r="U67" i="15"/>
  <c r="V67" i="15" s="1"/>
  <c r="U68" i="15"/>
  <c r="U69" i="15"/>
  <c r="V69" i="15" s="1"/>
  <c r="U70" i="15"/>
  <c r="U71" i="15"/>
  <c r="U72" i="15"/>
  <c r="U73" i="15"/>
  <c r="U74" i="15"/>
  <c r="U76" i="15"/>
  <c r="V76" i="15" s="1"/>
  <c r="U77" i="15"/>
  <c r="V77" i="15" s="1"/>
  <c r="U78" i="15"/>
  <c r="U79" i="15"/>
  <c r="U80" i="15"/>
  <c r="U81" i="15"/>
  <c r="V81" i="15" s="1"/>
  <c r="U82" i="15"/>
  <c r="U83" i="15"/>
  <c r="U84" i="15"/>
  <c r="U85" i="15"/>
  <c r="U87" i="15"/>
  <c r="V87" i="15" s="1"/>
  <c r="U88" i="15"/>
  <c r="V88" i="15" s="1"/>
  <c r="U89" i="15"/>
  <c r="U90" i="15"/>
  <c r="U91" i="15"/>
  <c r="V91" i="15" s="1"/>
  <c r="U92" i="15"/>
  <c r="V92" i="15" s="1"/>
  <c r="U93" i="15"/>
  <c r="V93" i="15" s="1"/>
  <c r="U94" i="15"/>
  <c r="U95" i="15"/>
  <c r="V95" i="15" s="1"/>
  <c r="U96" i="15"/>
  <c r="U97" i="15"/>
  <c r="V97" i="15" s="1"/>
  <c r="U98" i="15"/>
  <c r="U99" i="15"/>
  <c r="U100" i="15"/>
  <c r="U101" i="15"/>
  <c r="U102" i="15"/>
  <c r="U103" i="15"/>
  <c r="V103" i="15" s="1"/>
  <c r="U104" i="15"/>
  <c r="V104" i="15" s="1"/>
  <c r="U105" i="15"/>
  <c r="U106" i="15"/>
  <c r="U107" i="15"/>
  <c r="V107" i="15" s="1"/>
  <c r="U108" i="15"/>
  <c r="U109" i="15"/>
  <c r="U110" i="15"/>
  <c r="U111" i="15"/>
  <c r="V111" i="15" s="1"/>
  <c r="U112" i="15"/>
  <c r="U113" i="15"/>
  <c r="U114" i="15"/>
  <c r="U115" i="15"/>
  <c r="U116" i="15"/>
  <c r="U117" i="15"/>
  <c r="U118" i="15"/>
  <c r="U119" i="15"/>
  <c r="U120" i="15"/>
  <c r="U122" i="15"/>
  <c r="U123" i="15"/>
  <c r="V123" i="15" s="1"/>
  <c r="U124" i="15"/>
  <c r="V124" i="15" s="1"/>
  <c r="U125" i="15"/>
  <c r="V125" i="15" s="1"/>
  <c r="U126" i="15"/>
  <c r="U127" i="15"/>
  <c r="U128" i="15"/>
  <c r="U129" i="15"/>
  <c r="V129" i="15" s="1"/>
  <c r="U130" i="15"/>
  <c r="U131" i="15"/>
  <c r="V131" i="15" s="1"/>
  <c r="U132" i="15"/>
  <c r="U133" i="15"/>
  <c r="U134" i="15"/>
  <c r="U135" i="15"/>
  <c r="U136" i="15"/>
  <c r="V136" i="15" s="1"/>
  <c r="U137" i="15"/>
  <c r="U138" i="15"/>
  <c r="U139" i="15"/>
  <c r="V139" i="15" s="1"/>
  <c r="U140" i="15"/>
  <c r="V140" i="15" s="1"/>
  <c r="U141" i="15"/>
  <c r="V141" i="15" s="1"/>
  <c r="U142" i="15"/>
  <c r="U143" i="15"/>
  <c r="V143" i="15" s="1"/>
  <c r="U144" i="15"/>
  <c r="U145" i="15"/>
  <c r="V145" i="15" s="1"/>
  <c r="U146" i="15"/>
  <c r="U147" i="15"/>
  <c r="V147" i="15" s="1"/>
  <c r="U148" i="15"/>
  <c r="V148" i="15" s="1"/>
  <c r="U149" i="15"/>
  <c r="U150" i="15"/>
  <c r="U151" i="15"/>
  <c r="U152" i="15"/>
  <c r="U153" i="15"/>
  <c r="U154" i="15"/>
  <c r="U155" i="15"/>
  <c r="U156" i="15"/>
  <c r="U157" i="15"/>
  <c r="U158" i="15"/>
  <c r="U159" i="15"/>
  <c r="U160" i="15"/>
  <c r="U161" i="15"/>
  <c r="V161" i="15" s="1"/>
  <c r="U162" i="15"/>
  <c r="U163" i="15"/>
  <c r="V163" i="15" s="1"/>
  <c r="U164" i="15"/>
  <c r="U165" i="15"/>
  <c r="U166" i="15"/>
  <c r="U167" i="15"/>
  <c r="U168" i="15"/>
  <c r="U169" i="15"/>
  <c r="V169" i="15" s="1"/>
  <c r="U170" i="15"/>
  <c r="U171" i="15"/>
  <c r="U172" i="15"/>
  <c r="U173" i="15"/>
  <c r="U174" i="15"/>
  <c r="U175" i="15"/>
  <c r="V175" i="15" s="1"/>
  <c r="U176" i="15"/>
  <c r="U177" i="15"/>
  <c r="U178" i="15"/>
  <c r="U179" i="15"/>
  <c r="U180" i="15"/>
  <c r="U181" i="15"/>
  <c r="U182" i="15"/>
  <c r="U183" i="15"/>
  <c r="U184" i="15"/>
  <c r="U185" i="15"/>
  <c r="U186" i="15"/>
  <c r="U187" i="15"/>
  <c r="U188" i="15"/>
  <c r="U189" i="15"/>
  <c r="U190" i="15"/>
  <c r="U191" i="15"/>
  <c r="V191" i="15" s="1"/>
  <c r="U192" i="15"/>
  <c r="U193" i="15"/>
  <c r="U194" i="15"/>
  <c r="U195" i="15"/>
  <c r="U196" i="15"/>
  <c r="U197" i="15"/>
  <c r="U198" i="15"/>
  <c r="U199" i="15"/>
  <c r="U200" i="15"/>
  <c r="U201" i="15"/>
  <c r="V201" i="15" s="1"/>
  <c r="U202" i="15"/>
  <c r="U203" i="15"/>
  <c r="U204" i="15"/>
  <c r="U205" i="15"/>
  <c r="V205" i="15" s="1"/>
  <c r="U206" i="15"/>
  <c r="U207" i="15"/>
  <c r="U208" i="15"/>
  <c r="U14" i="15"/>
  <c r="H17" i="27"/>
  <c r="G17" i="27"/>
  <c r="H20" i="27"/>
  <c r="G20" i="27"/>
  <c r="AL206" i="15" l="1"/>
  <c r="AM206" i="15" s="1"/>
  <c r="V206" i="15"/>
  <c r="AL198" i="15"/>
  <c r="AM198" i="15" s="1"/>
  <c r="V198" i="15"/>
  <c r="AL190" i="15"/>
  <c r="AM190" i="15" s="1"/>
  <c r="V190" i="15"/>
  <c r="AL186" i="15"/>
  <c r="AM186" i="15" s="1"/>
  <c r="V186" i="15"/>
  <c r="AL178" i="15"/>
  <c r="AM178" i="15" s="1"/>
  <c r="V178" i="15"/>
  <c r="AL170" i="15"/>
  <c r="AM170" i="15" s="1"/>
  <c r="V170" i="15"/>
  <c r="AL166" i="15"/>
  <c r="AM166" i="15" s="1"/>
  <c r="V166" i="15"/>
  <c r="AL158" i="15"/>
  <c r="AM158" i="15" s="1"/>
  <c r="V158" i="15"/>
  <c r="AL150" i="15"/>
  <c r="AM150" i="15" s="1"/>
  <c r="V150" i="15"/>
  <c r="AL142" i="15"/>
  <c r="AM142" i="15" s="1"/>
  <c r="V142" i="15"/>
  <c r="AL138" i="15"/>
  <c r="AM138" i="15" s="1"/>
  <c r="V138" i="15"/>
  <c r="AL130" i="15"/>
  <c r="AM130" i="15" s="1"/>
  <c r="V130" i="15"/>
  <c r="AL122" i="15"/>
  <c r="AM122" i="15" s="1"/>
  <c r="V122" i="15"/>
  <c r="AL113" i="15"/>
  <c r="AM113" i="15" s="1"/>
  <c r="V113" i="15"/>
  <c r="AL109" i="15"/>
  <c r="AM109" i="15" s="1"/>
  <c r="V109" i="15"/>
  <c r="AL101" i="15"/>
  <c r="AM101" i="15" s="1"/>
  <c r="V101" i="15"/>
  <c r="AL85" i="15"/>
  <c r="AM85" i="15" s="1"/>
  <c r="V85" i="15"/>
  <c r="AL57" i="15"/>
  <c r="AM57" i="15" s="1"/>
  <c r="V57" i="15"/>
  <c r="AL49" i="15"/>
  <c r="AM49" i="15" s="1"/>
  <c r="V49" i="15"/>
  <c r="AL45" i="15"/>
  <c r="AM45" i="15" s="1"/>
  <c r="V45" i="15"/>
  <c r="AL37" i="15"/>
  <c r="AM37" i="15" s="1"/>
  <c r="V37" i="15"/>
  <c r="AL33" i="15"/>
  <c r="AM33" i="15" s="1"/>
  <c r="V33" i="15"/>
  <c r="AL29" i="15"/>
  <c r="AM29" i="15" s="1"/>
  <c r="V29" i="15"/>
  <c r="AL25" i="15"/>
  <c r="AM25" i="15" s="1"/>
  <c r="V25" i="15"/>
  <c r="AL21" i="15"/>
  <c r="AM21" i="15" s="1"/>
  <c r="V21" i="15"/>
  <c r="AL17" i="15"/>
  <c r="AM17" i="15" s="1"/>
  <c r="V17" i="15"/>
  <c r="AL14" i="15"/>
  <c r="AM14" i="15" s="1"/>
  <c r="V14" i="15"/>
  <c r="AL193" i="15"/>
  <c r="AM193" i="15" s="1"/>
  <c r="V193" i="15"/>
  <c r="AL185" i="15"/>
  <c r="AM185" i="15" s="1"/>
  <c r="V185" i="15"/>
  <c r="AL181" i="15"/>
  <c r="AM181" i="15" s="1"/>
  <c r="V181" i="15"/>
  <c r="AL165" i="15"/>
  <c r="AM165" i="15" s="1"/>
  <c r="V165" i="15"/>
  <c r="AL157" i="15"/>
  <c r="AM157" i="15" s="1"/>
  <c r="V157" i="15"/>
  <c r="AL149" i="15"/>
  <c r="AM149" i="15" s="1"/>
  <c r="V149" i="15"/>
  <c r="AL133" i="15"/>
  <c r="AM133" i="15" s="1"/>
  <c r="V133" i="15"/>
  <c r="AL120" i="15"/>
  <c r="AM120" i="15" s="1"/>
  <c r="V120" i="15"/>
  <c r="AL112" i="15"/>
  <c r="AM112" i="15" s="1"/>
  <c r="V112" i="15"/>
  <c r="AL108" i="15"/>
  <c r="AM108" i="15" s="1"/>
  <c r="V108" i="15"/>
  <c r="AL100" i="15"/>
  <c r="AM100" i="15" s="1"/>
  <c r="V100" i="15"/>
  <c r="AL96" i="15"/>
  <c r="AM96" i="15" s="1"/>
  <c r="V96" i="15"/>
  <c r="AL84" i="15"/>
  <c r="AM84" i="15" s="1"/>
  <c r="V84" i="15"/>
  <c r="AL80" i="15"/>
  <c r="AM80" i="15" s="1"/>
  <c r="V80" i="15"/>
  <c r="AL72" i="15"/>
  <c r="AM72" i="15" s="1"/>
  <c r="V72" i="15"/>
  <c r="AL68" i="15"/>
  <c r="AM68" i="15" s="1"/>
  <c r="V68" i="15"/>
  <c r="AL64" i="15"/>
  <c r="AM64" i="15" s="1"/>
  <c r="V64" i="15"/>
  <c r="F69" i="27" s="1"/>
  <c r="AL60" i="15"/>
  <c r="AM60" i="15" s="1"/>
  <c r="V60" i="15"/>
  <c r="AL56" i="15"/>
  <c r="AM56" i="15" s="1"/>
  <c r="V56" i="15"/>
  <c r="AL52" i="15"/>
  <c r="AM52" i="15" s="1"/>
  <c r="V52" i="15"/>
  <c r="AL48" i="15"/>
  <c r="AM48" i="15" s="1"/>
  <c r="V48" i="15"/>
  <c r="AL44" i="15"/>
  <c r="AM44" i="15" s="1"/>
  <c r="V44" i="15"/>
  <c r="AL40" i="15"/>
  <c r="AM40" i="15" s="1"/>
  <c r="V40" i="15"/>
  <c r="AL36" i="15"/>
  <c r="AM36" i="15" s="1"/>
  <c r="V36" i="15"/>
  <c r="AL32" i="15"/>
  <c r="AM32" i="15" s="1"/>
  <c r="V32" i="15"/>
  <c r="AL16" i="15"/>
  <c r="AM16" i="15" s="1"/>
  <c r="V16" i="15"/>
  <c r="AL208" i="15"/>
  <c r="AM208" i="15" s="1"/>
  <c r="V208" i="15"/>
  <c r="AL204" i="15"/>
  <c r="AM204" i="15" s="1"/>
  <c r="V204" i="15"/>
  <c r="AL200" i="15"/>
  <c r="AM200" i="15" s="1"/>
  <c r="V200" i="15"/>
  <c r="AL196" i="15"/>
  <c r="AM196" i="15" s="1"/>
  <c r="V196" i="15"/>
  <c r="AL192" i="15"/>
  <c r="AM192" i="15" s="1"/>
  <c r="V192" i="15"/>
  <c r="AL188" i="15"/>
  <c r="AM188" i="15" s="1"/>
  <c r="V188" i="15"/>
  <c r="AL184" i="15"/>
  <c r="AM184" i="15" s="1"/>
  <c r="V184" i="15"/>
  <c r="AL180" i="15"/>
  <c r="AM180" i="15" s="1"/>
  <c r="V180" i="15"/>
  <c r="AL176" i="15"/>
  <c r="AM176" i="15" s="1"/>
  <c r="V176" i="15"/>
  <c r="AL172" i="15"/>
  <c r="AM172" i="15" s="1"/>
  <c r="V172" i="15"/>
  <c r="AL168" i="15"/>
  <c r="AM168" i="15" s="1"/>
  <c r="V168" i="15"/>
  <c r="AL164" i="15"/>
  <c r="AM164" i="15" s="1"/>
  <c r="V164" i="15"/>
  <c r="AL160" i="15"/>
  <c r="AM160" i="15" s="1"/>
  <c r="V160" i="15"/>
  <c r="AL156" i="15"/>
  <c r="AM156" i="15" s="1"/>
  <c r="V156" i="15"/>
  <c r="AL152" i="15"/>
  <c r="AM152" i="15" s="1"/>
  <c r="V152" i="15"/>
  <c r="AL144" i="15"/>
  <c r="AM144" i="15" s="1"/>
  <c r="V144" i="15"/>
  <c r="AL132" i="15"/>
  <c r="AM132" i="15" s="1"/>
  <c r="V132" i="15"/>
  <c r="AL128" i="15"/>
  <c r="AM128" i="15" s="1"/>
  <c r="V128" i="15"/>
  <c r="AL119" i="15"/>
  <c r="AM119" i="15" s="1"/>
  <c r="V119" i="15"/>
  <c r="AL115" i="15"/>
  <c r="AM115" i="15" s="1"/>
  <c r="V115" i="15"/>
  <c r="AL99" i="15"/>
  <c r="AM99" i="15" s="1"/>
  <c r="V99" i="15"/>
  <c r="AL83" i="15"/>
  <c r="AM83" i="15" s="1"/>
  <c r="V83" i="15"/>
  <c r="F80" i="27" s="1"/>
  <c r="U86" i="15" s="1"/>
  <c r="AL86" i="15" s="1"/>
  <c r="AM86" i="15" s="1"/>
  <c r="AL79" i="15"/>
  <c r="AM79" i="15" s="1"/>
  <c r="V79" i="15"/>
  <c r="AL71" i="15"/>
  <c r="AM71" i="15" s="1"/>
  <c r="V71" i="15"/>
  <c r="AL63" i="15"/>
  <c r="AM63" i="15" s="1"/>
  <c r="V63" i="15"/>
  <c r="AL59" i="15"/>
  <c r="AM59" i="15" s="1"/>
  <c r="V59" i="15"/>
  <c r="AL51" i="15"/>
  <c r="AM51" i="15" s="1"/>
  <c r="V51" i="15"/>
  <c r="AL47" i="15"/>
  <c r="AM47" i="15" s="1"/>
  <c r="V47" i="15"/>
  <c r="AL43" i="15"/>
  <c r="AM43" i="15" s="1"/>
  <c r="V43" i="15"/>
  <c r="AL39" i="15"/>
  <c r="AM39" i="15" s="1"/>
  <c r="V39" i="15"/>
  <c r="AL35" i="15"/>
  <c r="AM35" i="15" s="1"/>
  <c r="V35" i="15"/>
  <c r="AL27" i="15"/>
  <c r="AM27" i="15" s="1"/>
  <c r="V27" i="15"/>
  <c r="AL23" i="15"/>
  <c r="AM23" i="15" s="1"/>
  <c r="V23" i="15"/>
  <c r="AL19" i="15"/>
  <c r="AM19" i="15" s="1"/>
  <c r="V19" i="15"/>
  <c r="AL15" i="15"/>
  <c r="AM15" i="15" s="1"/>
  <c r="V15" i="15"/>
  <c r="AL202" i="15"/>
  <c r="AM202" i="15" s="1"/>
  <c r="V202" i="15"/>
  <c r="AL194" i="15"/>
  <c r="AM194" i="15" s="1"/>
  <c r="V194" i="15"/>
  <c r="AL182" i="15"/>
  <c r="AM182" i="15" s="1"/>
  <c r="V182" i="15"/>
  <c r="AL174" i="15"/>
  <c r="AM174" i="15" s="1"/>
  <c r="V174" i="15"/>
  <c r="AL162" i="15"/>
  <c r="AM162" i="15" s="1"/>
  <c r="V162" i="15"/>
  <c r="AL154" i="15"/>
  <c r="AM154" i="15" s="1"/>
  <c r="V154" i="15"/>
  <c r="AL146" i="15"/>
  <c r="AM146" i="15" s="1"/>
  <c r="V146" i="15"/>
  <c r="AL134" i="15"/>
  <c r="AM134" i="15" s="1"/>
  <c r="V134" i="15"/>
  <c r="AL126" i="15"/>
  <c r="AM126" i="15" s="1"/>
  <c r="V126" i="15"/>
  <c r="AL117" i="15"/>
  <c r="AM117" i="15" s="1"/>
  <c r="V117" i="15"/>
  <c r="AL105" i="15"/>
  <c r="AM105" i="15" s="1"/>
  <c r="V105" i="15"/>
  <c r="AL89" i="15"/>
  <c r="AM89" i="15" s="1"/>
  <c r="V89" i="15"/>
  <c r="AL73" i="15"/>
  <c r="AM73" i="15" s="1"/>
  <c r="V73" i="15"/>
  <c r="AL53" i="15"/>
  <c r="AM53" i="15" s="1"/>
  <c r="V53" i="15"/>
  <c r="AL41" i="15"/>
  <c r="AM41" i="15" s="1"/>
  <c r="V41" i="15"/>
  <c r="AL197" i="15"/>
  <c r="AM197" i="15" s="1"/>
  <c r="V197" i="15"/>
  <c r="AL189" i="15"/>
  <c r="AM189" i="15" s="1"/>
  <c r="V189" i="15"/>
  <c r="AL177" i="15"/>
  <c r="AM177" i="15" s="1"/>
  <c r="V177" i="15"/>
  <c r="AL173" i="15"/>
  <c r="AM173" i="15" s="1"/>
  <c r="V173" i="15"/>
  <c r="AL153" i="15"/>
  <c r="AM153" i="15" s="1"/>
  <c r="V153" i="15"/>
  <c r="AL137" i="15"/>
  <c r="AM137" i="15" s="1"/>
  <c r="V137" i="15"/>
  <c r="AL116" i="15"/>
  <c r="AM116" i="15" s="1"/>
  <c r="V116" i="15"/>
  <c r="AL207" i="15"/>
  <c r="AM207" i="15" s="1"/>
  <c r="V207" i="15"/>
  <c r="AL203" i="15"/>
  <c r="AM203" i="15" s="1"/>
  <c r="V203" i="15"/>
  <c r="AL199" i="15"/>
  <c r="AM199" i="15" s="1"/>
  <c r="V199" i="15"/>
  <c r="AL195" i="15"/>
  <c r="AM195" i="15" s="1"/>
  <c r="V195" i="15"/>
  <c r="AL187" i="15"/>
  <c r="AM187" i="15" s="1"/>
  <c r="V187" i="15"/>
  <c r="AL183" i="15"/>
  <c r="AM183" i="15" s="1"/>
  <c r="V183" i="15"/>
  <c r="AL179" i="15"/>
  <c r="AM179" i="15" s="1"/>
  <c r="V179" i="15"/>
  <c r="AL171" i="15"/>
  <c r="AM171" i="15" s="1"/>
  <c r="V171" i="15"/>
  <c r="AL167" i="15"/>
  <c r="AM167" i="15" s="1"/>
  <c r="V167" i="15"/>
  <c r="AL159" i="15"/>
  <c r="AM159" i="15" s="1"/>
  <c r="V159" i="15"/>
  <c r="AL155" i="15"/>
  <c r="AM155" i="15" s="1"/>
  <c r="V155" i="15"/>
  <c r="AL151" i="15"/>
  <c r="AM151" i="15" s="1"/>
  <c r="V151" i="15"/>
  <c r="AL135" i="15"/>
  <c r="AM135" i="15" s="1"/>
  <c r="V135" i="15"/>
  <c r="AL127" i="15"/>
  <c r="AM127" i="15" s="1"/>
  <c r="V127" i="15"/>
  <c r="AL118" i="15"/>
  <c r="AM118" i="15" s="1"/>
  <c r="V118" i="15"/>
  <c r="AL114" i="15"/>
  <c r="AM114" i="15" s="1"/>
  <c r="V114" i="15"/>
  <c r="AL110" i="15"/>
  <c r="AM110" i="15" s="1"/>
  <c r="V110" i="15"/>
  <c r="AL106" i="15"/>
  <c r="AM106" i="15" s="1"/>
  <c r="V106" i="15"/>
  <c r="AL102" i="15"/>
  <c r="AM102" i="15" s="1"/>
  <c r="V102" i="15"/>
  <c r="AL98" i="15"/>
  <c r="AM98" i="15" s="1"/>
  <c r="V98" i="15"/>
  <c r="AL94" i="15"/>
  <c r="AM94" i="15" s="1"/>
  <c r="V94" i="15"/>
  <c r="AL90" i="15"/>
  <c r="AM90" i="15" s="1"/>
  <c r="V90" i="15"/>
  <c r="AL82" i="15"/>
  <c r="AM82" i="15" s="1"/>
  <c r="V82" i="15"/>
  <c r="AL78" i="15"/>
  <c r="AM78" i="15" s="1"/>
  <c r="V78" i="15"/>
  <c r="AL74" i="15"/>
  <c r="AM74" i="15" s="1"/>
  <c r="V74" i="15"/>
  <c r="AL70" i="15"/>
  <c r="AM70" i="15" s="1"/>
  <c r="V70" i="15"/>
  <c r="AL66" i="15"/>
  <c r="AM66" i="15" s="1"/>
  <c r="V66" i="15"/>
  <c r="AL62" i="15"/>
  <c r="AM62" i="15" s="1"/>
  <c r="V62" i="15"/>
  <c r="AL58" i="15"/>
  <c r="AM58" i="15" s="1"/>
  <c r="V58" i="15"/>
  <c r="AL54" i="15"/>
  <c r="AM54" i="15" s="1"/>
  <c r="V54" i="15"/>
  <c r="AL50" i="15"/>
  <c r="AM50" i="15" s="1"/>
  <c r="V50" i="15"/>
  <c r="AL46" i="15"/>
  <c r="AM46" i="15" s="1"/>
  <c r="V46" i="15"/>
  <c r="AL42" i="15"/>
  <c r="AM42" i="15" s="1"/>
  <c r="V42" i="15"/>
  <c r="AL38" i="15"/>
  <c r="AM38" i="15" s="1"/>
  <c r="V38" i="15"/>
  <c r="AL34" i="15"/>
  <c r="AM34" i="15" s="1"/>
  <c r="V34" i="15"/>
  <c r="AL30" i="15"/>
  <c r="AM30" i="15" s="1"/>
  <c r="V30" i="15"/>
  <c r="AL26" i="15"/>
  <c r="AM26" i="15" s="1"/>
  <c r="V26" i="15"/>
  <c r="AL22" i="15"/>
  <c r="AM22" i="15" s="1"/>
  <c r="V22" i="15"/>
  <c r="AL18" i="15"/>
  <c r="AM18" i="15" s="1"/>
  <c r="V18" i="15"/>
  <c r="AL121" i="15"/>
  <c r="AM121" i="15" s="1"/>
  <c r="V121" i="15"/>
  <c r="AL148" i="15"/>
  <c r="AM148" i="15" s="1"/>
  <c r="AL123" i="15"/>
  <c r="AM123" i="15" s="1"/>
  <c r="AL175" i="15"/>
  <c r="AM175" i="15" s="1"/>
  <c r="AL147" i="15"/>
  <c r="AM147" i="15" s="1"/>
  <c r="AL163" i="15"/>
  <c r="AM163" i="15" s="1"/>
  <c r="AL139" i="15"/>
  <c r="AM139" i="15" s="1"/>
  <c r="AL191" i="15"/>
  <c r="AM191" i="15" s="1"/>
  <c r="AL91" i="15"/>
  <c r="AM91" i="15" s="1"/>
  <c r="AL131" i="15"/>
  <c r="AM131" i="15" s="1"/>
  <c r="AL31" i="15"/>
  <c r="AM31" i="15" s="1"/>
  <c r="AL111" i="15"/>
  <c r="AM111" i="15" s="1"/>
  <c r="AL143" i="15"/>
  <c r="AM143" i="15" s="1"/>
  <c r="AL107" i="15"/>
  <c r="AM107" i="15" s="1"/>
  <c r="AL67" i="15"/>
  <c r="AM67" i="15" s="1"/>
  <c r="AL140" i="15"/>
  <c r="AM140" i="15" s="1"/>
  <c r="AL95" i="15"/>
  <c r="AM95" i="15" s="1"/>
  <c r="AL136" i="15"/>
  <c r="AM136" i="15" s="1"/>
  <c r="AL87" i="15"/>
  <c r="AM87" i="15" s="1"/>
  <c r="AL103" i="15"/>
  <c r="AM103" i="15" s="1"/>
  <c r="AL55" i="15"/>
  <c r="AM55" i="15" s="1"/>
  <c r="AL125" i="15"/>
  <c r="AM125" i="15" s="1"/>
  <c r="AL76" i="15"/>
  <c r="AM76" i="15" s="1"/>
  <c r="AL24" i="15"/>
  <c r="AM24" i="15" s="1"/>
  <c r="AL141" i="15"/>
  <c r="AM141" i="15" s="1"/>
  <c r="AL161" i="15"/>
  <c r="AM161" i="15" s="1"/>
  <c r="AL61" i="15"/>
  <c r="AM61" i="15" s="1"/>
  <c r="AL28" i="15"/>
  <c r="AM28" i="15" s="1"/>
  <c r="AL20" i="15"/>
  <c r="AM20" i="15" s="1"/>
  <c r="AL169" i="15"/>
  <c r="AM169" i="15" s="1"/>
  <c r="AL104" i="15"/>
  <c r="AM104" i="15" s="1"/>
  <c r="AL93" i="15"/>
  <c r="AM93" i="15" s="1"/>
  <c r="AL77" i="15"/>
  <c r="AM77" i="15" s="1"/>
  <c r="AL201" i="15"/>
  <c r="AM201" i="15" s="1"/>
  <c r="AL92" i="15"/>
  <c r="AM92" i="15" s="1"/>
  <c r="AL124" i="15"/>
  <c r="AM124" i="15" s="1"/>
  <c r="AL88" i="15"/>
  <c r="AM88" i="15" s="1"/>
  <c r="AL129" i="15"/>
  <c r="AM129" i="15" s="1"/>
  <c r="AL97" i="15"/>
  <c r="AM97" i="15" s="1"/>
  <c r="AL81" i="15"/>
  <c r="AM81" i="15" s="1"/>
  <c r="AL65" i="15"/>
  <c r="AM65" i="15" s="1"/>
  <c r="AL205" i="15"/>
  <c r="AM205" i="15" s="1"/>
  <c r="AL145" i="15"/>
  <c r="AM145" i="15" s="1"/>
  <c r="AL69" i="15"/>
  <c r="AM69" i="15" s="1"/>
  <c r="AW209" i="15"/>
  <c r="AV209" i="15"/>
  <c r="AU209" i="15"/>
  <c r="AT209" i="15"/>
  <c r="AS209" i="15"/>
  <c r="AR209" i="15"/>
  <c r="AQ209" i="15"/>
  <c r="AP209" i="15"/>
  <c r="AO209" i="15"/>
  <c r="V86" i="15" l="1"/>
  <c r="U75" i="15"/>
  <c r="AJ16" i="15"/>
  <c r="AJ18" i="15"/>
  <c r="AJ20" i="15"/>
  <c r="AJ22" i="15"/>
  <c r="AJ24" i="15"/>
  <c r="AJ26" i="15"/>
  <c r="AJ28" i="15"/>
  <c r="AJ30" i="15"/>
  <c r="AJ32" i="15"/>
  <c r="AJ34" i="15"/>
  <c r="AJ36" i="15"/>
  <c r="AJ38" i="15"/>
  <c r="AJ40" i="15"/>
  <c r="AJ42" i="15"/>
  <c r="AJ44" i="15"/>
  <c r="AJ46" i="15"/>
  <c r="AJ48" i="15"/>
  <c r="AJ50" i="15"/>
  <c r="AJ52" i="15"/>
  <c r="AJ54" i="15"/>
  <c r="AJ56" i="15"/>
  <c r="AJ58" i="15"/>
  <c r="AJ60" i="15"/>
  <c r="AJ62" i="15"/>
  <c r="AJ70" i="15"/>
  <c r="AJ78" i="15"/>
  <c r="AJ86" i="15"/>
  <c r="AJ94" i="15"/>
  <c r="AJ102" i="15"/>
  <c r="AJ110" i="15"/>
  <c r="AJ118" i="15"/>
  <c r="AJ126" i="15"/>
  <c r="AJ134" i="15"/>
  <c r="AJ142" i="15"/>
  <c r="AJ150" i="15"/>
  <c r="AJ158" i="15"/>
  <c r="AJ166" i="15"/>
  <c r="AJ174" i="15"/>
  <c r="AJ182" i="15"/>
  <c r="W205" i="15"/>
  <c r="AJ14" i="15"/>
  <c r="AI15" i="15"/>
  <c r="AI16" i="15"/>
  <c r="AI17" i="15"/>
  <c r="AI21" i="15"/>
  <c r="AI22" i="15"/>
  <c r="AI23" i="15"/>
  <c r="AI26" i="15"/>
  <c r="AI29" i="15"/>
  <c r="AI30" i="15"/>
  <c r="AI32" i="15"/>
  <c r="AI33" i="15"/>
  <c r="AI34" i="15"/>
  <c r="AI36" i="15"/>
  <c r="AI37" i="15"/>
  <c r="AI38" i="15"/>
  <c r="AI40" i="15"/>
  <c r="AI41" i="15"/>
  <c r="AI42" i="15"/>
  <c r="AI43" i="15"/>
  <c r="AI44" i="15"/>
  <c r="AI45" i="15"/>
  <c r="AI46" i="15"/>
  <c r="AI47" i="15"/>
  <c r="AI48" i="15"/>
  <c r="AI49" i="15"/>
  <c r="AI50" i="15"/>
  <c r="AI51" i="15"/>
  <c r="AI52" i="15"/>
  <c r="AI53" i="15"/>
  <c r="AI54" i="15"/>
  <c r="AI56" i="15"/>
  <c r="AI57" i="15"/>
  <c r="AI58" i="15"/>
  <c r="AI59" i="15"/>
  <c r="AI62" i="15"/>
  <c r="AI63" i="15"/>
  <c r="AI78" i="15"/>
  <c r="AI82" i="15"/>
  <c r="AI83" i="15"/>
  <c r="AI86" i="15"/>
  <c r="AI94" i="15"/>
  <c r="AI108" i="15"/>
  <c r="AI109" i="15"/>
  <c r="AI110" i="15"/>
  <c r="AI118" i="15"/>
  <c r="AI119" i="15"/>
  <c r="AI120" i="15"/>
  <c r="AI126" i="15"/>
  <c r="AI134" i="15"/>
  <c r="AI150" i="15"/>
  <c r="AI154" i="15"/>
  <c r="AI155" i="15"/>
  <c r="AI157" i="15"/>
  <c r="AI158" i="15"/>
  <c r="AI166" i="15"/>
  <c r="AI174" i="15"/>
  <c r="AI176" i="15"/>
  <c r="AI177" i="15"/>
  <c r="AI178" i="15"/>
  <c r="AI179" i="15"/>
  <c r="AI180" i="15"/>
  <c r="AI181" i="15"/>
  <c r="AI183" i="15"/>
  <c r="AI184" i="15"/>
  <c r="AI185" i="15"/>
  <c r="AI186" i="15"/>
  <c r="AI187" i="15"/>
  <c r="AI188" i="15"/>
  <c r="AI189" i="15"/>
  <c r="AI190" i="15"/>
  <c r="AI14" i="15"/>
  <c r="V75" i="15" l="1"/>
  <c r="AL75" i="15"/>
  <c r="AJ201" i="15"/>
  <c r="AJ193" i="15"/>
  <c r="AJ185" i="15"/>
  <c r="AJ207" i="15"/>
  <c r="AJ199" i="15"/>
  <c r="AJ191" i="15"/>
  <c r="AJ205" i="15"/>
  <c r="AJ197" i="15"/>
  <c r="AJ189" i="15"/>
  <c r="AJ203" i="15"/>
  <c r="AJ195" i="15"/>
  <c r="AJ187" i="15"/>
  <c r="AJ184" i="15"/>
  <c r="AJ156" i="15"/>
  <c r="AJ145" i="15"/>
  <c r="AJ131" i="15"/>
  <c r="AJ120" i="15"/>
  <c r="AJ92" i="15"/>
  <c r="AJ63" i="15"/>
  <c r="AJ39" i="15"/>
  <c r="AJ15" i="15"/>
  <c r="AJ180" i="15"/>
  <c r="AJ176" i="15"/>
  <c r="AJ173" i="15"/>
  <c r="AJ169" i="15"/>
  <c r="AJ162" i="15"/>
  <c r="AJ155" i="15"/>
  <c r="AJ151" i="15"/>
  <c r="AJ148" i="15"/>
  <c r="AJ144" i="15"/>
  <c r="AJ141" i="15"/>
  <c r="AJ137" i="15"/>
  <c r="AJ130" i="15"/>
  <c r="AJ123" i="15"/>
  <c r="AJ119" i="15"/>
  <c r="AJ116" i="15"/>
  <c r="AJ112" i="15"/>
  <c r="AJ109" i="15"/>
  <c r="AJ105" i="15"/>
  <c r="AJ98" i="15"/>
  <c r="AJ91" i="15"/>
  <c r="AJ87" i="15"/>
  <c r="AJ84" i="15"/>
  <c r="AJ80" i="15"/>
  <c r="AJ77" i="15"/>
  <c r="AJ73" i="15"/>
  <c r="AJ66" i="15"/>
  <c r="AJ57" i="15"/>
  <c r="AJ49" i="15"/>
  <c r="AJ41" i="15"/>
  <c r="AJ33" i="15"/>
  <c r="AJ25" i="15"/>
  <c r="AJ177" i="15"/>
  <c r="AJ163" i="15"/>
  <c r="AJ152" i="15"/>
  <c r="AJ127" i="15"/>
  <c r="AJ117" i="15"/>
  <c r="AJ106" i="15"/>
  <c r="AJ95" i="15"/>
  <c r="AJ85" i="15"/>
  <c r="AJ74" i="15"/>
  <c r="AJ31" i="15"/>
  <c r="AJ23" i="15"/>
  <c r="AJ179" i="15"/>
  <c r="AJ175" i="15"/>
  <c r="AJ172" i="15"/>
  <c r="AJ168" i="15"/>
  <c r="AJ165" i="15"/>
  <c r="AJ161" i="15"/>
  <c r="AJ154" i="15"/>
  <c r="AJ147" i="15"/>
  <c r="AJ143" i="15"/>
  <c r="AJ140" i="15"/>
  <c r="AJ136" i="15"/>
  <c r="AJ133" i="15"/>
  <c r="AJ129" i="15"/>
  <c r="AJ122" i="15"/>
  <c r="AJ115" i="15"/>
  <c r="AJ111" i="15"/>
  <c r="AJ108" i="15"/>
  <c r="AJ104" i="15"/>
  <c r="AJ101" i="15"/>
  <c r="AJ97" i="15"/>
  <c r="AJ90" i="15"/>
  <c r="AJ83" i="15"/>
  <c r="AJ79" i="15"/>
  <c r="AJ76" i="15"/>
  <c r="AJ72" i="15"/>
  <c r="AJ69" i="15"/>
  <c r="AJ65" i="15"/>
  <c r="AJ59" i="15"/>
  <c r="AJ51" i="15"/>
  <c r="AJ43" i="15"/>
  <c r="AJ35" i="15"/>
  <c r="AJ27" i="15"/>
  <c r="AJ19" i="15"/>
  <c r="AJ208" i="15"/>
  <c r="AJ206" i="15"/>
  <c r="AJ204" i="15"/>
  <c r="AJ202" i="15"/>
  <c r="AJ200" i="15"/>
  <c r="AJ198" i="15"/>
  <c r="AJ196" i="15"/>
  <c r="AJ194" i="15"/>
  <c r="AJ192" i="15"/>
  <c r="AJ190" i="15"/>
  <c r="AJ188" i="15"/>
  <c r="AJ186" i="15"/>
  <c r="AJ181" i="15"/>
  <c r="AJ170" i="15"/>
  <c r="AJ159" i="15"/>
  <c r="AJ149" i="15"/>
  <c r="AJ138" i="15"/>
  <c r="AJ124" i="15"/>
  <c r="AJ113" i="15"/>
  <c r="AJ99" i="15"/>
  <c r="AJ88" i="15"/>
  <c r="AJ81" i="15"/>
  <c r="AJ67" i="15"/>
  <c r="AJ55" i="15"/>
  <c r="AJ47" i="15"/>
  <c r="AJ178" i="15"/>
  <c r="AJ171" i="15"/>
  <c r="AJ167" i="15"/>
  <c r="AJ164" i="15"/>
  <c r="AJ160" i="15"/>
  <c r="AJ157" i="15"/>
  <c r="AJ153" i="15"/>
  <c r="AJ146" i="15"/>
  <c r="AJ139" i="15"/>
  <c r="AJ135" i="15"/>
  <c r="AJ132" i="15"/>
  <c r="AJ128" i="15"/>
  <c r="AJ125" i="15"/>
  <c r="AJ121" i="15"/>
  <c r="AJ114" i="15"/>
  <c r="AJ107" i="15"/>
  <c r="AJ103" i="15"/>
  <c r="AJ100" i="15"/>
  <c r="AJ96" i="15"/>
  <c r="AJ93" i="15"/>
  <c r="AJ89" i="15"/>
  <c r="AJ82" i="15"/>
  <c r="AJ75" i="15"/>
  <c r="AJ71" i="15"/>
  <c r="AJ68" i="15"/>
  <c r="AJ64" i="15"/>
  <c r="AJ61" i="15"/>
  <c r="AJ53" i="15"/>
  <c r="AJ45" i="15"/>
  <c r="AJ37" i="15"/>
  <c r="AJ29" i="15"/>
  <c r="AJ21" i="15"/>
  <c r="AJ183" i="15"/>
  <c r="AJ17" i="15"/>
  <c r="AI164" i="15"/>
  <c r="AI103" i="15"/>
  <c r="AI140" i="15"/>
  <c r="AI76" i="15"/>
  <c r="AI121" i="15"/>
  <c r="AI68" i="15"/>
  <c r="AI24" i="15"/>
  <c r="AI204" i="15"/>
  <c r="AI196" i="15"/>
  <c r="AI137" i="15"/>
  <c r="AI172" i="15"/>
  <c r="AI153" i="15"/>
  <c r="AI132" i="15"/>
  <c r="AI115" i="15"/>
  <c r="AI90" i="15"/>
  <c r="AI65" i="15"/>
  <c r="AI161" i="15"/>
  <c r="AI95" i="15"/>
  <c r="AI169" i="15"/>
  <c r="AI148" i="15"/>
  <c r="AI129" i="15"/>
  <c r="AI106" i="15"/>
  <c r="AI81" i="15"/>
  <c r="AI60" i="15"/>
  <c r="AI138" i="15"/>
  <c r="AI205" i="15"/>
  <c r="AI124" i="15"/>
  <c r="AI117" i="15"/>
  <c r="AI113" i="15"/>
  <c r="AI127" i="15"/>
  <c r="AI66" i="15"/>
  <c r="AI18" i="15"/>
  <c r="AI156" i="15"/>
  <c r="AI152" i="15"/>
  <c r="AI149" i="15"/>
  <c r="AI145" i="15"/>
  <c r="AI84" i="15"/>
  <c r="AI80" i="15"/>
  <c r="AI77" i="15"/>
  <c r="AI73" i="15"/>
  <c r="AI197" i="15"/>
  <c r="AI105" i="15"/>
  <c r="AI201" i="15"/>
  <c r="AI142" i="15"/>
  <c r="AI131" i="15"/>
  <c r="AI70" i="15"/>
  <c r="AI182" i="15"/>
  <c r="AI170" i="15"/>
  <c r="AI163" i="15"/>
  <c r="AI159" i="15"/>
  <c r="AI102" i="15"/>
  <c r="AI98" i="15"/>
  <c r="AI91" i="15"/>
  <c r="AI87" i="15"/>
  <c r="AI193" i="15"/>
  <c r="AI206" i="15"/>
  <c r="AI203" i="15"/>
  <c r="AI198" i="15"/>
  <c r="AI195" i="15"/>
  <c r="AI171" i="15"/>
  <c r="AI147" i="15"/>
  <c r="AI139" i="15"/>
  <c r="AI123" i="15"/>
  <c r="AI112" i="15"/>
  <c r="AI100" i="15"/>
  <c r="AI97" i="15"/>
  <c r="AI92" i="15"/>
  <c r="AI89" i="15"/>
  <c r="AI75" i="15"/>
  <c r="AI67" i="15"/>
  <c r="AI39" i="15"/>
  <c r="AI31" i="15"/>
  <c r="AI208" i="15"/>
  <c r="AI200" i="15"/>
  <c r="AI192" i="15"/>
  <c r="AI173" i="15"/>
  <c r="AI168" i="15"/>
  <c r="AI165" i="15"/>
  <c r="AI160" i="15"/>
  <c r="AI144" i="15"/>
  <c r="AI141" i="15"/>
  <c r="AI136" i="15"/>
  <c r="AI133" i="15"/>
  <c r="AI128" i="15"/>
  <c r="AI125" i="15"/>
  <c r="AI114" i="15"/>
  <c r="AI111" i="15"/>
  <c r="AI107" i="15"/>
  <c r="AI99" i="15"/>
  <c r="AI72" i="15"/>
  <c r="AI69" i="15"/>
  <c r="AI64" i="15"/>
  <c r="AI61" i="15"/>
  <c r="AI55" i="15"/>
  <c r="AI28" i="15"/>
  <c r="AI25" i="15"/>
  <c r="AI20" i="15"/>
  <c r="AI207" i="15"/>
  <c r="AI202" i="15"/>
  <c r="AI199" i="15"/>
  <c r="AI194" i="15"/>
  <c r="AI191" i="15"/>
  <c r="AI175" i="15"/>
  <c r="AI167" i="15"/>
  <c r="AI162" i="15"/>
  <c r="AI151" i="15"/>
  <c r="AI146" i="15"/>
  <c r="AI143" i="15"/>
  <c r="AI135" i="15"/>
  <c r="AI130" i="15"/>
  <c r="AI122" i="15"/>
  <c r="AI116" i="15"/>
  <c r="AI104" i="15"/>
  <c r="AI101" i="15"/>
  <c r="AI96" i="15"/>
  <c r="AI93" i="15"/>
  <c r="AI88" i="15"/>
  <c r="AI85" i="15"/>
  <c r="AI79" i="15"/>
  <c r="AI74" i="15"/>
  <c r="AI71" i="15"/>
  <c r="AI35" i="15"/>
  <c r="AI27" i="15"/>
  <c r="AI19" i="15"/>
  <c r="AM75" i="15" l="1"/>
  <c r="AL209" i="15"/>
  <c r="E8" i="15" s="1"/>
  <c r="AI209" i="15"/>
  <c r="AJ209" i="15"/>
  <c r="M403" i="24" l="1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K591" i="24" l="1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X15" i="15"/>
  <c r="X16" i="15"/>
  <c r="X17" i="15"/>
  <c r="X18" i="15"/>
  <c r="X19" i="15"/>
  <c r="X21" i="15"/>
  <c r="X22" i="15"/>
  <c r="X23" i="15"/>
  <c r="X24" i="15"/>
  <c r="X26" i="15"/>
  <c r="X27" i="15"/>
  <c r="X28" i="15"/>
  <c r="X29" i="15"/>
  <c r="X30" i="15"/>
  <c r="X31" i="15"/>
  <c r="X32" i="15"/>
  <c r="X33" i="15"/>
  <c r="X34" i="15"/>
  <c r="X35" i="15"/>
  <c r="X36" i="15"/>
  <c r="X37" i="15"/>
  <c r="X38" i="15"/>
  <c r="X40" i="15"/>
  <c r="X41" i="15"/>
  <c r="X42" i="15"/>
  <c r="X43" i="15"/>
  <c r="X44" i="15"/>
  <c r="X45" i="15"/>
  <c r="X46" i="15"/>
  <c r="X47" i="15"/>
  <c r="X48" i="15"/>
  <c r="X49" i="15"/>
  <c r="X50" i="15"/>
  <c r="X51" i="15"/>
  <c r="X52" i="15"/>
  <c r="X53" i="15"/>
  <c r="X54" i="15"/>
  <c r="X56" i="15"/>
  <c r="X57" i="15"/>
  <c r="X58" i="15"/>
  <c r="X59" i="15"/>
  <c r="X61" i="15"/>
  <c r="X62" i="15"/>
  <c r="X63" i="15"/>
  <c r="X64" i="15"/>
  <c r="X66" i="15"/>
  <c r="X67" i="15"/>
  <c r="X68" i="15"/>
  <c r="X69" i="15"/>
  <c r="X70" i="15"/>
  <c r="X71" i="15"/>
  <c r="X72" i="15"/>
  <c r="X73" i="15"/>
  <c r="X75" i="15"/>
  <c r="X76" i="15"/>
  <c r="X77" i="15"/>
  <c r="X78" i="15"/>
  <c r="X79" i="15"/>
  <c r="X80" i="15"/>
  <c r="X82" i="15"/>
  <c r="X83" i="15"/>
  <c r="X84" i="15"/>
  <c r="X85" i="15"/>
  <c r="X86" i="15"/>
  <c r="X87" i="15"/>
  <c r="X88" i="15"/>
  <c r="X90" i="15"/>
  <c r="X91" i="15"/>
  <c r="X92" i="15"/>
  <c r="X93" i="15"/>
  <c r="X94" i="15"/>
  <c r="X95" i="15"/>
  <c r="X96" i="15"/>
  <c r="X97" i="15"/>
  <c r="X98" i="15"/>
  <c r="X99" i="15"/>
  <c r="X100" i="15"/>
  <c r="X101" i="15"/>
  <c r="X102" i="15"/>
  <c r="X103" i="15"/>
  <c r="X104" i="15"/>
  <c r="X105" i="15"/>
  <c r="X106" i="15"/>
  <c r="X107" i="15"/>
  <c r="X108" i="15"/>
  <c r="X109" i="15"/>
  <c r="X110" i="15"/>
  <c r="X111" i="15"/>
  <c r="X112" i="15"/>
  <c r="X113" i="15"/>
  <c r="X114" i="15"/>
  <c r="X115" i="15"/>
  <c r="X116" i="15"/>
  <c r="X117" i="15"/>
  <c r="X119" i="15"/>
  <c r="X120" i="15"/>
  <c r="X121" i="15"/>
  <c r="X122" i="15"/>
  <c r="X123" i="15"/>
  <c r="X124" i="15"/>
  <c r="X125" i="15"/>
  <c r="X126" i="15"/>
  <c r="X128" i="15"/>
  <c r="X129" i="15"/>
  <c r="X130" i="15"/>
  <c r="X131" i="15"/>
  <c r="X132" i="15"/>
  <c r="X133" i="15"/>
  <c r="X134" i="15"/>
  <c r="X135" i="15"/>
  <c r="X136" i="15"/>
  <c r="X138" i="15"/>
  <c r="X139" i="15"/>
  <c r="X140" i="15"/>
  <c r="X141" i="15"/>
  <c r="X142" i="15"/>
  <c r="X143" i="15"/>
  <c r="X144" i="15"/>
  <c r="X145" i="15"/>
  <c r="X146" i="15"/>
  <c r="X147" i="15"/>
  <c r="X148" i="15"/>
  <c r="X149" i="15"/>
  <c r="X150" i="15"/>
  <c r="X151" i="15"/>
  <c r="X152" i="15"/>
  <c r="X153" i="15"/>
  <c r="X154" i="15"/>
  <c r="X155" i="15"/>
  <c r="X156" i="15"/>
  <c r="X157" i="15"/>
  <c r="X158" i="15"/>
  <c r="X159" i="15"/>
  <c r="X161" i="15"/>
  <c r="X162" i="15"/>
  <c r="X163" i="15"/>
  <c r="X164" i="15"/>
  <c r="X165" i="15"/>
  <c r="X166" i="15"/>
  <c r="X167" i="15"/>
  <c r="X168" i="15"/>
  <c r="X169" i="15"/>
  <c r="X170" i="15"/>
  <c r="X171" i="15"/>
  <c r="X172" i="15"/>
  <c r="X174" i="15"/>
  <c r="X175" i="15"/>
  <c r="X176" i="15"/>
  <c r="X177" i="15"/>
  <c r="X178" i="15"/>
  <c r="X179" i="15"/>
  <c r="X180" i="15"/>
  <c r="X181" i="15"/>
  <c r="X182" i="15"/>
  <c r="X183" i="15"/>
  <c r="X184" i="15"/>
  <c r="X185" i="15"/>
  <c r="X186" i="15"/>
  <c r="X187" i="15"/>
  <c r="X188" i="15"/>
  <c r="X189" i="15"/>
  <c r="X190" i="15"/>
  <c r="X191" i="15"/>
  <c r="X192" i="15"/>
  <c r="X194" i="15"/>
  <c r="X195" i="15"/>
  <c r="X197" i="15"/>
  <c r="X198" i="15"/>
  <c r="X199" i="15"/>
  <c r="X200" i="15"/>
  <c r="X201" i="15"/>
  <c r="X202" i="15"/>
  <c r="X203" i="15"/>
  <c r="X204" i="15"/>
  <c r="X205" i="15"/>
  <c r="X206" i="15"/>
  <c r="X207" i="15"/>
  <c r="X208" i="15"/>
  <c r="X14" i="15"/>
  <c r="K274" i="24" l="1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Y196" i="15"/>
  <c r="Z196" i="15"/>
  <c r="AA196" i="15"/>
  <c r="AB196" i="15"/>
  <c r="AC196" i="15"/>
  <c r="AD196" i="15"/>
  <c r="AE196" i="15"/>
  <c r="AF196" i="15"/>
  <c r="AG196" i="15"/>
  <c r="W197" i="15"/>
  <c r="Y197" i="15"/>
  <c r="Z197" i="15"/>
  <c r="AA197" i="15"/>
  <c r="AB197" i="15"/>
  <c r="AC197" i="15"/>
  <c r="AD197" i="15"/>
  <c r="AE197" i="15"/>
  <c r="AF197" i="15"/>
  <c r="AG197" i="15"/>
  <c r="AH197" i="15"/>
  <c r="W198" i="15"/>
  <c r="Y198" i="15"/>
  <c r="Z198" i="15"/>
  <c r="AA198" i="15"/>
  <c r="AB198" i="15"/>
  <c r="AC198" i="15"/>
  <c r="AD198" i="15"/>
  <c r="AE198" i="15"/>
  <c r="AF198" i="15"/>
  <c r="AG198" i="15"/>
  <c r="AH198" i="15"/>
  <c r="W199" i="15"/>
  <c r="Y199" i="15"/>
  <c r="Z199" i="15"/>
  <c r="AA199" i="15"/>
  <c r="AB199" i="15"/>
  <c r="AC199" i="15"/>
  <c r="AD199" i="15"/>
  <c r="AE199" i="15"/>
  <c r="AF199" i="15"/>
  <c r="AG199" i="15"/>
  <c r="AH199" i="15"/>
  <c r="W200" i="15"/>
  <c r="Y200" i="15"/>
  <c r="Z200" i="15"/>
  <c r="AA200" i="15"/>
  <c r="AB200" i="15"/>
  <c r="AC200" i="15"/>
  <c r="AD200" i="15"/>
  <c r="AE200" i="15"/>
  <c r="AF200" i="15"/>
  <c r="AG200" i="15"/>
  <c r="AH200" i="15"/>
  <c r="W201" i="15"/>
  <c r="Y201" i="15"/>
  <c r="Z201" i="15"/>
  <c r="AA201" i="15"/>
  <c r="AB201" i="15"/>
  <c r="AC201" i="15"/>
  <c r="AD201" i="15"/>
  <c r="AE201" i="15"/>
  <c r="AF201" i="15"/>
  <c r="AG201" i="15"/>
  <c r="AH201" i="15"/>
  <c r="W202" i="15"/>
  <c r="Y202" i="15"/>
  <c r="Z202" i="15"/>
  <c r="AA202" i="15"/>
  <c r="AB202" i="15"/>
  <c r="AC202" i="15"/>
  <c r="AD202" i="15"/>
  <c r="AE202" i="15"/>
  <c r="AF202" i="15"/>
  <c r="AG202" i="15"/>
  <c r="AH202" i="15"/>
  <c r="W203" i="15"/>
  <c r="Y203" i="15"/>
  <c r="Z203" i="15"/>
  <c r="AA203" i="15"/>
  <c r="AB203" i="15"/>
  <c r="AC203" i="15"/>
  <c r="AD203" i="15"/>
  <c r="AE203" i="15"/>
  <c r="AF203" i="15"/>
  <c r="AG203" i="15"/>
  <c r="AH203" i="15"/>
  <c r="W204" i="15"/>
  <c r="Y204" i="15"/>
  <c r="Z204" i="15"/>
  <c r="AA204" i="15"/>
  <c r="AB204" i="15"/>
  <c r="AC204" i="15"/>
  <c r="AD204" i="15"/>
  <c r="AE204" i="15"/>
  <c r="AF204" i="15"/>
  <c r="AG204" i="15"/>
  <c r="AH204" i="15"/>
  <c r="Y205" i="15"/>
  <c r="Z205" i="15"/>
  <c r="AA205" i="15"/>
  <c r="AB205" i="15"/>
  <c r="AC205" i="15"/>
  <c r="AD205" i="15"/>
  <c r="AE205" i="15"/>
  <c r="AF205" i="15"/>
  <c r="AG205" i="15"/>
  <c r="AH205" i="15"/>
  <c r="W206" i="15"/>
  <c r="Y206" i="15"/>
  <c r="Z206" i="15"/>
  <c r="AA206" i="15"/>
  <c r="AB206" i="15"/>
  <c r="AC206" i="15"/>
  <c r="AD206" i="15"/>
  <c r="AE206" i="15"/>
  <c r="AF206" i="15"/>
  <c r="AG206" i="15"/>
  <c r="AH206" i="15"/>
  <c r="W207" i="15"/>
  <c r="Y207" i="15"/>
  <c r="Z207" i="15"/>
  <c r="AA207" i="15"/>
  <c r="AB207" i="15"/>
  <c r="AC207" i="15"/>
  <c r="AD207" i="15"/>
  <c r="AE207" i="15"/>
  <c r="AF207" i="15"/>
  <c r="AG207" i="15"/>
  <c r="AH207" i="15"/>
  <c r="W208" i="15"/>
  <c r="Y208" i="15"/>
  <c r="Z208" i="15"/>
  <c r="AA208" i="15"/>
  <c r="AB208" i="15"/>
  <c r="AC208" i="15"/>
  <c r="AD208" i="15"/>
  <c r="AE208" i="15"/>
  <c r="AF208" i="15"/>
  <c r="AG208" i="15"/>
  <c r="AH208" i="15"/>
  <c r="AH15" i="15"/>
  <c r="AH16" i="15"/>
  <c r="AH17" i="15"/>
  <c r="AH18" i="15"/>
  <c r="AH19" i="15"/>
  <c r="AH20" i="15"/>
  <c r="AH21" i="15"/>
  <c r="AH22" i="15"/>
  <c r="AH23" i="15"/>
  <c r="AH24" i="15"/>
  <c r="AH25" i="15"/>
  <c r="AH26" i="15"/>
  <c r="AH27" i="15"/>
  <c r="AH28" i="15"/>
  <c r="AH29" i="15"/>
  <c r="AH30" i="15"/>
  <c r="AH31" i="15"/>
  <c r="AH32" i="15"/>
  <c r="AH33" i="15"/>
  <c r="AH34" i="15"/>
  <c r="AH35" i="15"/>
  <c r="AH36" i="15"/>
  <c r="AH37" i="15"/>
  <c r="AH38" i="15"/>
  <c r="AH39" i="15"/>
  <c r="AH40" i="15"/>
  <c r="AH41" i="15"/>
  <c r="AH42" i="15"/>
  <c r="AH43" i="15"/>
  <c r="AH44" i="15"/>
  <c r="AH45" i="15"/>
  <c r="AH46" i="15"/>
  <c r="AH47" i="15"/>
  <c r="AH48" i="15"/>
  <c r="AH49" i="15"/>
  <c r="AH50" i="15"/>
  <c r="AH51" i="15"/>
  <c r="AH52" i="15"/>
  <c r="AH53" i="15"/>
  <c r="AH54" i="15"/>
  <c r="AH55" i="15"/>
  <c r="AH56" i="15"/>
  <c r="AH57" i="15"/>
  <c r="AH58" i="15"/>
  <c r="AH59" i="15"/>
  <c r="AH60" i="15"/>
  <c r="AH61" i="15"/>
  <c r="AH62" i="15"/>
  <c r="AH63" i="15"/>
  <c r="AH64" i="15"/>
  <c r="AH65" i="15"/>
  <c r="AH66" i="15"/>
  <c r="AH67" i="15"/>
  <c r="AH68" i="15"/>
  <c r="AH69" i="15"/>
  <c r="AH70" i="15"/>
  <c r="AH71" i="15"/>
  <c r="AH72" i="15"/>
  <c r="AH73" i="15"/>
  <c r="AH74" i="15"/>
  <c r="AH75" i="15"/>
  <c r="AH76" i="15"/>
  <c r="AH77" i="15"/>
  <c r="AH78" i="15"/>
  <c r="AH79" i="15"/>
  <c r="AH80" i="15"/>
  <c r="AH81" i="15"/>
  <c r="AH82" i="15"/>
  <c r="AH83" i="15"/>
  <c r="AH84" i="15"/>
  <c r="AH85" i="15"/>
  <c r="AH86" i="15"/>
  <c r="AH87" i="15"/>
  <c r="AH88" i="15"/>
  <c r="AH89" i="15"/>
  <c r="AH90" i="15"/>
  <c r="AH91" i="15"/>
  <c r="AH92" i="15"/>
  <c r="AH93" i="15"/>
  <c r="AH94" i="15"/>
  <c r="AH95" i="15"/>
  <c r="AH96" i="15"/>
  <c r="AH97" i="15"/>
  <c r="AH98" i="15"/>
  <c r="AH99" i="15"/>
  <c r="AH100" i="15"/>
  <c r="AH101" i="15"/>
  <c r="AH102" i="15"/>
  <c r="AH103" i="15"/>
  <c r="AH104" i="15"/>
  <c r="AH105" i="15"/>
  <c r="AH106" i="15"/>
  <c r="AH107" i="15"/>
  <c r="AH108" i="15"/>
  <c r="AH109" i="15"/>
  <c r="AH110" i="15"/>
  <c r="AH111" i="15"/>
  <c r="AH112" i="15"/>
  <c r="AH113" i="15"/>
  <c r="AH114" i="15"/>
  <c r="AH115" i="15"/>
  <c r="AH116" i="15"/>
  <c r="AH117" i="15"/>
  <c r="AH118" i="15"/>
  <c r="AH119" i="15"/>
  <c r="AH120" i="15"/>
  <c r="AH121" i="15"/>
  <c r="AH122" i="15"/>
  <c r="AH123" i="15"/>
  <c r="AH124" i="15"/>
  <c r="AH125" i="15"/>
  <c r="AH126" i="15"/>
  <c r="AH127" i="15"/>
  <c r="AH128" i="15"/>
  <c r="AH129" i="15"/>
  <c r="AH130" i="15"/>
  <c r="AH131" i="15"/>
  <c r="AH132" i="15"/>
  <c r="AH133" i="15"/>
  <c r="AH134" i="15"/>
  <c r="AH135" i="15"/>
  <c r="AH136" i="15"/>
  <c r="AH137" i="15"/>
  <c r="AH138" i="15"/>
  <c r="AH139" i="15"/>
  <c r="AH140" i="15"/>
  <c r="AH141" i="15"/>
  <c r="AH142" i="15"/>
  <c r="AH143" i="15"/>
  <c r="AH144" i="15"/>
  <c r="AH145" i="15"/>
  <c r="AH146" i="15"/>
  <c r="AH147" i="15"/>
  <c r="AH148" i="15"/>
  <c r="AH149" i="15"/>
  <c r="AH150" i="15"/>
  <c r="AH151" i="15"/>
  <c r="AH152" i="15"/>
  <c r="AH153" i="15"/>
  <c r="AH154" i="15"/>
  <c r="AH155" i="15"/>
  <c r="AH156" i="15"/>
  <c r="AH157" i="15"/>
  <c r="AH158" i="15"/>
  <c r="AH159" i="15"/>
  <c r="AH160" i="15"/>
  <c r="AH161" i="15"/>
  <c r="AH162" i="15"/>
  <c r="AH163" i="15"/>
  <c r="AH164" i="15"/>
  <c r="AH165" i="15"/>
  <c r="AH166" i="15"/>
  <c r="AH167" i="15"/>
  <c r="AH168" i="15"/>
  <c r="AH169" i="15"/>
  <c r="AH170" i="15"/>
  <c r="AH171" i="15"/>
  <c r="AH172" i="15"/>
  <c r="AH173" i="15"/>
  <c r="AH174" i="15"/>
  <c r="AH175" i="15"/>
  <c r="AH176" i="15"/>
  <c r="AH177" i="15"/>
  <c r="AH178" i="15"/>
  <c r="AH179" i="15"/>
  <c r="AH180" i="15"/>
  <c r="AH181" i="15"/>
  <c r="AH182" i="15"/>
  <c r="AH183" i="15"/>
  <c r="AH184" i="15"/>
  <c r="AH185" i="15"/>
  <c r="AH186" i="15"/>
  <c r="AH187" i="15"/>
  <c r="AH188" i="15"/>
  <c r="AH189" i="15"/>
  <c r="AH190" i="15"/>
  <c r="AH191" i="15"/>
  <c r="AH192" i="15"/>
  <c r="AH193" i="15"/>
  <c r="AH194" i="15"/>
  <c r="AH195" i="15"/>
  <c r="AH14" i="15"/>
  <c r="J452" i="24"/>
  <c r="J453" i="24"/>
  <c r="L453" i="24" s="1"/>
  <c r="N453" i="24" s="1"/>
  <c r="J454" i="24"/>
  <c r="J455" i="24"/>
  <c r="J456" i="24"/>
  <c r="L456" i="24" s="1"/>
  <c r="N456" i="24" s="1"/>
  <c r="J457" i="24"/>
  <c r="J458" i="24"/>
  <c r="J485" i="24"/>
  <c r="L485" i="24" s="1"/>
  <c r="N485" i="24" s="1"/>
  <c r="J488" i="24"/>
  <c r="L488" i="24" s="1"/>
  <c r="N488" i="24" s="1"/>
  <c r="J491" i="24"/>
  <c r="L491" i="24" s="1"/>
  <c r="N491" i="24" s="1"/>
  <c r="J494" i="24"/>
  <c r="L494" i="24" s="1"/>
  <c r="N494" i="24" s="1"/>
  <c r="J497" i="24"/>
  <c r="L497" i="24" s="1"/>
  <c r="N497" i="24" s="1"/>
  <c r="J500" i="24"/>
  <c r="L500" i="24" s="1"/>
  <c r="N500" i="24" s="1"/>
  <c r="J503" i="24"/>
  <c r="L503" i="24" s="1"/>
  <c r="N503" i="24" s="1"/>
  <c r="J506" i="24"/>
  <c r="L506" i="24" s="1"/>
  <c r="N506" i="24" s="1"/>
  <c r="J509" i="24"/>
  <c r="L509" i="24" s="1"/>
  <c r="N509" i="24" s="1"/>
  <c r="J512" i="24"/>
  <c r="L512" i="24" s="1"/>
  <c r="N512" i="24" s="1"/>
  <c r="J515" i="24"/>
  <c r="L515" i="24" s="1"/>
  <c r="N515" i="24" s="1"/>
  <c r="J518" i="24"/>
  <c r="L518" i="24" s="1"/>
  <c r="N518" i="24" s="1"/>
  <c r="J521" i="24"/>
  <c r="L521" i="24" s="1"/>
  <c r="N521" i="24" s="1"/>
  <c r="J524" i="24"/>
  <c r="L524" i="24" s="1"/>
  <c r="N524" i="24" s="1"/>
  <c r="J527" i="24"/>
  <c r="L527" i="24" s="1"/>
  <c r="N527" i="24" s="1"/>
  <c r="J530" i="24"/>
  <c r="L530" i="24" s="1"/>
  <c r="N530" i="24" s="1"/>
  <c r="J539" i="24"/>
  <c r="L539" i="24" s="1"/>
  <c r="N539" i="24" s="1"/>
  <c r="J544" i="24"/>
  <c r="L544" i="24" s="1"/>
  <c r="J547" i="24"/>
  <c r="L547" i="24" s="1"/>
  <c r="AH209" i="15" l="1"/>
  <c r="AN198" i="15"/>
  <c r="AN206" i="15"/>
  <c r="AN199" i="15"/>
  <c r="AN207" i="15"/>
  <c r="AN200" i="15"/>
  <c r="AN208" i="15"/>
  <c r="AN201" i="15"/>
  <c r="AN203" i="15"/>
  <c r="AN204" i="15"/>
  <c r="AN197" i="15"/>
  <c r="AN205" i="15"/>
  <c r="J316" i="24"/>
  <c r="L316" i="24" s="1"/>
  <c r="N316" i="24" s="1"/>
  <c r="K72" i="24"/>
  <c r="L72" i="24" s="1"/>
  <c r="N72" i="24" s="1"/>
  <c r="AN202" i="15"/>
  <c r="E8" i="24" l="1"/>
  <c r="M418" i="22"/>
  <c r="M430" i="22"/>
  <c r="K431" i="22"/>
  <c r="K413" i="22"/>
  <c r="K412" i="22" s="1"/>
  <c r="P53" i="15" s="1"/>
  <c r="K409" i="22"/>
  <c r="K408" i="22" s="1"/>
  <c r="P51" i="15" s="1"/>
  <c r="AG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2" i="15" s="1"/>
  <c r="AG82" i="15" s="1"/>
  <c r="M428" i="22"/>
  <c r="K425" i="22"/>
  <c r="M424" i="22"/>
  <c r="K422" i="22"/>
  <c r="K421" i="22" s="1"/>
  <c r="M421" i="22"/>
  <c r="K419" i="22"/>
  <c r="K418" i="22" s="1"/>
  <c r="P56" i="15" s="1"/>
  <c r="AG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G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F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G508" i="20"/>
  <c r="K508" i="20" s="1"/>
  <c r="K507" i="20" s="1"/>
  <c r="O157" i="15" s="1"/>
  <c r="K502" i="20"/>
  <c r="K501" i="20" s="1"/>
  <c r="O155" i="15" s="1"/>
  <c r="K499" i="20"/>
  <c r="K498" i="20" s="1"/>
  <c r="O154" i="15" s="1"/>
  <c r="AF15" i="15"/>
  <c r="AG15" i="15"/>
  <c r="AF16" i="15"/>
  <c r="AG16" i="15"/>
  <c r="AF17" i="15"/>
  <c r="AG17" i="15"/>
  <c r="AF18" i="15"/>
  <c r="AG18" i="15"/>
  <c r="AF19" i="15"/>
  <c r="AG19" i="15"/>
  <c r="AF20" i="15"/>
  <c r="AG20" i="15"/>
  <c r="AF21" i="15"/>
  <c r="AG21" i="15"/>
  <c r="AF22" i="15"/>
  <c r="AG22" i="15"/>
  <c r="AF23" i="15"/>
  <c r="AG23" i="15"/>
  <c r="AF24" i="15"/>
  <c r="AG24" i="15"/>
  <c r="AF25" i="15"/>
  <c r="AG25" i="15"/>
  <c r="AF26" i="15"/>
  <c r="AG26" i="15"/>
  <c r="AF27" i="15"/>
  <c r="AG27" i="15"/>
  <c r="AF28" i="15"/>
  <c r="AG28" i="15"/>
  <c r="AF29" i="15"/>
  <c r="AG29" i="15"/>
  <c r="AF30" i="15"/>
  <c r="AG30" i="15"/>
  <c r="AF31" i="15"/>
  <c r="AG31" i="15"/>
  <c r="AF32" i="15"/>
  <c r="AG32" i="15"/>
  <c r="AF33" i="15"/>
  <c r="AG33" i="15"/>
  <c r="AF34" i="15"/>
  <c r="AG34" i="15"/>
  <c r="AF35" i="15"/>
  <c r="AG35" i="15"/>
  <c r="AF36" i="15"/>
  <c r="AG36" i="15"/>
  <c r="AF37" i="15"/>
  <c r="AG37" i="15"/>
  <c r="AF38" i="15"/>
  <c r="AG38" i="15"/>
  <c r="AF39" i="15"/>
  <c r="AG39" i="15"/>
  <c r="AF40" i="15"/>
  <c r="AF43" i="15"/>
  <c r="AF44" i="15"/>
  <c r="AG44" i="15"/>
  <c r="AF45" i="15"/>
  <c r="AF46" i="15"/>
  <c r="AF47" i="15"/>
  <c r="AF48" i="15"/>
  <c r="AF49" i="15"/>
  <c r="AF50" i="15"/>
  <c r="AF53" i="15"/>
  <c r="AF54" i="15"/>
  <c r="AG54" i="15"/>
  <c r="AF55" i="15"/>
  <c r="AG55" i="15"/>
  <c r="AF57" i="15"/>
  <c r="AG57" i="15"/>
  <c r="AF58" i="15"/>
  <c r="AG58" i="15"/>
  <c r="AF59" i="15"/>
  <c r="AG59" i="15"/>
  <c r="AF60" i="15"/>
  <c r="AG60" i="15"/>
  <c r="AF61" i="15"/>
  <c r="AG61" i="15"/>
  <c r="AF62" i="15"/>
  <c r="AG62" i="15"/>
  <c r="AF63" i="15"/>
  <c r="AG63" i="15"/>
  <c r="AF64" i="15"/>
  <c r="AG64" i="15"/>
  <c r="AF65" i="15"/>
  <c r="AG65" i="15"/>
  <c r="AF66" i="15"/>
  <c r="AG66" i="15"/>
  <c r="AF67" i="15"/>
  <c r="AG67" i="15"/>
  <c r="AF68" i="15"/>
  <c r="AG68" i="15"/>
  <c r="AF69" i="15"/>
  <c r="AG69" i="15"/>
  <c r="AF70" i="15"/>
  <c r="AG70" i="15"/>
  <c r="AF71" i="15"/>
  <c r="AG71" i="15"/>
  <c r="AF72" i="15"/>
  <c r="AG72" i="15"/>
  <c r="AF73" i="15"/>
  <c r="AG73" i="15"/>
  <c r="AF74" i="15"/>
  <c r="AG74" i="15"/>
  <c r="AF75" i="15"/>
  <c r="AG75" i="15"/>
  <c r="AF76" i="15"/>
  <c r="AG76" i="15"/>
  <c r="AF77" i="15"/>
  <c r="AG77" i="15"/>
  <c r="AF78" i="15"/>
  <c r="AG78" i="15"/>
  <c r="AF79" i="15"/>
  <c r="AG79" i="15"/>
  <c r="AF80" i="15"/>
  <c r="AG80" i="15"/>
  <c r="AF81" i="15"/>
  <c r="AG81" i="15"/>
  <c r="AF84" i="15"/>
  <c r="AG84" i="15"/>
  <c r="AF85" i="15"/>
  <c r="AG85" i="15"/>
  <c r="AF86" i="15"/>
  <c r="AG86" i="15"/>
  <c r="AF87" i="15"/>
  <c r="AG87" i="15"/>
  <c r="AF88" i="15"/>
  <c r="AG88" i="15"/>
  <c r="AF89" i="15"/>
  <c r="AG89" i="15"/>
  <c r="AF90" i="15"/>
  <c r="AG90" i="15"/>
  <c r="AF91" i="15"/>
  <c r="AG91" i="15"/>
  <c r="AF92" i="15"/>
  <c r="AG92" i="15"/>
  <c r="AF93" i="15"/>
  <c r="AG93" i="15"/>
  <c r="AF94" i="15"/>
  <c r="AG94" i="15"/>
  <c r="AF95" i="15"/>
  <c r="AG95" i="15"/>
  <c r="AF96" i="15"/>
  <c r="AG96" i="15"/>
  <c r="AF97" i="15"/>
  <c r="AG97" i="15"/>
  <c r="AF98" i="15"/>
  <c r="AG98" i="15"/>
  <c r="AF99" i="15"/>
  <c r="AG99" i="15"/>
  <c r="AF100" i="15"/>
  <c r="AG100" i="15"/>
  <c r="AF101" i="15"/>
  <c r="AG101" i="15"/>
  <c r="AF102" i="15"/>
  <c r="AG102" i="15"/>
  <c r="AF103" i="15"/>
  <c r="AG103" i="15"/>
  <c r="AF104" i="15"/>
  <c r="AG104" i="15"/>
  <c r="AF105" i="15"/>
  <c r="AG105" i="15"/>
  <c r="AF106" i="15"/>
  <c r="AG106" i="15"/>
  <c r="AF107" i="15"/>
  <c r="AG107" i="15"/>
  <c r="AG108" i="15"/>
  <c r="AG109" i="15"/>
  <c r="AG110" i="15"/>
  <c r="AF111" i="15"/>
  <c r="AG111" i="15"/>
  <c r="AF112" i="15"/>
  <c r="AG112" i="15"/>
  <c r="AF113" i="15"/>
  <c r="AG113" i="15"/>
  <c r="AF114" i="15"/>
  <c r="AG114" i="15"/>
  <c r="AF115" i="15"/>
  <c r="AG115" i="15"/>
  <c r="AF116" i="15"/>
  <c r="AG116" i="15"/>
  <c r="AF117" i="15"/>
  <c r="AG117" i="15"/>
  <c r="AF118" i="15"/>
  <c r="AG118" i="15"/>
  <c r="AG119" i="15"/>
  <c r="AG120" i="15"/>
  <c r="AF121" i="15"/>
  <c r="AG121" i="15"/>
  <c r="AF122" i="15"/>
  <c r="AG122" i="15"/>
  <c r="AF123" i="15"/>
  <c r="AG123" i="15"/>
  <c r="AF124" i="15"/>
  <c r="AG124" i="15"/>
  <c r="AF125" i="15"/>
  <c r="AG125" i="15"/>
  <c r="AF126" i="15"/>
  <c r="AG126" i="15"/>
  <c r="AF127" i="15"/>
  <c r="AG127" i="15"/>
  <c r="AF128" i="15"/>
  <c r="AG128" i="15"/>
  <c r="AF129" i="15"/>
  <c r="AG129" i="15"/>
  <c r="AF130" i="15"/>
  <c r="AG130" i="15"/>
  <c r="AF131" i="15"/>
  <c r="AG131" i="15"/>
  <c r="AF132" i="15"/>
  <c r="AG132" i="15"/>
  <c r="AF133" i="15"/>
  <c r="AG133" i="15"/>
  <c r="AF134" i="15"/>
  <c r="AG134" i="15"/>
  <c r="AF135" i="15"/>
  <c r="AG135" i="15"/>
  <c r="AF136" i="15"/>
  <c r="AG136" i="15"/>
  <c r="AF137" i="15"/>
  <c r="AG137" i="15"/>
  <c r="AF138" i="15"/>
  <c r="AG138" i="15"/>
  <c r="AF139" i="15"/>
  <c r="AG139" i="15"/>
  <c r="AF140" i="15"/>
  <c r="AG140" i="15"/>
  <c r="AF141" i="15"/>
  <c r="AG141" i="15"/>
  <c r="AF142" i="15"/>
  <c r="AG142" i="15"/>
  <c r="AF143" i="15"/>
  <c r="AG143" i="15"/>
  <c r="AF144" i="15"/>
  <c r="AG144" i="15"/>
  <c r="AF145" i="15"/>
  <c r="AG145" i="15"/>
  <c r="AF146" i="15"/>
  <c r="AG146" i="15"/>
  <c r="AF147" i="15"/>
  <c r="AG147" i="15"/>
  <c r="AF148" i="15"/>
  <c r="AG148" i="15"/>
  <c r="AF149" i="15"/>
  <c r="AG149" i="15"/>
  <c r="AF150" i="15"/>
  <c r="AG150" i="15"/>
  <c r="AF151" i="15"/>
  <c r="AG151" i="15"/>
  <c r="AF152" i="15"/>
  <c r="AG152" i="15"/>
  <c r="AF153" i="15"/>
  <c r="AG153" i="15"/>
  <c r="AG154" i="15"/>
  <c r="AG155" i="15"/>
  <c r="AF156" i="15"/>
  <c r="AG156" i="15"/>
  <c r="AG157" i="15"/>
  <c r="AF158" i="15"/>
  <c r="AG158" i="15"/>
  <c r="AF159" i="15"/>
  <c r="AG159" i="15"/>
  <c r="AF160" i="15"/>
  <c r="AG160" i="15"/>
  <c r="AF161" i="15"/>
  <c r="AG161" i="15"/>
  <c r="AF162" i="15"/>
  <c r="AG162" i="15"/>
  <c r="AF163" i="15"/>
  <c r="AG163" i="15"/>
  <c r="AF164" i="15"/>
  <c r="AG164" i="15"/>
  <c r="AF165" i="15"/>
  <c r="AG165" i="15"/>
  <c r="AF166" i="15"/>
  <c r="AG166" i="15"/>
  <c r="AF167" i="15"/>
  <c r="AG167" i="15"/>
  <c r="AF168" i="15"/>
  <c r="AG168" i="15"/>
  <c r="AF169" i="15"/>
  <c r="AG169" i="15"/>
  <c r="AF170" i="15"/>
  <c r="AG170" i="15"/>
  <c r="AF171" i="15"/>
  <c r="AG171" i="15"/>
  <c r="AF172" i="15"/>
  <c r="AG172" i="15"/>
  <c r="AF173" i="15"/>
  <c r="AG173" i="15"/>
  <c r="AF174" i="15"/>
  <c r="AG174" i="15"/>
  <c r="AF175" i="15"/>
  <c r="AG175" i="15"/>
  <c r="AF176" i="15"/>
  <c r="AG176" i="15"/>
  <c r="AF177" i="15"/>
  <c r="AG177" i="15"/>
  <c r="AF178" i="15"/>
  <c r="AG178" i="15"/>
  <c r="AF179" i="15"/>
  <c r="AG179" i="15"/>
  <c r="AF180" i="15"/>
  <c r="AG180" i="15"/>
  <c r="AF181" i="15"/>
  <c r="AG181" i="15"/>
  <c r="AF182" i="15"/>
  <c r="AG182" i="15"/>
  <c r="AF183" i="15"/>
  <c r="AG183" i="15"/>
  <c r="AF184" i="15"/>
  <c r="AG184" i="15"/>
  <c r="AF185" i="15"/>
  <c r="AG185" i="15"/>
  <c r="AF186" i="15"/>
  <c r="AG186" i="15"/>
  <c r="AF187" i="15"/>
  <c r="AG187" i="15"/>
  <c r="AF188" i="15"/>
  <c r="AG188" i="15"/>
  <c r="AF189" i="15"/>
  <c r="AG189" i="15"/>
  <c r="AF190" i="15"/>
  <c r="AG190" i="15"/>
  <c r="AF191" i="15"/>
  <c r="AG191" i="15"/>
  <c r="AF192" i="15"/>
  <c r="AG192" i="15"/>
  <c r="AF193" i="15"/>
  <c r="AG193" i="15"/>
  <c r="AF194" i="15"/>
  <c r="AG194" i="15"/>
  <c r="AF195" i="15"/>
  <c r="AG195" i="15"/>
  <c r="AG14" i="15"/>
  <c r="AF14" i="15"/>
  <c r="AE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09" i="15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K507" i="18" s="1"/>
  <c r="K506" i="18" s="1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M417" i="18"/>
  <c r="K418" i="18"/>
  <c r="K417" i="18" s="1"/>
  <c r="N63" i="15" s="1"/>
  <c r="K405" i="18"/>
  <c r="K406" i="18"/>
  <c r="J460" i="24" l="1"/>
  <c r="L460" i="24" s="1"/>
  <c r="N460" i="24" s="1"/>
  <c r="J507" i="20"/>
  <c r="J533" i="24"/>
  <c r="L533" i="24" s="1"/>
  <c r="N533" i="24" s="1"/>
  <c r="J536" i="24"/>
  <c r="L536" i="24" s="1"/>
  <c r="N536" i="24" s="1"/>
  <c r="J436" i="20"/>
  <c r="J473" i="24"/>
  <c r="L473" i="24" s="1"/>
  <c r="N473" i="24" s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G53" i="15"/>
  <c r="AG48" i="15"/>
  <c r="AG50" i="15"/>
  <c r="AG47" i="15"/>
  <c r="AG45" i="15"/>
  <c r="J422" i="22"/>
  <c r="AG46" i="15"/>
  <c r="K386" i="22"/>
  <c r="P41" i="15" s="1"/>
  <c r="AG41" i="15" s="1"/>
  <c r="K389" i="22"/>
  <c r="P42" i="15" s="1"/>
  <c r="AG42" i="15" s="1"/>
  <c r="AG43" i="15"/>
  <c r="AG40" i="15"/>
  <c r="G106" i="22"/>
  <c r="K106" i="22" s="1"/>
  <c r="K94" i="22"/>
  <c r="K108" i="22"/>
  <c r="L108" i="22" s="1"/>
  <c r="N108" i="22" s="1"/>
  <c r="K261" i="22"/>
  <c r="K430" i="22"/>
  <c r="P83" i="15" s="1"/>
  <c r="AG83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F110" i="15"/>
  <c r="AF42" i="15"/>
  <c r="AF108" i="15"/>
  <c r="J418" i="20"/>
  <c r="K443" i="20"/>
  <c r="O120" i="15" s="1"/>
  <c r="J417" i="20"/>
  <c r="L417" i="20" s="1"/>
  <c r="N417" i="20" s="1"/>
  <c r="AF41" i="15"/>
  <c r="AF109" i="15"/>
  <c r="K427" i="20"/>
  <c r="O83" i="15" s="1"/>
  <c r="AF82" i="15"/>
  <c r="AF119" i="15"/>
  <c r="AF154" i="15"/>
  <c r="J498" i="20"/>
  <c r="AF155" i="15"/>
  <c r="AF157" i="15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E119" i="15"/>
  <c r="M386" i="18"/>
  <c r="K387" i="18"/>
  <c r="K386" i="18" s="1"/>
  <c r="AE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E15" i="15"/>
  <c r="AE16" i="15"/>
  <c r="AE17" i="15"/>
  <c r="AE18" i="15"/>
  <c r="AE19" i="15"/>
  <c r="AE20" i="15"/>
  <c r="AE21" i="15"/>
  <c r="AE22" i="15"/>
  <c r="AE23" i="15"/>
  <c r="AE24" i="15"/>
  <c r="AE25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39" i="15"/>
  <c r="AE40" i="15"/>
  <c r="AE43" i="15"/>
  <c r="AE44" i="15"/>
  <c r="AE45" i="15"/>
  <c r="AE46" i="15"/>
  <c r="AE47" i="15"/>
  <c r="AE48" i="15"/>
  <c r="AE49" i="15"/>
  <c r="AE50" i="15"/>
  <c r="AE53" i="15"/>
  <c r="AE54" i="15"/>
  <c r="AE55" i="15"/>
  <c r="AE56" i="15"/>
  <c r="AE57" i="15"/>
  <c r="AE58" i="15"/>
  <c r="AE59" i="15"/>
  <c r="AE60" i="15"/>
  <c r="AE61" i="15"/>
  <c r="AE62" i="15"/>
  <c r="AE63" i="15"/>
  <c r="AE64" i="15"/>
  <c r="AE65" i="15"/>
  <c r="AE66" i="15"/>
  <c r="AE67" i="15"/>
  <c r="AE68" i="15"/>
  <c r="AE69" i="15"/>
  <c r="AE70" i="15"/>
  <c r="AE71" i="15"/>
  <c r="AE72" i="15"/>
  <c r="AE73" i="15"/>
  <c r="AE74" i="15"/>
  <c r="AE75" i="15"/>
  <c r="AE76" i="15"/>
  <c r="AE77" i="15"/>
  <c r="AE78" i="15"/>
  <c r="AE79" i="15"/>
  <c r="AE80" i="15"/>
  <c r="AE81" i="15"/>
  <c r="AE82" i="15"/>
  <c r="AE83" i="15"/>
  <c r="AE84" i="15"/>
  <c r="AE85" i="15"/>
  <c r="AE86" i="15"/>
  <c r="AE87" i="15"/>
  <c r="AE88" i="15"/>
  <c r="AE89" i="15"/>
  <c r="AE90" i="15"/>
  <c r="AE91" i="15"/>
  <c r="AE92" i="15"/>
  <c r="AE93" i="15"/>
  <c r="AE94" i="15"/>
  <c r="AE95" i="15"/>
  <c r="AE96" i="15"/>
  <c r="AE97" i="15"/>
  <c r="AE98" i="15"/>
  <c r="AE99" i="15"/>
  <c r="AE100" i="15"/>
  <c r="AE101" i="15"/>
  <c r="AE102" i="15"/>
  <c r="AE103" i="15"/>
  <c r="AE104" i="15"/>
  <c r="AE105" i="15"/>
  <c r="AE106" i="15"/>
  <c r="AE107" i="15"/>
  <c r="AE108" i="15"/>
  <c r="AE109" i="15"/>
  <c r="AE110" i="15"/>
  <c r="AE111" i="15"/>
  <c r="AE112" i="15"/>
  <c r="AE113" i="15"/>
  <c r="AE114" i="15"/>
  <c r="AE115" i="15"/>
  <c r="AE116" i="15"/>
  <c r="AE117" i="15"/>
  <c r="AE118" i="15"/>
  <c r="AE120" i="15"/>
  <c r="AE121" i="15"/>
  <c r="AE122" i="15"/>
  <c r="AE123" i="15"/>
  <c r="AE124" i="15"/>
  <c r="AE125" i="15"/>
  <c r="AE126" i="15"/>
  <c r="AE127" i="15"/>
  <c r="AE128" i="15"/>
  <c r="AE129" i="15"/>
  <c r="AE130" i="15"/>
  <c r="AE131" i="15"/>
  <c r="AE132" i="15"/>
  <c r="AE133" i="15"/>
  <c r="AE134" i="15"/>
  <c r="AE135" i="15"/>
  <c r="AE136" i="15"/>
  <c r="AE137" i="15"/>
  <c r="AE138" i="15"/>
  <c r="AE139" i="15"/>
  <c r="AE140" i="15"/>
  <c r="AE141" i="15"/>
  <c r="AE142" i="15"/>
  <c r="AE143" i="15"/>
  <c r="AE144" i="15"/>
  <c r="AE145" i="15"/>
  <c r="AE146" i="15"/>
  <c r="AE147" i="15"/>
  <c r="AE148" i="15"/>
  <c r="AE149" i="15"/>
  <c r="AE150" i="15"/>
  <c r="AE151" i="15"/>
  <c r="AE152" i="15"/>
  <c r="AE153" i="15"/>
  <c r="AE154" i="15"/>
  <c r="AE155" i="15"/>
  <c r="AE156" i="15"/>
  <c r="AE157" i="15"/>
  <c r="AE158" i="15"/>
  <c r="AE159" i="15"/>
  <c r="AE160" i="15"/>
  <c r="AE161" i="15"/>
  <c r="AE162" i="15"/>
  <c r="AE163" i="15"/>
  <c r="AE164" i="15"/>
  <c r="AE165" i="15"/>
  <c r="AE166" i="15"/>
  <c r="AE167" i="15"/>
  <c r="AE168" i="15"/>
  <c r="AE169" i="15"/>
  <c r="AE170" i="15"/>
  <c r="AE171" i="15"/>
  <c r="AE172" i="15"/>
  <c r="AE173" i="15"/>
  <c r="AE174" i="15"/>
  <c r="AE175" i="15"/>
  <c r="AE176" i="15"/>
  <c r="AE177" i="15"/>
  <c r="AE178" i="15"/>
  <c r="AE179" i="15"/>
  <c r="AE180" i="15"/>
  <c r="AE181" i="15"/>
  <c r="AE182" i="15"/>
  <c r="AE183" i="15"/>
  <c r="AE184" i="15"/>
  <c r="AE185" i="15"/>
  <c r="AE186" i="15"/>
  <c r="AE187" i="15"/>
  <c r="AE188" i="15"/>
  <c r="AE189" i="15"/>
  <c r="AE190" i="15"/>
  <c r="AE191" i="15"/>
  <c r="AE192" i="15"/>
  <c r="AE193" i="15"/>
  <c r="AE194" i="15"/>
  <c r="AE195" i="15"/>
  <c r="AD14" i="15"/>
  <c r="G387" i="16"/>
  <c r="G389" i="16"/>
  <c r="G411" i="16"/>
  <c r="G401" i="16"/>
  <c r="G385" i="16"/>
  <c r="K385" i="16" s="1"/>
  <c r="K402" i="16"/>
  <c r="J438" i="20" l="1"/>
  <c r="J439" i="22"/>
  <c r="L439" i="22" s="1"/>
  <c r="N439" i="22" s="1"/>
  <c r="J471" i="24"/>
  <c r="L471" i="24" s="1"/>
  <c r="N471" i="24" s="1"/>
  <c r="J389" i="22"/>
  <c r="L389" i="22" s="1"/>
  <c r="N389" i="22" s="1"/>
  <c r="J501" i="20"/>
  <c r="L501" i="20" s="1"/>
  <c r="N501" i="20" s="1"/>
  <c r="J542" i="24"/>
  <c r="L542" i="24" s="1"/>
  <c r="N542" i="24" s="1"/>
  <c r="O51" i="15"/>
  <c r="AF51" i="15" s="1"/>
  <c r="J441" i="20"/>
  <c r="L441" i="20" s="1"/>
  <c r="N441" i="20" s="1"/>
  <c r="J476" i="24"/>
  <c r="L476" i="24" s="1"/>
  <c r="N476" i="24" s="1"/>
  <c r="J444" i="22"/>
  <c r="L444" i="22" s="1"/>
  <c r="N444" i="22" s="1"/>
  <c r="AF83" i="15"/>
  <c r="AF120" i="15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E41" i="15" s="1"/>
  <c r="K403" i="18"/>
  <c r="N51" i="15" s="1"/>
  <c r="AE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AD46" i="15" s="1"/>
  <c r="AD15" i="15"/>
  <c r="AD16" i="15"/>
  <c r="AD17" i="15"/>
  <c r="AD18" i="15"/>
  <c r="AD19" i="15"/>
  <c r="AD20" i="15"/>
  <c r="AD21" i="15"/>
  <c r="AD22" i="15"/>
  <c r="AD23" i="15"/>
  <c r="AD24" i="15"/>
  <c r="AD25" i="15"/>
  <c r="AD26" i="15"/>
  <c r="AD27" i="15"/>
  <c r="AD28" i="15"/>
  <c r="AD29" i="15"/>
  <c r="AD30" i="15"/>
  <c r="AD31" i="15"/>
  <c r="AD32" i="15"/>
  <c r="AD33" i="15"/>
  <c r="AD34" i="15"/>
  <c r="AD35" i="15"/>
  <c r="AD36" i="15"/>
  <c r="AD37" i="15"/>
  <c r="AD38" i="15"/>
  <c r="AD39" i="15"/>
  <c r="AD40" i="15"/>
  <c r="AD42" i="15"/>
  <c r="AD47" i="15"/>
  <c r="AD55" i="15"/>
  <c r="AD56" i="15"/>
  <c r="AD57" i="15"/>
  <c r="AD58" i="15"/>
  <c r="AD59" i="15"/>
  <c r="AD61" i="15"/>
  <c r="AD63" i="15"/>
  <c r="AD64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93" i="15"/>
  <c r="AD94" i="15"/>
  <c r="AD95" i="15"/>
  <c r="AD96" i="15"/>
  <c r="AD97" i="15"/>
  <c r="AD98" i="15"/>
  <c r="AD99" i="15"/>
  <c r="AD100" i="15"/>
  <c r="AD101" i="15"/>
  <c r="AD102" i="15"/>
  <c r="AD103" i="15"/>
  <c r="AD104" i="15"/>
  <c r="AD105" i="15"/>
  <c r="AD106" i="15"/>
  <c r="AD107" i="15"/>
  <c r="AD109" i="15"/>
  <c r="AD110" i="15"/>
  <c r="AD111" i="15"/>
  <c r="AD112" i="15"/>
  <c r="AD113" i="15"/>
  <c r="AD114" i="15"/>
  <c r="AD115" i="15"/>
  <c r="AD116" i="15"/>
  <c r="AD117" i="15"/>
  <c r="AD118" i="15"/>
  <c r="AD119" i="15"/>
  <c r="AD120" i="15"/>
  <c r="AD121" i="15"/>
  <c r="AD122" i="15"/>
  <c r="AD123" i="15"/>
  <c r="AD124" i="15"/>
  <c r="AD125" i="15"/>
  <c r="AD126" i="15"/>
  <c r="AD127" i="15"/>
  <c r="AD128" i="15"/>
  <c r="AD129" i="15"/>
  <c r="AD130" i="15"/>
  <c r="AD131" i="15"/>
  <c r="AD132" i="15"/>
  <c r="AD133" i="15"/>
  <c r="AD134" i="15"/>
  <c r="AD135" i="15"/>
  <c r="AD136" i="15"/>
  <c r="AD137" i="15"/>
  <c r="AD138" i="15"/>
  <c r="AD139" i="15"/>
  <c r="AD140" i="15"/>
  <c r="AD141" i="15"/>
  <c r="AD142" i="15"/>
  <c r="AD143" i="15"/>
  <c r="AD144" i="15"/>
  <c r="AD145" i="15"/>
  <c r="AD146" i="15"/>
  <c r="AD147" i="15"/>
  <c r="AD148" i="15"/>
  <c r="AD149" i="15"/>
  <c r="AD150" i="15"/>
  <c r="AD151" i="15"/>
  <c r="AD152" i="15"/>
  <c r="AD153" i="15"/>
  <c r="AD154" i="15"/>
  <c r="AD155" i="15"/>
  <c r="AD156" i="15"/>
  <c r="AD157" i="15"/>
  <c r="AD158" i="15"/>
  <c r="AD159" i="15"/>
  <c r="AD160" i="15"/>
  <c r="AD161" i="15"/>
  <c r="AD162" i="15"/>
  <c r="AD163" i="15"/>
  <c r="AD164" i="15"/>
  <c r="AD165" i="15"/>
  <c r="AD166" i="15"/>
  <c r="AD167" i="15"/>
  <c r="AD168" i="15"/>
  <c r="AD169" i="15"/>
  <c r="AD170" i="15"/>
  <c r="AD171" i="15"/>
  <c r="AD172" i="15"/>
  <c r="AD173" i="15"/>
  <c r="AD174" i="15"/>
  <c r="AD175" i="15"/>
  <c r="AD176" i="15"/>
  <c r="AD177" i="15"/>
  <c r="AD178" i="15"/>
  <c r="AD179" i="15"/>
  <c r="AD180" i="15"/>
  <c r="AD181" i="15"/>
  <c r="AD182" i="15"/>
  <c r="AD183" i="15"/>
  <c r="AD184" i="15"/>
  <c r="AD185" i="15"/>
  <c r="AD186" i="15"/>
  <c r="AD187" i="15"/>
  <c r="AD188" i="15"/>
  <c r="AD189" i="15"/>
  <c r="AD191" i="15"/>
  <c r="AD192" i="15"/>
  <c r="AD193" i="15"/>
  <c r="AD194" i="15"/>
  <c r="AD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AD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AC195" i="15"/>
  <c r="AB195" i="15"/>
  <c r="AA195" i="15"/>
  <c r="Z195" i="15"/>
  <c r="Y195" i="15"/>
  <c r="W195" i="15"/>
  <c r="AC194" i="15"/>
  <c r="AB194" i="15"/>
  <c r="AA194" i="15"/>
  <c r="Z194" i="15"/>
  <c r="Y194" i="15"/>
  <c r="W194" i="15"/>
  <c r="AC193" i="15"/>
  <c r="AB193" i="15"/>
  <c r="AA193" i="15"/>
  <c r="Z193" i="15"/>
  <c r="Y193" i="15"/>
  <c r="AC192" i="15"/>
  <c r="AB192" i="15"/>
  <c r="AA192" i="15"/>
  <c r="Z192" i="15"/>
  <c r="Y192" i="15"/>
  <c r="W192" i="15"/>
  <c r="AC191" i="15"/>
  <c r="AB191" i="15"/>
  <c r="AA191" i="15"/>
  <c r="Z191" i="15"/>
  <c r="Y191" i="15"/>
  <c r="W191" i="15"/>
  <c r="AB190" i="15"/>
  <c r="AA190" i="15"/>
  <c r="Z190" i="15"/>
  <c r="Y190" i="15"/>
  <c r="AA189" i="15"/>
  <c r="Z189" i="15"/>
  <c r="Y189" i="15"/>
  <c r="Z188" i="15"/>
  <c r="Y188" i="15"/>
  <c r="AC187" i="15"/>
  <c r="AB187" i="15"/>
  <c r="Z187" i="15"/>
  <c r="Y187" i="15"/>
  <c r="AC182" i="15"/>
  <c r="AB182" i="15"/>
  <c r="AA182" i="15"/>
  <c r="Z182" i="15"/>
  <c r="Y182" i="15"/>
  <c r="W182" i="15"/>
  <c r="AC180" i="15"/>
  <c r="AB180" i="15"/>
  <c r="AA180" i="15"/>
  <c r="AC179" i="15"/>
  <c r="AB179" i="15"/>
  <c r="AA179" i="15"/>
  <c r="AC178" i="15"/>
  <c r="AB178" i="15"/>
  <c r="AA178" i="15"/>
  <c r="Z177" i="15"/>
  <c r="Y177" i="15"/>
  <c r="AC176" i="15"/>
  <c r="AB176" i="15"/>
  <c r="AA176" i="15"/>
  <c r="Y176" i="15"/>
  <c r="AC175" i="15"/>
  <c r="AB175" i="15"/>
  <c r="AA175" i="15"/>
  <c r="Z175" i="15"/>
  <c r="Y175" i="15"/>
  <c r="W175" i="15"/>
  <c r="AC174" i="15"/>
  <c r="AB174" i="15"/>
  <c r="AA174" i="15"/>
  <c r="Z174" i="15"/>
  <c r="AC173" i="15"/>
  <c r="AB173" i="15"/>
  <c r="AA173" i="15"/>
  <c r="Z173" i="15"/>
  <c r="Y173" i="15"/>
  <c r="AC172" i="15"/>
  <c r="AB172" i="15"/>
  <c r="AA172" i="15"/>
  <c r="Z172" i="15"/>
  <c r="Y172" i="15"/>
  <c r="W172" i="15"/>
  <c r="AC171" i="15"/>
  <c r="AB171" i="15"/>
  <c r="AA171" i="15"/>
  <c r="Z171" i="15"/>
  <c r="Y171" i="15"/>
  <c r="W171" i="15"/>
  <c r="AC170" i="15"/>
  <c r="AB170" i="15"/>
  <c r="AA170" i="15"/>
  <c r="Z170" i="15"/>
  <c r="Y170" i="15"/>
  <c r="W170" i="15"/>
  <c r="AC169" i="15"/>
  <c r="AB169" i="15"/>
  <c r="AA169" i="15"/>
  <c r="Z169" i="15"/>
  <c r="Y169" i="15"/>
  <c r="W169" i="15"/>
  <c r="AC168" i="15"/>
  <c r="AB168" i="15"/>
  <c r="AA168" i="15"/>
  <c r="Z168" i="15"/>
  <c r="Y168" i="15"/>
  <c r="W168" i="15"/>
  <c r="AC167" i="15"/>
  <c r="AB167" i="15"/>
  <c r="AA167" i="15"/>
  <c r="Z167" i="15"/>
  <c r="Y167" i="15"/>
  <c r="W167" i="15"/>
  <c r="AC166" i="15"/>
  <c r="AB166" i="15"/>
  <c r="AA166" i="15"/>
  <c r="Z166" i="15"/>
  <c r="Y166" i="15"/>
  <c r="W166" i="15"/>
  <c r="AC165" i="15"/>
  <c r="AB165" i="15"/>
  <c r="AA165" i="15"/>
  <c r="Z165" i="15"/>
  <c r="Y165" i="15"/>
  <c r="W165" i="15"/>
  <c r="AC164" i="15"/>
  <c r="AB164" i="15"/>
  <c r="AA164" i="15"/>
  <c r="Z164" i="15"/>
  <c r="Y164" i="15"/>
  <c r="W164" i="15"/>
  <c r="AC163" i="15"/>
  <c r="AB163" i="15"/>
  <c r="AA163" i="15"/>
  <c r="Z163" i="15"/>
  <c r="Y163" i="15"/>
  <c r="W163" i="15"/>
  <c r="AC162" i="15"/>
  <c r="AB162" i="15"/>
  <c r="AA162" i="15"/>
  <c r="Z162" i="15"/>
  <c r="Y162" i="15"/>
  <c r="W162" i="15"/>
  <c r="AC161" i="15"/>
  <c r="AB161" i="15"/>
  <c r="AA161" i="15"/>
  <c r="Z161" i="15"/>
  <c r="Y161" i="15"/>
  <c r="W161" i="15"/>
  <c r="AC160" i="15"/>
  <c r="AB160" i="15"/>
  <c r="AA160" i="15"/>
  <c r="Z160" i="15"/>
  <c r="Y160" i="15"/>
  <c r="AC159" i="15"/>
  <c r="AB159" i="15"/>
  <c r="AA159" i="15"/>
  <c r="Z159" i="15"/>
  <c r="Y159" i="15"/>
  <c r="J513" i="20"/>
  <c r="L513" i="20" s="1"/>
  <c r="AC158" i="15"/>
  <c r="AB158" i="15"/>
  <c r="AA158" i="15"/>
  <c r="Z158" i="15"/>
  <c r="Y158" i="15"/>
  <c r="AC157" i="15"/>
  <c r="AB157" i="15"/>
  <c r="AA157" i="15"/>
  <c r="Z157" i="15"/>
  <c r="Y157" i="15"/>
  <c r="L507" i="20"/>
  <c r="N507" i="20" s="1"/>
  <c r="AC156" i="15"/>
  <c r="AB156" i="15"/>
  <c r="AA156" i="15"/>
  <c r="Z156" i="15"/>
  <c r="Y156" i="15"/>
  <c r="AC155" i="15"/>
  <c r="AB155" i="15"/>
  <c r="AA155" i="15"/>
  <c r="Z155" i="15"/>
  <c r="Y155" i="15"/>
  <c r="AC154" i="15"/>
  <c r="AB154" i="15"/>
  <c r="AA154" i="15"/>
  <c r="Z154" i="15"/>
  <c r="Y154" i="15"/>
  <c r="L498" i="20"/>
  <c r="N498" i="20" s="1"/>
  <c r="AC153" i="15"/>
  <c r="AB153" i="15"/>
  <c r="AA153" i="15"/>
  <c r="Z153" i="15"/>
  <c r="Y153" i="15"/>
  <c r="AC152" i="15"/>
  <c r="AB152" i="15"/>
  <c r="AA152" i="15"/>
  <c r="Z152" i="15"/>
  <c r="Y152" i="15"/>
  <c r="AC151" i="15"/>
  <c r="AB151" i="15"/>
  <c r="AA151" i="15"/>
  <c r="Z151" i="15"/>
  <c r="Y151" i="15"/>
  <c r="AC150" i="15"/>
  <c r="AB150" i="15"/>
  <c r="AA150" i="15"/>
  <c r="Z150" i="15"/>
  <c r="Y150" i="15"/>
  <c r="AC149" i="15"/>
  <c r="AB149" i="15"/>
  <c r="AA149" i="15"/>
  <c r="Z149" i="15"/>
  <c r="Y149" i="15"/>
  <c r="AC148" i="15"/>
  <c r="AB148" i="15"/>
  <c r="AA148" i="15"/>
  <c r="Z148" i="15"/>
  <c r="Y148" i="15"/>
  <c r="AC147" i="15"/>
  <c r="AB147" i="15"/>
  <c r="AA147" i="15"/>
  <c r="Z147" i="15"/>
  <c r="Y147" i="15"/>
  <c r="AC146" i="15"/>
  <c r="AB146" i="15"/>
  <c r="AA146" i="15"/>
  <c r="Z146" i="15"/>
  <c r="Y146" i="15"/>
  <c r="AC145" i="15"/>
  <c r="AB145" i="15"/>
  <c r="AA145" i="15"/>
  <c r="Z145" i="15"/>
  <c r="Y145" i="15"/>
  <c r="AC144" i="15"/>
  <c r="AB144" i="15"/>
  <c r="AA144" i="15"/>
  <c r="Z144" i="15"/>
  <c r="Y144" i="15"/>
  <c r="L468" i="20"/>
  <c r="N468" i="20" s="1"/>
  <c r="AC143" i="15"/>
  <c r="AB143" i="15"/>
  <c r="AA143" i="15"/>
  <c r="Z143" i="15"/>
  <c r="Y143" i="15"/>
  <c r="L465" i="20"/>
  <c r="N465" i="20" s="1"/>
  <c r="AC142" i="15"/>
  <c r="AB142" i="15"/>
  <c r="AA142" i="15"/>
  <c r="Z142" i="15"/>
  <c r="Y142" i="15"/>
  <c r="AC141" i="15"/>
  <c r="AB141" i="15"/>
  <c r="AA141" i="15"/>
  <c r="Z141" i="15"/>
  <c r="Y141" i="15"/>
  <c r="AC140" i="15"/>
  <c r="AB140" i="15"/>
  <c r="AA140" i="15"/>
  <c r="Z140" i="15"/>
  <c r="Y140" i="15"/>
  <c r="L456" i="20"/>
  <c r="N456" i="20" s="1"/>
  <c r="AC139" i="15"/>
  <c r="AB139" i="15"/>
  <c r="AA139" i="15"/>
  <c r="Z139" i="15"/>
  <c r="Y139" i="15"/>
  <c r="L453" i="20"/>
  <c r="N453" i="20" s="1"/>
  <c r="AC138" i="15"/>
  <c r="AB138" i="15"/>
  <c r="AA138" i="15"/>
  <c r="Z138" i="15"/>
  <c r="Y138" i="15"/>
  <c r="L450" i="20"/>
  <c r="N450" i="20" s="1"/>
  <c r="AC137" i="15"/>
  <c r="AB137" i="15"/>
  <c r="AA137" i="15"/>
  <c r="Z137" i="15"/>
  <c r="Y137" i="15"/>
  <c r="AC136" i="15"/>
  <c r="AB136" i="15"/>
  <c r="AA136" i="15"/>
  <c r="Z136" i="15"/>
  <c r="Y136" i="15"/>
  <c r="W136" i="15"/>
  <c r="AC135" i="15"/>
  <c r="AB135" i="15"/>
  <c r="AA135" i="15"/>
  <c r="Z135" i="15"/>
  <c r="Y135" i="15"/>
  <c r="W135" i="15"/>
  <c r="AC134" i="15"/>
  <c r="AB134" i="15"/>
  <c r="AA134" i="15"/>
  <c r="Z134" i="15"/>
  <c r="Y134" i="15"/>
  <c r="W134" i="15"/>
  <c r="AC133" i="15"/>
  <c r="AB133" i="15"/>
  <c r="AA133" i="15"/>
  <c r="Z133" i="15"/>
  <c r="Y133" i="15"/>
  <c r="W133" i="15"/>
  <c r="AC132" i="15"/>
  <c r="AB132" i="15"/>
  <c r="AA132" i="15"/>
  <c r="Z132" i="15"/>
  <c r="Y132" i="15"/>
  <c r="W132" i="15"/>
  <c r="AC131" i="15"/>
  <c r="AB131" i="15"/>
  <c r="AA131" i="15"/>
  <c r="Z131" i="15"/>
  <c r="Y131" i="15"/>
  <c r="W131" i="15"/>
  <c r="AC130" i="15"/>
  <c r="AB130" i="15"/>
  <c r="AA130" i="15"/>
  <c r="Z130" i="15"/>
  <c r="Y130" i="15"/>
  <c r="W130" i="15"/>
  <c r="AC129" i="15"/>
  <c r="AB129" i="15"/>
  <c r="AA129" i="15"/>
  <c r="Z129" i="15"/>
  <c r="Y129" i="15"/>
  <c r="W129" i="15"/>
  <c r="AC128" i="15"/>
  <c r="AB128" i="15"/>
  <c r="AA128" i="15"/>
  <c r="Z128" i="15"/>
  <c r="Y128" i="15"/>
  <c r="W128" i="15"/>
  <c r="AC127" i="15"/>
  <c r="AB127" i="15"/>
  <c r="AA127" i="15"/>
  <c r="Z127" i="15"/>
  <c r="Y127" i="15"/>
  <c r="AC126" i="15"/>
  <c r="AB126" i="15"/>
  <c r="AA126" i="15"/>
  <c r="Z126" i="15"/>
  <c r="Y126" i="15"/>
  <c r="W126" i="15"/>
  <c r="AC125" i="15"/>
  <c r="AB125" i="15"/>
  <c r="AA125" i="15"/>
  <c r="Z125" i="15"/>
  <c r="Y125" i="15"/>
  <c r="W125" i="15"/>
  <c r="AC124" i="15"/>
  <c r="AB124" i="15"/>
  <c r="AA124" i="15"/>
  <c r="Z124" i="15"/>
  <c r="Y124" i="15"/>
  <c r="W124" i="15"/>
  <c r="AC123" i="15"/>
  <c r="AB123" i="15"/>
  <c r="AA123" i="15"/>
  <c r="Z123" i="15"/>
  <c r="Y123" i="15"/>
  <c r="W123" i="15"/>
  <c r="AC122" i="15"/>
  <c r="AB122" i="15"/>
  <c r="AA122" i="15"/>
  <c r="Z122" i="15"/>
  <c r="Y122" i="15"/>
  <c r="X209" i="15"/>
  <c r="W122" i="15"/>
  <c r="AC121" i="15"/>
  <c r="AB121" i="15"/>
  <c r="AA121" i="15"/>
  <c r="Z121" i="15"/>
  <c r="Y121" i="15"/>
  <c r="W121" i="15"/>
  <c r="AC120" i="15"/>
  <c r="AB120" i="15"/>
  <c r="AA120" i="15"/>
  <c r="Z120" i="15"/>
  <c r="Y120" i="15"/>
  <c r="AC119" i="15"/>
  <c r="AB119" i="15"/>
  <c r="AA119" i="15"/>
  <c r="Z119" i="15"/>
  <c r="Y119" i="15"/>
  <c r="AC118" i="15"/>
  <c r="AB118" i="15"/>
  <c r="AA118" i="15"/>
  <c r="Z118" i="15"/>
  <c r="Y118" i="15"/>
  <c r="AC117" i="15"/>
  <c r="AB117" i="15"/>
  <c r="AA117" i="15"/>
  <c r="Z117" i="15"/>
  <c r="Y117" i="15"/>
  <c r="W117" i="15"/>
  <c r="AC116" i="15"/>
  <c r="AB116" i="15"/>
  <c r="AA116" i="15"/>
  <c r="Z116" i="15"/>
  <c r="Y116" i="15"/>
  <c r="W116" i="15"/>
  <c r="AC115" i="15"/>
  <c r="AB115" i="15"/>
  <c r="AA115" i="15"/>
  <c r="Z115" i="15"/>
  <c r="Y115" i="15"/>
  <c r="W115" i="15"/>
  <c r="AC114" i="15"/>
  <c r="AB114" i="15"/>
  <c r="AA114" i="15"/>
  <c r="Z114" i="15"/>
  <c r="Y114" i="15"/>
  <c r="W114" i="15"/>
  <c r="AC113" i="15"/>
  <c r="AB113" i="15"/>
  <c r="AA113" i="15"/>
  <c r="Z113" i="15"/>
  <c r="Y113" i="15"/>
  <c r="W113" i="15"/>
  <c r="AC112" i="15"/>
  <c r="AB112" i="15"/>
  <c r="AA112" i="15"/>
  <c r="Z112" i="15"/>
  <c r="Y112" i="15"/>
  <c r="W112" i="15"/>
  <c r="AC111" i="15"/>
  <c r="AB111" i="15"/>
  <c r="AA111" i="15"/>
  <c r="Z111" i="15"/>
  <c r="Y111" i="15"/>
  <c r="W111" i="15"/>
  <c r="AC110" i="15"/>
  <c r="AB110" i="15"/>
  <c r="AA110" i="15"/>
  <c r="Z110" i="15"/>
  <c r="Y110" i="15"/>
  <c r="W110" i="15"/>
  <c r="AC109" i="15"/>
  <c r="AB109" i="15"/>
  <c r="AA109" i="15"/>
  <c r="Z109" i="15"/>
  <c r="Y109" i="15"/>
  <c r="W109" i="15"/>
  <c r="L436" i="20" s="1"/>
  <c r="N436" i="20" s="1"/>
  <c r="AC108" i="15"/>
  <c r="AB108" i="15"/>
  <c r="AA108" i="15"/>
  <c r="Z108" i="15"/>
  <c r="Y108" i="15"/>
  <c r="AC107" i="15"/>
  <c r="AB107" i="15"/>
  <c r="AA107" i="15"/>
  <c r="Z107" i="15"/>
  <c r="Y107" i="15"/>
  <c r="W107" i="15"/>
  <c r="AC106" i="15"/>
  <c r="AB106" i="15"/>
  <c r="AA106" i="15"/>
  <c r="Z106" i="15"/>
  <c r="Y106" i="15"/>
  <c r="W106" i="15"/>
  <c r="AC105" i="15"/>
  <c r="AB105" i="15"/>
  <c r="AA105" i="15"/>
  <c r="Z105" i="15"/>
  <c r="Y105" i="15"/>
  <c r="W105" i="15"/>
  <c r="AC104" i="15"/>
  <c r="AB104" i="15"/>
  <c r="AA104" i="15"/>
  <c r="Z104" i="15"/>
  <c r="Y104" i="15"/>
  <c r="W104" i="15"/>
  <c r="AC103" i="15"/>
  <c r="AB103" i="15"/>
  <c r="AA103" i="15"/>
  <c r="Z103" i="15"/>
  <c r="Y103" i="15"/>
  <c r="W103" i="15"/>
  <c r="AC102" i="15"/>
  <c r="AB102" i="15"/>
  <c r="AA102" i="15"/>
  <c r="Z102" i="15"/>
  <c r="Y102" i="15"/>
  <c r="W102" i="15"/>
  <c r="AC101" i="15"/>
  <c r="AB101" i="15"/>
  <c r="AA101" i="15"/>
  <c r="Z101" i="15"/>
  <c r="Y101" i="15"/>
  <c r="W101" i="15"/>
  <c r="AC100" i="15"/>
  <c r="AB100" i="15"/>
  <c r="AA100" i="15"/>
  <c r="Z100" i="15"/>
  <c r="Y100" i="15"/>
  <c r="W100" i="15"/>
  <c r="AC99" i="15"/>
  <c r="AB99" i="15"/>
  <c r="AA99" i="15"/>
  <c r="Z99" i="15"/>
  <c r="Y99" i="15"/>
  <c r="W99" i="15"/>
  <c r="AC98" i="15"/>
  <c r="AB98" i="15"/>
  <c r="AA98" i="15"/>
  <c r="Z98" i="15"/>
  <c r="Y98" i="15"/>
  <c r="W98" i="15"/>
  <c r="AC97" i="15"/>
  <c r="AB97" i="15"/>
  <c r="AA97" i="15"/>
  <c r="Z97" i="15"/>
  <c r="Y97" i="15"/>
  <c r="W97" i="15"/>
  <c r="AC96" i="15"/>
  <c r="AB96" i="15"/>
  <c r="AA96" i="15"/>
  <c r="Z96" i="15"/>
  <c r="Y96" i="15"/>
  <c r="W96" i="15"/>
  <c r="AC95" i="15"/>
  <c r="AB95" i="15"/>
  <c r="AA95" i="15"/>
  <c r="Z95" i="15"/>
  <c r="Y95" i="15"/>
  <c r="W95" i="15"/>
  <c r="AC94" i="15"/>
  <c r="AB94" i="15"/>
  <c r="AA94" i="15"/>
  <c r="Z94" i="15"/>
  <c r="Y94" i="15"/>
  <c r="W94" i="15"/>
  <c r="AC93" i="15"/>
  <c r="AB93" i="15"/>
  <c r="AA93" i="15"/>
  <c r="Z93" i="15"/>
  <c r="Y93" i="15"/>
  <c r="W93" i="15"/>
  <c r="AC92" i="15"/>
  <c r="AB92" i="15"/>
  <c r="AA92" i="15"/>
  <c r="Z92" i="15"/>
  <c r="Y92" i="15"/>
  <c r="W92" i="15"/>
  <c r="AC91" i="15"/>
  <c r="AB91" i="15"/>
  <c r="AA91" i="15"/>
  <c r="Z91" i="15"/>
  <c r="Y91" i="15"/>
  <c r="W91" i="15"/>
  <c r="AC90" i="15"/>
  <c r="AB90" i="15"/>
  <c r="AA90" i="15"/>
  <c r="Z90" i="15"/>
  <c r="Y90" i="15"/>
  <c r="W90" i="15"/>
  <c r="AC89" i="15"/>
  <c r="AB89" i="15"/>
  <c r="AA89" i="15"/>
  <c r="Z89" i="15"/>
  <c r="Y89" i="15"/>
  <c r="AC88" i="15"/>
  <c r="AB88" i="15"/>
  <c r="AA88" i="15"/>
  <c r="Z88" i="15"/>
  <c r="Y88" i="15"/>
  <c r="W88" i="15"/>
  <c r="AC87" i="15"/>
  <c r="AB87" i="15"/>
  <c r="AA87" i="15"/>
  <c r="Z87" i="15"/>
  <c r="Y87" i="15"/>
  <c r="W87" i="15"/>
  <c r="AC86" i="15"/>
  <c r="AB86" i="15"/>
  <c r="AA86" i="15"/>
  <c r="Z86" i="15"/>
  <c r="Y86" i="15"/>
  <c r="W86" i="15"/>
  <c r="AC85" i="15"/>
  <c r="AB85" i="15"/>
  <c r="AA85" i="15"/>
  <c r="Z85" i="15"/>
  <c r="Y85" i="15"/>
  <c r="W85" i="15"/>
  <c r="AC84" i="15"/>
  <c r="AB84" i="15"/>
  <c r="AA84" i="15"/>
  <c r="Z84" i="15"/>
  <c r="Y84" i="15"/>
  <c r="W84" i="15"/>
  <c r="AC83" i="15"/>
  <c r="AB83" i="15"/>
  <c r="AA83" i="15"/>
  <c r="Z83" i="15"/>
  <c r="Y83" i="15"/>
  <c r="AC82" i="15"/>
  <c r="AB82" i="15"/>
  <c r="AA82" i="15"/>
  <c r="Z82" i="15"/>
  <c r="Y82" i="15"/>
  <c r="AC81" i="15"/>
  <c r="AB81" i="15"/>
  <c r="AA81" i="15"/>
  <c r="Z81" i="15"/>
  <c r="Y81" i="15"/>
  <c r="AC80" i="15"/>
  <c r="AB80" i="15"/>
  <c r="AA80" i="15"/>
  <c r="Z80" i="15"/>
  <c r="Y80" i="15"/>
  <c r="W80" i="15"/>
  <c r="AC79" i="15"/>
  <c r="AB79" i="15"/>
  <c r="AA79" i="15"/>
  <c r="Z79" i="15"/>
  <c r="Y79" i="15"/>
  <c r="W79" i="15"/>
  <c r="AC78" i="15"/>
  <c r="AB78" i="15"/>
  <c r="AA78" i="15"/>
  <c r="Z78" i="15"/>
  <c r="Y78" i="15"/>
  <c r="W78" i="15"/>
  <c r="AC77" i="15"/>
  <c r="AB77" i="15"/>
  <c r="AA77" i="15"/>
  <c r="Z77" i="15"/>
  <c r="Y77" i="15"/>
  <c r="W77" i="15"/>
  <c r="AC76" i="15"/>
  <c r="AB76" i="15"/>
  <c r="AA76" i="15"/>
  <c r="Z76" i="15"/>
  <c r="Y76" i="15"/>
  <c r="W76" i="15"/>
  <c r="AC75" i="15"/>
  <c r="AB75" i="15"/>
  <c r="AA75" i="15"/>
  <c r="Z75" i="15"/>
  <c r="Y75" i="15"/>
  <c r="W75" i="15"/>
  <c r="AC74" i="15"/>
  <c r="AB74" i="15"/>
  <c r="AA74" i="15"/>
  <c r="Z74" i="15"/>
  <c r="Y74" i="15"/>
  <c r="AC73" i="15"/>
  <c r="AB73" i="15"/>
  <c r="AA73" i="15"/>
  <c r="Z73" i="15"/>
  <c r="Y73" i="15"/>
  <c r="W73" i="15"/>
  <c r="AC72" i="15"/>
  <c r="AB72" i="15"/>
  <c r="AA72" i="15"/>
  <c r="Z72" i="15"/>
  <c r="Y72" i="15"/>
  <c r="W72" i="15"/>
  <c r="AC71" i="15"/>
  <c r="AB71" i="15"/>
  <c r="AA71" i="15"/>
  <c r="Z71" i="15"/>
  <c r="Y71" i="15"/>
  <c r="W71" i="15"/>
  <c r="AC70" i="15"/>
  <c r="AB70" i="15"/>
  <c r="AA70" i="15"/>
  <c r="Z70" i="15"/>
  <c r="Y70" i="15"/>
  <c r="W70" i="15"/>
  <c r="AC69" i="15"/>
  <c r="AB69" i="15"/>
  <c r="AA69" i="15"/>
  <c r="Z69" i="15"/>
  <c r="Y69" i="15"/>
  <c r="W69" i="15"/>
  <c r="AC68" i="15"/>
  <c r="AB68" i="15"/>
  <c r="AA68" i="15"/>
  <c r="Z68" i="15"/>
  <c r="Y68" i="15"/>
  <c r="W68" i="15"/>
  <c r="AC67" i="15"/>
  <c r="AB67" i="15"/>
  <c r="AA67" i="15"/>
  <c r="Z67" i="15"/>
  <c r="Y67" i="15"/>
  <c r="W67" i="15"/>
  <c r="AC66" i="15"/>
  <c r="AB66" i="15"/>
  <c r="AA66" i="15"/>
  <c r="Z66" i="15"/>
  <c r="Y66" i="15"/>
  <c r="W66" i="15"/>
  <c r="AC65" i="15"/>
  <c r="AB65" i="15"/>
  <c r="AA65" i="15"/>
  <c r="Z65" i="15"/>
  <c r="Y65" i="15"/>
  <c r="AC64" i="15"/>
  <c r="AB64" i="15"/>
  <c r="AA64" i="15"/>
  <c r="Z64" i="15"/>
  <c r="Y64" i="15"/>
  <c r="W64" i="15"/>
  <c r="AC63" i="15"/>
  <c r="AB63" i="15"/>
  <c r="AA63" i="15"/>
  <c r="Z63" i="15"/>
  <c r="Y63" i="15"/>
  <c r="L420" i="20"/>
  <c r="N420" i="20" s="1"/>
  <c r="AC62" i="15"/>
  <c r="AB62" i="15"/>
  <c r="AA62" i="15"/>
  <c r="Z62" i="15"/>
  <c r="Y62" i="15"/>
  <c r="AC61" i="15"/>
  <c r="AB61" i="15"/>
  <c r="AA61" i="15"/>
  <c r="Z61" i="15"/>
  <c r="Y61" i="15"/>
  <c r="W61" i="15"/>
  <c r="AC60" i="15"/>
  <c r="AB60" i="15"/>
  <c r="AA60" i="15"/>
  <c r="Z60" i="15"/>
  <c r="Y60" i="15"/>
  <c r="AA59" i="15"/>
  <c r="Z59" i="15"/>
  <c r="Y59" i="15"/>
  <c r="AA58" i="15"/>
  <c r="Z58" i="15"/>
  <c r="Y58" i="15"/>
  <c r="AA57" i="15"/>
  <c r="Z57" i="15"/>
  <c r="Y57" i="15"/>
  <c r="AA56" i="15"/>
  <c r="Z56" i="15"/>
  <c r="Y56" i="15"/>
  <c r="AC55" i="15"/>
  <c r="AB55" i="15"/>
  <c r="AA55" i="15"/>
  <c r="Z55" i="15"/>
  <c r="Y55" i="15"/>
  <c r="AC54" i="15"/>
  <c r="AB54" i="15"/>
  <c r="AA54" i="15"/>
  <c r="Z54" i="15"/>
  <c r="Y54" i="15"/>
  <c r="AC53" i="15"/>
  <c r="AB53" i="15"/>
  <c r="AA53" i="15"/>
  <c r="Z53" i="15"/>
  <c r="Y53" i="15"/>
  <c r="AA52" i="15"/>
  <c r="Z52" i="15"/>
  <c r="Y52" i="15"/>
  <c r="AA51" i="15"/>
  <c r="Z51" i="15"/>
  <c r="Y51" i="15"/>
  <c r="AC50" i="15"/>
  <c r="AB50" i="15"/>
  <c r="AA50" i="15"/>
  <c r="Z50" i="15"/>
  <c r="Y50" i="15"/>
  <c r="AC49" i="15"/>
  <c r="AB49" i="15"/>
  <c r="AA49" i="15"/>
  <c r="Z49" i="15"/>
  <c r="Y49" i="15"/>
  <c r="AC48" i="15"/>
  <c r="AB48" i="15"/>
  <c r="AA48" i="15"/>
  <c r="Z48" i="15"/>
  <c r="Y48" i="15"/>
  <c r="AA47" i="15"/>
  <c r="Z47" i="15"/>
  <c r="Y47" i="15"/>
  <c r="AA46" i="15"/>
  <c r="Z46" i="15"/>
  <c r="Y46" i="15"/>
  <c r="AB45" i="15"/>
  <c r="AA45" i="15"/>
  <c r="Z45" i="15"/>
  <c r="Y45" i="15"/>
  <c r="AB44" i="15"/>
  <c r="AA44" i="15"/>
  <c r="Z44" i="15"/>
  <c r="Y44" i="15"/>
  <c r="AA43" i="15"/>
  <c r="Z43" i="15"/>
  <c r="Y43" i="15"/>
  <c r="AC42" i="15"/>
  <c r="AB42" i="15"/>
  <c r="AA42" i="15"/>
  <c r="Z42" i="15"/>
  <c r="Y42" i="15"/>
  <c r="AC41" i="15"/>
  <c r="AB41" i="15"/>
  <c r="AA41" i="15"/>
  <c r="Z41" i="15"/>
  <c r="Y41" i="15"/>
  <c r="AA40" i="15"/>
  <c r="Z40" i="15"/>
  <c r="Y40" i="15"/>
  <c r="AC39" i="15"/>
  <c r="AB39" i="15"/>
  <c r="AA39" i="15"/>
  <c r="Z39" i="15"/>
  <c r="Y39" i="15"/>
  <c r="AC38" i="15"/>
  <c r="AA38" i="15"/>
  <c r="Z38" i="15"/>
  <c r="Y38" i="15"/>
  <c r="AC37" i="15"/>
  <c r="AB37" i="15"/>
  <c r="Y37" i="15"/>
  <c r="AC36" i="15"/>
  <c r="AB36" i="15"/>
  <c r="Y36" i="15"/>
  <c r="AC35" i="15"/>
  <c r="AB35" i="15"/>
  <c r="AA35" i="15"/>
  <c r="Z35" i="15"/>
  <c r="Y35" i="15"/>
  <c r="W35" i="15"/>
  <c r="AC34" i="15"/>
  <c r="AB34" i="15"/>
  <c r="AA34" i="15"/>
  <c r="Y34" i="15"/>
  <c r="AC33" i="15"/>
  <c r="AB33" i="15"/>
  <c r="Y33" i="15"/>
  <c r="AC32" i="15"/>
  <c r="AB32" i="15"/>
  <c r="AA32" i="15"/>
  <c r="Y32" i="15"/>
  <c r="AC31" i="15"/>
  <c r="AB31" i="15"/>
  <c r="AA31" i="15"/>
  <c r="Z31" i="15"/>
  <c r="Y31" i="15"/>
  <c r="W31" i="15"/>
  <c r="AC30" i="15"/>
  <c r="AB30" i="15"/>
  <c r="AA30" i="15"/>
  <c r="Y30" i="15"/>
  <c r="AC29" i="15"/>
  <c r="AB29" i="15"/>
  <c r="AA29" i="15"/>
  <c r="Y29" i="15"/>
  <c r="AC28" i="15"/>
  <c r="AB28" i="15"/>
  <c r="AA28" i="15"/>
  <c r="Z28" i="15"/>
  <c r="Y28" i="15"/>
  <c r="W28" i="15"/>
  <c r="AC27" i="15"/>
  <c r="AB27" i="15"/>
  <c r="AA27" i="15"/>
  <c r="Z27" i="15"/>
  <c r="Y27" i="15"/>
  <c r="W27" i="15"/>
  <c r="AC26" i="15"/>
  <c r="AB26" i="15"/>
  <c r="AA26" i="15"/>
  <c r="Y26" i="15"/>
  <c r="AC25" i="15"/>
  <c r="AB25" i="15"/>
  <c r="AA25" i="15"/>
  <c r="Z25" i="15"/>
  <c r="Y25" i="15"/>
  <c r="AC24" i="15"/>
  <c r="AB24" i="15"/>
  <c r="AA24" i="15"/>
  <c r="Z24" i="15"/>
  <c r="Y24" i="15"/>
  <c r="W24" i="15"/>
  <c r="AC23" i="15"/>
  <c r="AB23" i="15"/>
  <c r="Z23" i="15"/>
  <c r="Y23" i="15"/>
  <c r="AC22" i="15"/>
  <c r="AB22" i="15"/>
  <c r="AC21" i="15"/>
  <c r="AB21" i="15"/>
  <c r="AA21" i="15"/>
  <c r="Z21" i="15"/>
  <c r="AC20" i="15"/>
  <c r="AB20" i="15"/>
  <c r="AA20" i="15"/>
  <c r="Z20" i="15"/>
  <c r="Y20" i="15"/>
  <c r="AC19" i="15"/>
  <c r="AB19" i="15"/>
  <c r="AA19" i="15"/>
  <c r="Z19" i="15"/>
  <c r="Y19" i="15"/>
  <c r="W19" i="15"/>
  <c r="AC18" i="15"/>
  <c r="AB18" i="15"/>
  <c r="AA18" i="15"/>
  <c r="Z18" i="15"/>
  <c r="Y18" i="15"/>
  <c r="W18" i="15"/>
  <c r="AC17" i="15"/>
  <c r="AB17" i="15"/>
  <c r="AA17" i="15"/>
  <c r="Y17" i="15"/>
  <c r="AC16" i="15"/>
  <c r="AB16" i="15"/>
  <c r="AA16" i="15"/>
  <c r="Y16" i="15"/>
  <c r="AC15" i="15"/>
  <c r="AB15" i="15"/>
  <c r="AA15" i="15"/>
  <c r="Y15" i="15"/>
  <c r="AC14" i="15"/>
  <c r="AB14" i="15"/>
  <c r="AA14" i="15"/>
  <c r="Z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AC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AC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AN63" i="15" l="1"/>
  <c r="AN74" i="15"/>
  <c r="AN92" i="15"/>
  <c r="AN100" i="15"/>
  <c r="AN104" i="15"/>
  <c r="AN128" i="15"/>
  <c r="AN130" i="15"/>
  <c r="AN141" i="15"/>
  <c r="AN154" i="15"/>
  <c r="AN157" i="15"/>
  <c r="AN164" i="15"/>
  <c r="AN166" i="15"/>
  <c r="AN172" i="15"/>
  <c r="AN182" i="15"/>
  <c r="AN90" i="15"/>
  <c r="AN98" i="15"/>
  <c r="AN18" i="15"/>
  <c r="AN25" i="15"/>
  <c r="AN55" i="15"/>
  <c r="AN64" i="15"/>
  <c r="AN75" i="15"/>
  <c r="AN79" i="15"/>
  <c r="AN82" i="15"/>
  <c r="AN89" i="15"/>
  <c r="AN95" i="15"/>
  <c r="AN97" i="15"/>
  <c r="AN101" i="15"/>
  <c r="AN103" i="15"/>
  <c r="AN105" i="15"/>
  <c r="AN121" i="15"/>
  <c r="AN127" i="15"/>
  <c r="AN131" i="15"/>
  <c r="AN133" i="15"/>
  <c r="AN135" i="15"/>
  <c r="AN156" i="15"/>
  <c r="AN165" i="15"/>
  <c r="AN167" i="15"/>
  <c r="AN171" i="15"/>
  <c r="AN193" i="15"/>
  <c r="AN195" i="15"/>
  <c r="AN67" i="15"/>
  <c r="AN69" i="15"/>
  <c r="AN83" i="15"/>
  <c r="AN85" i="15"/>
  <c r="AN112" i="15"/>
  <c r="AN114" i="15"/>
  <c r="AN119" i="15"/>
  <c r="AN123" i="15"/>
  <c r="AN125" i="15"/>
  <c r="AN143" i="15"/>
  <c r="AN146" i="15"/>
  <c r="AN159" i="15"/>
  <c r="AN175" i="15"/>
  <c r="AN191" i="15"/>
  <c r="AN24" i="15"/>
  <c r="AN35" i="15"/>
  <c r="AN42" i="15"/>
  <c r="AN66" i="15"/>
  <c r="AN68" i="15"/>
  <c r="AN70" i="15"/>
  <c r="AN81" i="15"/>
  <c r="AN84" i="15"/>
  <c r="AN86" i="15"/>
  <c r="AN109" i="15"/>
  <c r="AN111" i="15"/>
  <c r="AN113" i="15"/>
  <c r="AN117" i="15"/>
  <c r="AN122" i="15"/>
  <c r="AN124" i="15"/>
  <c r="AN137" i="15"/>
  <c r="AN139" i="15"/>
  <c r="AN142" i="15"/>
  <c r="AN148" i="15"/>
  <c r="AN152" i="15"/>
  <c r="AN155" i="15"/>
  <c r="AN173" i="15"/>
  <c r="AN192" i="15"/>
  <c r="AN31" i="15"/>
  <c r="AN39" i="15"/>
  <c r="AN76" i="15"/>
  <c r="AN88" i="15"/>
  <c r="AN144" i="15"/>
  <c r="AN72" i="15"/>
  <c r="AN158" i="15"/>
  <c r="AN28" i="15"/>
  <c r="AN77" i="15"/>
  <c r="AN91" i="15"/>
  <c r="AN93" i="15"/>
  <c r="AN99" i="15"/>
  <c r="AN118" i="15"/>
  <c r="AN129" i="15"/>
  <c r="AN145" i="15"/>
  <c r="AN149" i="15"/>
  <c r="AN163" i="15"/>
  <c r="AN20" i="15"/>
  <c r="AN110" i="15"/>
  <c r="AN140" i="15"/>
  <c r="AN80" i="15"/>
  <c r="AN96" i="15"/>
  <c r="AN106" i="15"/>
  <c r="AN120" i="15"/>
  <c r="AN147" i="15"/>
  <c r="AN151" i="15"/>
  <c r="AN160" i="15"/>
  <c r="AN170" i="15"/>
  <c r="AN94" i="15"/>
  <c r="AN102" i="15"/>
  <c r="AN136" i="15"/>
  <c r="AN115" i="15"/>
  <c r="L438" i="20"/>
  <c r="N438" i="20" s="1"/>
  <c r="AN161" i="15"/>
  <c r="AN19" i="15"/>
  <c r="AN194" i="15"/>
  <c r="AN126" i="15"/>
  <c r="AN71" i="15"/>
  <c r="AN73" i="15"/>
  <c r="AN87" i="15"/>
  <c r="AN116" i="15"/>
  <c r="M48" i="15"/>
  <c r="L394" i="16"/>
  <c r="J421" i="24"/>
  <c r="L421" i="24" s="1"/>
  <c r="N421" i="24" s="1"/>
  <c r="L410" i="16"/>
  <c r="M62" i="15"/>
  <c r="J446" i="22"/>
  <c r="L446" i="22" s="1"/>
  <c r="N446" i="22" s="1"/>
  <c r="J478" i="24"/>
  <c r="L478" i="24" s="1"/>
  <c r="N478" i="24" s="1"/>
  <c r="J430" i="22"/>
  <c r="L430" i="22" s="1"/>
  <c r="N430" i="22" s="1"/>
  <c r="J462" i="24"/>
  <c r="L462" i="24" s="1"/>
  <c r="N462" i="24" s="1"/>
  <c r="W120" i="15"/>
  <c r="J443" i="20"/>
  <c r="L443" i="20" s="1"/>
  <c r="N443" i="20" s="1"/>
  <c r="AN134" i="15"/>
  <c r="AN153" i="15"/>
  <c r="AN78" i="15"/>
  <c r="AN169" i="15"/>
  <c r="AN150" i="15"/>
  <c r="AN61" i="15"/>
  <c r="AN107" i="15"/>
  <c r="AN132" i="15"/>
  <c r="AN138" i="15"/>
  <c r="P52" i="15"/>
  <c r="AG52" i="15" s="1"/>
  <c r="W83" i="15"/>
  <c r="J427" i="20"/>
  <c r="O52" i="15"/>
  <c r="W156" i="15"/>
  <c r="L504" i="20"/>
  <c r="N504" i="20" s="1"/>
  <c r="J503" i="18"/>
  <c r="L503" i="18" s="1"/>
  <c r="J386" i="18"/>
  <c r="J386" i="20"/>
  <c r="L386" i="20" s="1"/>
  <c r="N386" i="20" s="1"/>
  <c r="W153" i="15"/>
  <c r="J494" i="18"/>
  <c r="L494" i="18" s="1"/>
  <c r="L495" i="20"/>
  <c r="N495" i="20" s="1"/>
  <c r="L489" i="20"/>
  <c r="N489" i="20" s="1"/>
  <c r="J488" i="18"/>
  <c r="L488" i="18" s="1"/>
  <c r="W152" i="15"/>
  <c r="L492" i="20"/>
  <c r="N492" i="20" s="1"/>
  <c r="J491" i="18"/>
  <c r="L491" i="18" s="1"/>
  <c r="AN168" i="15"/>
  <c r="W148" i="15"/>
  <c r="J479" i="18"/>
  <c r="L479" i="18" s="1"/>
  <c r="L480" i="20"/>
  <c r="N480" i="20" s="1"/>
  <c r="AN27" i="15"/>
  <c r="J421" i="18"/>
  <c r="L421" i="18" s="1"/>
  <c r="N421" i="18" s="1"/>
  <c r="L424" i="20"/>
  <c r="N424" i="20" s="1"/>
  <c r="W150" i="15"/>
  <c r="L486" i="20"/>
  <c r="N486" i="20" s="1"/>
  <c r="J485" i="18"/>
  <c r="L485" i="18" s="1"/>
  <c r="W151" i="15"/>
  <c r="W149" i="15"/>
  <c r="L483" i="20"/>
  <c r="N483" i="20" s="1"/>
  <c r="J482" i="18"/>
  <c r="L482" i="18" s="1"/>
  <c r="W158" i="15"/>
  <c r="J510" i="20"/>
  <c r="L510" i="20" s="1"/>
  <c r="J509" i="18"/>
  <c r="L509" i="18" s="1"/>
  <c r="J476" i="18"/>
  <c r="L476" i="18" s="1"/>
  <c r="L477" i="20"/>
  <c r="N477" i="20" s="1"/>
  <c r="W147" i="15"/>
  <c r="W146" i="15"/>
  <c r="L474" i="20"/>
  <c r="N474" i="20" s="1"/>
  <c r="J473" i="18"/>
  <c r="L473" i="18" s="1"/>
  <c r="W145" i="15"/>
  <c r="J470" i="18"/>
  <c r="L470" i="18" s="1"/>
  <c r="L471" i="20"/>
  <c r="N471" i="20" s="1"/>
  <c r="J458" i="18"/>
  <c r="L458" i="18" s="1"/>
  <c r="N458" i="18" s="1"/>
  <c r="L459" i="20"/>
  <c r="N459" i="20" s="1"/>
  <c r="W159" i="15"/>
  <c r="J512" i="18"/>
  <c r="L512" i="18" s="1"/>
  <c r="W157" i="15"/>
  <c r="J506" i="18"/>
  <c r="L506" i="18" s="1"/>
  <c r="W155" i="15"/>
  <c r="J500" i="18"/>
  <c r="L500" i="18" s="1"/>
  <c r="W154" i="15"/>
  <c r="J497" i="18"/>
  <c r="L497" i="18" s="1"/>
  <c r="W144" i="15"/>
  <c r="J467" i="18"/>
  <c r="L467" i="18" s="1"/>
  <c r="N467" i="18" s="1"/>
  <c r="W143" i="15"/>
  <c r="J464" i="18"/>
  <c r="L464" i="18" s="1"/>
  <c r="N464" i="18" s="1"/>
  <c r="W142" i="15"/>
  <c r="J461" i="18"/>
  <c r="L461" i="18" s="1"/>
  <c r="N461" i="18" s="1"/>
  <c r="W141" i="15"/>
  <c r="W140" i="15"/>
  <c r="J455" i="18"/>
  <c r="L455" i="18" s="1"/>
  <c r="N455" i="18" s="1"/>
  <c r="W139" i="15"/>
  <c r="J452" i="18"/>
  <c r="L452" i="18" s="1"/>
  <c r="N452" i="18" s="1"/>
  <c r="W138" i="15"/>
  <c r="J449" i="18"/>
  <c r="L449" i="18" s="1"/>
  <c r="N449" i="18" s="1"/>
  <c r="W119" i="15"/>
  <c r="J432" i="18"/>
  <c r="L432" i="18" s="1"/>
  <c r="N432" i="18" s="1"/>
  <c r="W82" i="15"/>
  <c r="W63" i="15"/>
  <c r="J417" i="18"/>
  <c r="L417" i="18" s="1"/>
  <c r="N417" i="18" s="1"/>
  <c r="W42" i="15"/>
  <c r="G408" i="18"/>
  <c r="K407" i="18" s="1"/>
  <c r="K72" i="18"/>
  <c r="L72" i="18" s="1"/>
  <c r="N72" i="18" s="1"/>
  <c r="L184" i="15"/>
  <c r="AC184" i="15" s="1"/>
  <c r="L181" i="2"/>
  <c r="V181" i="2" s="1"/>
  <c r="M49" i="15"/>
  <c r="L396" i="16"/>
  <c r="N396" i="16" s="1"/>
  <c r="L413" i="16"/>
  <c r="N413" i="16" s="1"/>
  <c r="M108" i="15"/>
  <c r="L398" i="16"/>
  <c r="N398" i="16" s="1"/>
  <c r="M50" i="15"/>
  <c r="L190" i="15"/>
  <c r="L47" i="15"/>
  <c r="AC47" i="15" s="1"/>
  <c r="M53" i="15"/>
  <c r="M190" i="15"/>
  <c r="AD190" i="15" s="1"/>
  <c r="M54" i="15"/>
  <c r="L52" i="15"/>
  <c r="AC52" i="15" s="1"/>
  <c r="L189" i="15"/>
  <c r="AC189" i="15" s="1"/>
  <c r="K705" i="11"/>
  <c r="L45" i="15"/>
  <c r="L51" i="15"/>
  <c r="AC51" i="15" s="1"/>
  <c r="L186" i="15"/>
  <c r="AC186" i="15" s="1"/>
  <c r="L185" i="15"/>
  <c r="AC185" i="15" s="1"/>
  <c r="K397" i="13"/>
  <c r="L46" i="15" s="1"/>
  <c r="AC46" i="15" s="1"/>
  <c r="L44" i="15"/>
  <c r="L188" i="15"/>
  <c r="AC188" i="15" s="1"/>
  <c r="M45" i="15"/>
  <c r="AD43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N162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E8" i="22" l="1"/>
  <c r="AG209" i="15"/>
  <c r="AD48" i="15"/>
  <c r="J446" i="24"/>
  <c r="L446" i="24" s="1"/>
  <c r="N446" i="24" s="1"/>
  <c r="J434" i="20"/>
  <c r="L434" i="20" s="1"/>
  <c r="N434" i="20" s="1"/>
  <c r="AD62" i="15"/>
  <c r="W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J384" i="20"/>
  <c r="L384" i="20" s="1"/>
  <c r="N384" i="20" s="1"/>
  <c r="AC45" i="15"/>
  <c r="AC44" i="15"/>
  <c r="AC190" i="15"/>
  <c r="E8" i="23"/>
  <c r="AF52" i="15"/>
  <c r="AF209" i="15" s="1"/>
  <c r="N52" i="15"/>
  <c r="AE52" i="15" s="1"/>
  <c r="AE209" i="15" s="1"/>
  <c r="L386" i="18"/>
  <c r="N386" i="18" s="1"/>
  <c r="K408" i="18"/>
  <c r="AD108" i="15"/>
  <c r="AD49" i="15"/>
  <c r="L59" i="2"/>
  <c r="V59" i="2" s="1"/>
  <c r="L59" i="15"/>
  <c r="AC59" i="15" s="1"/>
  <c r="AD53" i="15"/>
  <c r="L56" i="2"/>
  <c r="V56" i="2" s="1"/>
  <c r="L56" i="15"/>
  <c r="AC56" i="15" s="1"/>
  <c r="L57" i="2"/>
  <c r="V57" i="2" s="1"/>
  <c r="L57" i="15"/>
  <c r="AC57" i="15" s="1"/>
  <c r="AD54" i="15"/>
  <c r="AD50" i="15"/>
  <c r="L43" i="2"/>
  <c r="V43" i="2" s="1"/>
  <c r="L43" i="15"/>
  <c r="AC43" i="15" s="1"/>
  <c r="L58" i="2"/>
  <c r="V58" i="2" s="1"/>
  <c r="L58" i="15"/>
  <c r="AC58" i="15" s="1"/>
  <c r="K189" i="2"/>
  <c r="U189" i="2" s="1"/>
  <c r="K189" i="15"/>
  <c r="L40" i="2"/>
  <c r="V40" i="2" s="1"/>
  <c r="L40" i="15"/>
  <c r="AC40" i="15" s="1"/>
  <c r="AD45" i="15"/>
  <c r="W44" i="15"/>
  <c r="AD44" i="15"/>
  <c r="AD41" i="15"/>
  <c r="K72" i="16"/>
  <c r="L72" i="16" s="1"/>
  <c r="N72" i="16" s="1"/>
  <c r="K404" i="16"/>
  <c r="K403" i="16"/>
  <c r="M52" i="15" s="1"/>
  <c r="AD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AN44" i="15" l="1"/>
  <c r="AN45" i="15"/>
  <c r="AN48" i="15"/>
  <c r="AD209" i="15"/>
  <c r="AN41" i="15"/>
  <c r="AN62" i="15"/>
  <c r="W54" i="15"/>
  <c r="J410" i="20"/>
  <c r="L410" i="20" s="1"/>
  <c r="N410" i="20" s="1"/>
  <c r="J414" i="22"/>
  <c r="L414" i="22" s="1"/>
  <c r="N414" i="22" s="1"/>
  <c r="J469" i="24"/>
  <c r="L469" i="24" s="1"/>
  <c r="N469" i="24" s="1"/>
  <c r="J437" i="22"/>
  <c r="L437" i="22" s="1"/>
  <c r="N437" i="22" s="1"/>
  <c r="W108" i="15"/>
  <c r="J406" i="22"/>
  <c r="L406" i="22" s="1"/>
  <c r="N406" i="22" s="1"/>
  <c r="J438" i="24"/>
  <c r="L438" i="24" s="1"/>
  <c r="N438" i="24" s="1"/>
  <c r="W190" i="15"/>
  <c r="W62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J398" i="20"/>
  <c r="L398" i="20" s="1"/>
  <c r="N398" i="20" s="1"/>
  <c r="AN190" i="15"/>
  <c r="W45" i="15"/>
  <c r="AN53" i="15"/>
  <c r="AN49" i="15"/>
  <c r="AN54" i="15"/>
  <c r="AN50" i="15"/>
  <c r="AN108" i="15"/>
  <c r="W53" i="15"/>
  <c r="J409" i="18"/>
  <c r="L409" i="18" s="1"/>
  <c r="N409" i="18" s="1"/>
  <c r="W50" i="15"/>
  <c r="J401" i="18"/>
  <c r="L401" i="18" s="1"/>
  <c r="N401" i="18" s="1"/>
  <c r="W49" i="15"/>
  <c r="J399" i="18"/>
  <c r="L399" i="18" s="1"/>
  <c r="N399" i="18" s="1"/>
  <c r="W41" i="15"/>
  <c r="J384" i="18"/>
  <c r="L384" i="18" s="1"/>
  <c r="N384" i="18" s="1"/>
  <c r="L183" i="2"/>
  <c r="V183" i="2" s="1"/>
  <c r="V196" i="2" s="1"/>
  <c r="E8" i="2" s="1"/>
  <c r="L183" i="15"/>
  <c r="AC183" i="15" s="1"/>
  <c r="AC209" i="15" s="1"/>
  <c r="W189" i="15"/>
  <c r="AB189" i="15"/>
  <c r="K177" i="2"/>
  <c r="U177" i="2" s="1"/>
  <c r="K177" i="15"/>
  <c r="K46" i="2"/>
  <c r="U46" i="2" s="1"/>
  <c r="K46" i="15"/>
  <c r="K47" i="2"/>
  <c r="U47" i="2" s="1"/>
  <c r="K47" i="15"/>
  <c r="K184" i="2"/>
  <c r="U184" i="2" s="1"/>
  <c r="K184" i="15"/>
  <c r="AB184" i="15" s="1"/>
  <c r="G406" i="11"/>
  <c r="K405" i="11" s="1"/>
  <c r="K51" i="15"/>
  <c r="K410" i="11"/>
  <c r="K56" i="15" s="1"/>
  <c r="K624" i="11"/>
  <c r="K181" i="15" s="1"/>
  <c r="AB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J450" i="24"/>
  <c r="L450" i="24" s="1"/>
  <c r="N450" i="24" s="1"/>
  <c r="J414" i="20"/>
  <c r="J418" i="22"/>
  <c r="L418" i="22" s="1"/>
  <c r="N418" i="22" s="1"/>
  <c r="AN189" i="15"/>
  <c r="E8" i="20"/>
  <c r="E8" i="18"/>
  <c r="E8" i="21"/>
  <c r="E8" i="19"/>
  <c r="K58" i="2"/>
  <c r="U58" i="2" s="1"/>
  <c r="K58" i="15"/>
  <c r="K52" i="2"/>
  <c r="U52" i="2" s="1"/>
  <c r="K52" i="15"/>
  <c r="AB177" i="15"/>
  <c r="K59" i="2"/>
  <c r="U59" i="2" s="1"/>
  <c r="K59" i="15"/>
  <c r="K38" i="2"/>
  <c r="U38" i="2" s="1"/>
  <c r="K38" i="15"/>
  <c r="K40" i="2"/>
  <c r="U40" i="2" s="1"/>
  <c r="K40" i="15"/>
  <c r="AB56" i="15"/>
  <c r="W56" i="15"/>
  <c r="G106" i="9"/>
  <c r="K106" i="9" s="1"/>
  <c r="K43" i="2"/>
  <c r="U43" i="2" s="1"/>
  <c r="K43" i="15"/>
  <c r="AB47" i="15"/>
  <c r="AB51" i="15"/>
  <c r="K57" i="2"/>
  <c r="U57" i="2" s="1"/>
  <c r="K57" i="15"/>
  <c r="AB46" i="15"/>
  <c r="E8" i="16"/>
  <c r="E8" i="17"/>
  <c r="K76" i="9"/>
  <c r="K94" i="9"/>
  <c r="K682" i="11"/>
  <c r="K611" i="11"/>
  <c r="K94" i="11"/>
  <c r="K703" i="11"/>
  <c r="K188" i="15" s="1"/>
  <c r="AB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03" i="24"/>
  <c r="L403" i="24" s="1"/>
  <c r="N403" i="24" s="1"/>
  <c r="J424" i="24"/>
  <c r="L424" i="24" s="1"/>
  <c r="N424" i="24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W47" i="15"/>
  <c r="W46" i="15"/>
  <c r="J408" i="22"/>
  <c r="L408" i="22" s="1"/>
  <c r="N408" i="22" s="1"/>
  <c r="J392" i="22"/>
  <c r="L392" i="22" s="1"/>
  <c r="N392" i="22" s="1"/>
  <c r="W43" i="15"/>
  <c r="AN47" i="15"/>
  <c r="AN46" i="15"/>
  <c r="AN56" i="15"/>
  <c r="AN51" i="15"/>
  <c r="W51" i="15"/>
  <c r="J403" i="18"/>
  <c r="L403" i="18" s="1"/>
  <c r="N403" i="18" s="1"/>
  <c r="AB57" i="15"/>
  <c r="W57" i="15"/>
  <c r="AB40" i="15"/>
  <c r="W40" i="15"/>
  <c r="AB52" i="15"/>
  <c r="W52" i="15"/>
  <c r="K186" i="2"/>
  <c r="U186" i="2" s="1"/>
  <c r="K186" i="15"/>
  <c r="AB186" i="15" s="1"/>
  <c r="AB59" i="15"/>
  <c r="W59" i="15"/>
  <c r="K185" i="2"/>
  <c r="U185" i="2" s="1"/>
  <c r="K185" i="15"/>
  <c r="AB185" i="15" s="1"/>
  <c r="W38" i="15"/>
  <c r="AB38" i="15"/>
  <c r="AB58" i="15"/>
  <c r="W58" i="15"/>
  <c r="AB43" i="15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J384" i="22" l="1"/>
  <c r="L384" i="22" s="1"/>
  <c r="N384" i="22" s="1"/>
  <c r="J416" i="24"/>
  <c r="L416" i="24" s="1"/>
  <c r="N416" i="24" s="1"/>
  <c r="AN52" i="15"/>
  <c r="AN43" i="15"/>
  <c r="AN59" i="15"/>
  <c r="AN57" i="15"/>
  <c r="AN40" i="15"/>
  <c r="AN58" i="15"/>
  <c r="K183" i="2"/>
  <c r="U183" i="2" s="1"/>
  <c r="K183" i="15"/>
  <c r="AB183" i="15" s="1"/>
  <c r="AB209" i="15" s="1"/>
  <c r="AN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K581" i="9"/>
  <c r="K530" i="9"/>
  <c r="K567" i="9"/>
  <c r="G261" i="9"/>
  <c r="K260" i="9" s="1"/>
  <c r="T32" i="2" s="1"/>
  <c r="K340" i="9"/>
  <c r="K330" i="9"/>
  <c r="G70" i="9"/>
  <c r="K68" i="9" s="1"/>
  <c r="J23" i="15" s="1"/>
  <c r="K262" i="9"/>
  <c r="T29" i="2"/>
  <c r="J36" i="2" l="1"/>
  <c r="T36" i="2" s="1"/>
  <c r="J36" i="15"/>
  <c r="AA36" i="15" s="1"/>
  <c r="J37" i="2"/>
  <c r="T37" i="2" s="1"/>
  <c r="J37" i="15"/>
  <c r="AA37" i="15" s="1"/>
  <c r="J186" i="2"/>
  <c r="T186" i="2" s="1"/>
  <c r="J186" i="15"/>
  <c r="AA186" i="15" s="1"/>
  <c r="J181" i="2"/>
  <c r="T181" i="2" s="1"/>
  <c r="J181" i="15"/>
  <c r="AA181" i="15" s="1"/>
  <c r="J188" i="2"/>
  <c r="T188" i="2" s="1"/>
  <c r="J188" i="15"/>
  <c r="AA187" i="15"/>
  <c r="W187" i="15"/>
  <c r="J33" i="2"/>
  <c r="T33" i="2" s="1"/>
  <c r="J33" i="15"/>
  <c r="AA33" i="15" s="1"/>
  <c r="W23" i="15"/>
  <c r="AA23" i="15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N23" i="15" l="1"/>
  <c r="AN187" i="15"/>
  <c r="J22" i="2"/>
  <c r="T22" i="2" s="1"/>
  <c r="J22" i="15"/>
  <c r="AA22" i="15" s="1"/>
  <c r="J177" i="2"/>
  <c r="T177" i="2" s="1"/>
  <c r="J177" i="15"/>
  <c r="W188" i="15"/>
  <c r="AA188" i="15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N188" i="15" l="1"/>
  <c r="W34" i="15"/>
  <c r="Z34" i="15"/>
  <c r="I178" i="2"/>
  <c r="S178" i="2" s="1"/>
  <c r="I178" i="15"/>
  <c r="Z178" i="15" s="1"/>
  <c r="J184" i="2"/>
  <c r="T184" i="2" s="1"/>
  <c r="J184" i="15"/>
  <c r="AA184" i="15" s="1"/>
  <c r="I179" i="2"/>
  <c r="I179" i="15"/>
  <c r="Z179" i="15" s="1"/>
  <c r="AA177" i="15"/>
  <c r="W177" i="15"/>
  <c r="I176" i="2"/>
  <c r="S176" i="2" s="1"/>
  <c r="I176" i="15"/>
  <c r="J185" i="2"/>
  <c r="T185" i="2" s="1"/>
  <c r="J185" i="15"/>
  <c r="AA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K195" i="5"/>
  <c r="K153" i="5"/>
  <c r="I33" i="15" s="1"/>
  <c r="K54" i="5"/>
  <c r="I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108" i="24"/>
  <c r="L108" i="24" s="1"/>
  <c r="N108" i="24" s="1"/>
  <c r="AN34" i="15"/>
  <c r="AN177" i="15"/>
  <c r="I16" i="2"/>
  <c r="I16" i="15"/>
  <c r="I17" i="2"/>
  <c r="S17" i="2" s="1"/>
  <c r="I17" i="15"/>
  <c r="Z26" i="15"/>
  <c r="W26" i="15"/>
  <c r="Z33" i="15"/>
  <c r="W33" i="15"/>
  <c r="I184" i="2"/>
  <c r="S184" i="2" s="1"/>
  <c r="I184" i="15"/>
  <c r="Z184" i="15" s="1"/>
  <c r="W176" i="15"/>
  <c r="Z176" i="15"/>
  <c r="I180" i="2"/>
  <c r="S180" i="2" s="1"/>
  <c r="I180" i="15"/>
  <c r="Z180" i="15" s="1"/>
  <c r="W36" i="15"/>
  <c r="Z36" i="15"/>
  <c r="J183" i="2"/>
  <c r="J183" i="15"/>
  <c r="AA183" i="15" s="1"/>
  <c r="AA209" i="15" s="1"/>
  <c r="I15" i="2"/>
  <c r="I15" i="15"/>
  <c r="I185" i="2"/>
  <c r="S185" i="2" s="1"/>
  <c r="I185" i="15"/>
  <c r="Z185" i="15" s="1"/>
  <c r="I37" i="2"/>
  <c r="I37" i="15"/>
  <c r="S34" i="2"/>
  <c r="S16" i="2"/>
  <c r="S15" i="2"/>
  <c r="T183" i="2"/>
  <c r="T196" i="2" s="1"/>
  <c r="J340" i="9"/>
  <c r="L340" i="9" s="1"/>
  <c r="N340" i="9" s="1"/>
  <c r="K99" i="5"/>
  <c r="I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Z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Y16" i="2" l="1"/>
  <c r="J262" i="22"/>
  <c r="L262" i="22" s="1"/>
  <c r="N262" i="22" s="1"/>
  <c r="J262" i="20"/>
  <c r="L262" i="20" s="1"/>
  <c r="N262" i="20" s="1"/>
  <c r="J262" i="18"/>
  <c r="L262" i="18" s="1"/>
  <c r="N262" i="18" s="1"/>
  <c r="J343" i="24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354" i="24"/>
  <c r="L354" i="24" s="1"/>
  <c r="N354" i="24" s="1"/>
  <c r="J216" i="24"/>
  <c r="L216" i="24" s="1"/>
  <c r="N216" i="24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N176" i="15"/>
  <c r="AN36" i="15"/>
  <c r="AN33" i="15"/>
  <c r="AN26" i="15"/>
  <c r="H21" i="2"/>
  <c r="R21" i="2" s="1"/>
  <c r="Y21" i="2" s="1"/>
  <c r="H21" i="15"/>
  <c r="H185" i="2"/>
  <c r="R185" i="2" s="1"/>
  <c r="Y185" i="2" s="1"/>
  <c r="H185" i="15"/>
  <c r="I29" i="2"/>
  <c r="I29" i="15"/>
  <c r="H184" i="2"/>
  <c r="R184" i="2" s="1"/>
  <c r="Y184" i="2" s="1"/>
  <c r="H184" i="15"/>
  <c r="H174" i="2"/>
  <c r="R174" i="2" s="1"/>
  <c r="Y174" i="2" s="1"/>
  <c r="H174" i="15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Z15" i="15"/>
  <c r="W15" i="15"/>
  <c r="W17" i="15"/>
  <c r="Z17" i="15"/>
  <c r="H180" i="2"/>
  <c r="R180" i="2" s="1"/>
  <c r="Y180" i="2" s="1"/>
  <c r="H180" i="15"/>
  <c r="I186" i="2"/>
  <c r="S186" i="2" s="1"/>
  <c r="I186" i="15"/>
  <c r="Z186" i="15" s="1"/>
  <c r="J340" i="13"/>
  <c r="L340" i="13" s="1"/>
  <c r="N340" i="13" s="1"/>
  <c r="J340" i="16"/>
  <c r="L340" i="16" s="1"/>
  <c r="N340" i="16" s="1"/>
  <c r="H14" i="2"/>
  <c r="H14" i="15"/>
  <c r="H178" i="2"/>
  <c r="R178" i="2" s="1"/>
  <c r="Y178" i="2" s="1"/>
  <c r="H178" i="15"/>
  <c r="I22" i="2"/>
  <c r="I22" i="15"/>
  <c r="Z22" i="15" s="1"/>
  <c r="W16" i="15"/>
  <c r="Z16" i="15"/>
  <c r="W37" i="15"/>
  <c r="Z37" i="15"/>
  <c r="S37" i="2"/>
  <c r="H179" i="2"/>
  <c r="R179" i="2" s="1"/>
  <c r="Y179" i="2" s="1"/>
  <c r="H179" i="15"/>
  <c r="W30" i="15"/>
  <c r="Z30" i="15"/>
  <c r="K206" i="3"/>
  <c r="S26" i="2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N15" i="15"/>
  <c r="AN30" i="15"/>
  <c r="AN37" i="15"/>
  <c r="AN17" i="15"/>
  <c r="Y181" i="15"/>
  <c r="W181" i="15"/>
  <c r="H186" i="2"/>
  <c r="R186" i="2" s="1"/>
  <c r="Y186" i="2" s="1"/>
  <c r="H186" i="15"/>
  <c r="AN16" i="15"/>
  <c r="Y184" i="15"/>
  <c r="W184" i="15"/>
  <c r="W29" i="15"/>
  <c r="Z29" i="15"/>
  <c r="I32" i="2"/>
  <c r="I32" i="15"/>
  <c r="W179" i="15"/>
  <c r="Y179" i="15"/>
  <c r="J68" i="13"/>
  <c r="L68" i="13" s="1"/>
  <c r="N68" i="13" s="1"/>
  <c r="J68" i="16"/>
  <c r="L68" i="16" s="1"/>
  <c r="N68" i="16" s="1"/>
  <c r="Y178" i="15"/>
  <c r="W178" i="15"/>
  <c r="Y180" i="15"/>
  <c r="W180" i="15"/>
  <c r="Y185" i="15"/>
  <c r="W185" i="15"/>
  <c r="H22" i="2"/>
  <c r="R22" i="2" s="1"/>
  <c r="Y22" i="2" s="1"/>
  <c r="H22" i="15"/>
  <c r="I183" i="2"/>
  <c r="S183" i="2" s="1"/>
  <c r="I183" i="15"/>
  <c r="Z183" i="15" s="1"/>
  <c r="J68" i="11"/>
  <c r="L68" i="11" s="1"/>
  <c r="N68" i="11" s="1"/>
  <c r="W14" i="15"/>
  <c r="Y14" i="15"/>
  <c r="Y174" i="15"/>
  <c r="W174" i="15"/>
  <c r="Y21" i="15"/>
  <c r="W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AN184" i="15"/>
  <c r="AN174" i="15"/>
  <c r="AN179" i="15"/>
  <c r="AN21" i="15"/>
  <c r="AN185" i="15"/>
  <c r="AN178" i="15"/>
  <c r="AN180" i="15"/>
  <c r="AN29" i="15"/>
  <c r="AN181" i="15"/>
  <c r="Y22" i="15"/>
  <c r="W22" i="15"/>
  <c r="W32" i="15"/>
  <c r="Z32" i="15"/>
  <c r="W186" i="15"/>
  <c r="Y186" i="15"/>
  <c r="J260" i="13"/>
  <c r="L260" i="13" s="1"/>
  <c r="N260" i="13" s="1"/>
  <c r="J260" i="16"/>
  <c r="L260" i="16" s="1"/>
  <c r="N260" i="16" s="1"/>
  <c r="H183" i="2"/>
  <c r="R183" i="2" s="1"/>
  <c r="Y183" i="2" s="1"/>
  <c r="H183" i="15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Z209" i="15" l="1"/>
  <c r="J390" i="16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4" i="16"/>
  <c r="L14" i="16" s="1"/>
  <c r="N14" i="16" s="1"/>
  <c r="J14" i="24"/>
  <c r="L14" i="24" s="1"/>
  <c r="N14" i="24" s="1"/>
  <c r="J14" i="22"/>
  <c r="L14" i="22" s="1"/>
  <c r="N14" i="22" s="1"/>
  <c r="J14" i="20"/>
  <c r="L14" i="20" s="1"/>
  <c r="N14" i="20" s="1"/>
  <c r="J14" i="18"/>
  <c r="L14" i="18" s="1"/>
  <c r="N14" i="18" s="1"/>
  <c r="J426" i="24"/>
  <c r="L426" i="24" s="1"/>
  <c r="N426" i="24" s="1"/>
  <c r="J390" i="20"/>
  <c r="L390" i="20" s="1"/>
  <c r="N390" i="20" s="1"/>
  <c r="J394" i="22"/>
  <c r="L394" i="22" s="1"/>
  <c r="N394" i="22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2"/>
  <c r="L24" i="22" s="1"/>
  <c r="N24" i="22" s="1"/>
  <c r="J24" i="20"/>
  <c r="L24" i="20" s="1"/>
  <c r="N24" i="20" s="1"/>
  <c r="J24" i="18"/>
  <c r="L24" i="18" s="1"/>
  <c r="N24" i="18" s="1"/>
  <c r="J16" i="24"/>
  <c r="L16" i="24" s="1"/>
  <c r="N16" i="24" s="1"/>
  <c r="J16" i="22"/>
  <c r="L16" i="22" s="1"/>
  <c r="N16" i="22" s="1"/>
  <c r="J16" i="20"/>
  <c r="L16" i="20" s="1"/>
  <c r="N16" i="20" s="1"/>
  <c r="J16" i="18"/>
  <c r="L16" i="18" s="1"/>
  <c r="N16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403" i="16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413" i="24"/>
  <c r="L413" i="24" s="1"/>
  <c r="N413" i="24" s="1"/>
  <c r="J381" i="22"/>
  <c r="L381" i="22" s="1"/>
  <c r="N381" i="22" s="1"/>
  <c r="J381" i="20"/>
  <c r="L381" i="20" s="1"/>
  <c r="N381" i="20" s="1"/>
  <c r="J381" i="18"/>
  <c r="L381" i="18" s="1"/>
  <c r="N381" i="18" s="1"/>
  <c r="J172" i="16"/>
  <c r="L172" i="16" s="1"/>
  <c r="N172" i="16" s="1"/>
  <c r="J172" i="22"/>
  <c r="L172" i="22" s="1"/>
  <c r="N172" i="22" s="1"/>
  <c r="J172" i="20"/>
  <c r="L172" i="20" s="1"/>
  <c r="N172" i="20" s="1"/>
  <c r="J172" i="18"/>
  <c r="L172" i="18" s="1"/>
  <c r="N172" i="18" s="1"/>
  <c r="J21" i="16"/>
  <c r="L21" i="16" s="1"/>
  <c r="N21" i="16" s="1"/>
  <c r="J21" i="24"/>
  <c r="L21" i="24" s="1"/>
  <c r="N21" i="24" s="1"/>
  <c r="J21" i="22"/>
  <c r="L21" i="22" s="1"/>
  <c r="N21" i="22" s="1"/>
  <c r="J21" i="20"/>
  <c r="L21" i="20" s="1"/>
  <c r="N21" i="20" s="1"/>
  <c r="J21" i="18"/>
  <c r="L21" i="18" s="1"/>
  <c r="N21" i="18" s="1"/>
  <c r="J15" i="16"/>
  <c r="L15" i="16" s="1"/>
  <c r="N15" i="16" s="1"/>
  <c r="J15" i="24"/>
  <c r="L15" i="24" s="1"/>
  <c r="N15" i="24" s="1"/>
  <c r="J15" i="22"/>
  <c r="L15" i="22" s="1"/>
  <c r="N15" i="22" s="1"/>
  <c r="J15" i="20"/>
  <c r="L15" i="20" s="1"/>
  <c r="N15" i="20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AN186" i="15"/>
  <c r="AN22" i="15"/>
  <c r="Z183" i="2"/>
  <c r="J393" i="13"/>
  <c r="L393" i="13" s="1"/>
  <c r="N393" i="13" s="1"/>
  <c r="J388" i="16"/>
  <c r="L388" i="16" s="1"/>
  <c r="N388" i="16" s="1"/>
  <c r="AN32" i="15"/>
  <c r="Y183" i="15"/>
  <c r="AM209" i="15" s="1"/>
  <c r="W183" i="15"/>
  <c r="AN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Y209" i="15" l="1"/>
  <c r="AN183" i="15"/>
  <c r="AN209" i="15" s="1"/>
  <c r="L413" i="13"/>
  <c r="N413" i="13" s="1"/>
  <c r="G501" i="13"/>
  <c r="K502" i="13" s="1"/>
  <c r="N25" i="5"/>
  <c r="G50" i="5"/>
  <c r="N25" i="9"/>
  <c r="Z14" i="2"/>
  <c r="Y196" i="2"/>
  <c r="J8" i="2" s="1"/>
  <c r="P8" i="15" l="1"/>
  <c r="H8" i="24" s="1"/>
  <c r="J8" i="15"/>
  <c r="H8" i="15"/>
  <c r="H8" i="2"/>
  <c r="Z196" i="2"/>
  <c r="H8" i="23" l="1"/>
  <c r="H8" i="22"/>
  <c r="H8" i="2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<sst xmlns="http://schemas.openxmlformats.org/spreadsheetml/2006/main" count="11594" uniqueCount="1122">
  <si>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</si>
  <si>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</si>
  <si>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</si>
  <si>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</si>
  <si>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</si>
  <si>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</si>
  <si>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</si>
  <si>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</si>
  <si>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</si>
  <si>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</si>
  <si>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</si>
  <si>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</si>
  <si>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</si>
  <si>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</si>
  <si>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</si>
  <si>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</si>
  <si>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</si>
  <si>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</si>
  <si>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</si>
  <si>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</si>
  <si>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</si>
  <si>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</si>
  <si>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</si>
  <si>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</si>
  <si>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</si>
  <si>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</si>
  <si>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</si>
  <si>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</si>
  <si>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</si>
  <si>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</si>
  <si>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</si>
  <si>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</si>
  <si>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</si>
  <si>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</si>
  <si>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</si>
  <si>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</si>
  <si>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</si>
  <si>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</si>
  <si>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</si>
  <si>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</si>
  <si>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</si>
  <si>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</si>
  <si>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</si>
  <si>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</si>
  <si>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</si>
  <si>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</si>
  <si>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</si>
  <si>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</si>
  <si>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</si>
  <si>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</si>
  <si>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</si>
  <si>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</si>
  <si>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</si>
  <si>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</si>
  <si>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</si>
  <si>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</si>
  <si>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</si>
  <si>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</si>
  <si>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</si>
  <si>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</si>
  <si>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</si>
  <si>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</si>
  <si>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</si>
  <si>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</si>
  <si>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</si>
  <si>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</si>
  <si>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</si>
  <si>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</si>
  <si>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</si>
  <si>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</si>
  <si>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</si>
  <si>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</si>
  <si>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</si>
  <si>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</si>
  <si>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</si>
  <si>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</si>
  <si>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</si>
  <si>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</si>
  <si>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</si>
  <si>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</si>
  <si>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</si>
  <si>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</si>
  <si>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</si>
  <si>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</si>
  <si>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</si>
  <si>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</si>
  <si>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</si>
  <si>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</si>
  <si>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</si>
  <si>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</si>
  <si>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</si>
  <si>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</si>
  <si>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</si>
  <si>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</si>
  <si>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</si>
  <si>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</si>
  <si>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</si>
  <si>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</si>
  <si>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</si>
  <si>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</si>
  <si>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</si>
  <si>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</si>
  <si>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</si>
  <si>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</si>
  <si>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</si>
  <si>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</si>
  <si>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</si>
  <si>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</si>
  <si>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</si>
  <si>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</si>
  <si>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</si>
  <si>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</si>
  <si>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</si>
  <si>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</si>
  <si>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</si>
  <si>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</si>
  <si>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</si>
  <si>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</si>
  <si>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</si>
  <si>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</si>
  <si>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</si>
  <si>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</si>
  <si>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</si>
  <si>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</si>
  <si>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</si>
  <si>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</si>
  <si>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</si>
  <si>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</si>
  <si>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</si>
  <si>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</si>
  <si>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</si>
  <si>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</si>
  <si>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</si>
  <si>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</si>
  <si>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</si>
  <si>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</si>
  <si>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</si>
  <si>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</si>
  <si>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</si>
  <si>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</si>
  <si>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</si>
  <si>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</si>
  <si>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</si>
  <si>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</si>
  <si>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</si>
  <si>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</si>
  <si>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</si>
  <si>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</si>
  <si>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</si>
  <si>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</si>
  <si>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</si>
  <si>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</si>
  <si>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</si>
  <si>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</si>
  <si>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</si>
  <si>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</si>
  <si>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</si>
  <si>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</si>
  <si>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</si>
  <si>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</si>
  <si>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</si>
  <si>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</si>
  <si>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</si>
  <si>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</si>
  <si>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</si>
  <si>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</si>
  <si>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</si>
  <si>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</si>
  <si>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</si>
  <si>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</si>
  <si>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</si>
  <si>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</si>
  <si>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</si>
  <si>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</si>
  <si>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</si>
  <si>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</si>
  <si>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</si>
  <si>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</si>
  <si>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</si>
  <si>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</si>
  <si>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</si>
  <si>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</si>
  <si>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</si>
  <si>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</si>
  <si>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</si>
  <si>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</si>
  <si>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</si>
  <si>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</si>
  <si>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</si>
  <si>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</si>
  <si>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</si>
  <si>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</si>
  <si>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</si>
  <si>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</si>
  <si>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</si>
  <si>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</si>
  <si>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</si>
  <si>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</si>
  <si>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</si>
  <si>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</si>
  <si>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</si>
  <si>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</si>
  <si>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</si>
  <si>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</si>
  <si>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</si>
  <si>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</si>
  <si>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</si>
  <si>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</si>
  <si>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</si>
  <si>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</si>
  <si>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</si>
  <si>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</si>
  <si>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</si>
  <si>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</si>
  <si>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</si>
  <si>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</si>
  <si>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</si>
  <si>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</si>
  <si>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</si>
  <si>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</si>
  <si>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</si>
  <si>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</si>
  <si>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</si>
  <si>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</si>
  <si>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</si>
  <si>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</si>
  <si>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</si>
  <si>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</si>
  <si>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</si>
  <si>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</si>
  <si>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</si>
  <si>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</si>
  <si>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</si>
  <si>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</si>
  <si>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</si>
  <si>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</si>
  <si>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</si>
  <si>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</si>
  <si>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</si>
  <si>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</si>
  <si>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</si>
  <si>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</si>
  <si>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</si>
  <si>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</si>
  <si>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</si>
  <si>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</si>
  <si>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</si>
  <si>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</si>
  <si>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</si>
  <si>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</si>
  <si>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</si>
  <si>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</si>
  <si>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</si>
  <si>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</si>
  <si>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</si>
  <si>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</si>
  <si>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</si>
  <si>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</si>
  <si>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</si>
  <si>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</si>
  <si>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</si>
  <si>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</si>
  <si>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</si>
  <si>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</si>
  <si>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</si>
  <si>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</si>
  <si>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</si>
  <si>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</si>
  <si>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</si>
  <si>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</si>
  <si>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</si>
  <si>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</si>
  <si>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</si>
  <si>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</si>
  <si>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</si>
  <si>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</si>
  <si>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</si>
  <si>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</si>
  <si>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</si>
  <si>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</si>
  <si>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</si>
  <si>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</si>
  <si>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</si>
  <si>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</si>
  <si>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</si>
  <si>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</si>
  <si>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</si>
  <si>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</si>
  <si>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</si>
  <si>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</si>
  <si>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</si>
  <si>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</si>
  <si>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</si>
  <si>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</si>
  <si>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</si>
  <si>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</si>
  <si>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</si>
  <si>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</si>
  <si>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</si>
  <si>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</si>
  <si>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</si>
  <si>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</si>
  <si>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</si>
  <si>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</si>
  <si>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</si>
  <si>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</si>
  <si>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</si>
  <si>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</si>
  <si>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</si>
  <si>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</si>
  <si>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</si>
  <si>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</si>
  <si>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</si>
  <si>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</si>
  <si>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</si>
  <si>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</si>
  <si>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</si>
  <si>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</si>
  <si>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</si>
  <si>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</si>
  <si>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</si>
  <si>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</si>
  <si>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</si>
  <si>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</si>
  <si>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</si>
  <si>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</si>
  <si>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</si>
  <si>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</si>
  <si>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</si>
  <si>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</si>
  <si>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</si>
  <si>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</si>
  <si>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</si>
  <si>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</si>
  <si>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</si>
  <si>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</si>
  <si>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</si>
  <si>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</si>
  <si>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</si>
  <si>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</si>
  <si>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</si>
  <si>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</si>
  <si>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</si>
  <si>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</si>
  <si>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</si>
  <si>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</si>
  <si>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</si>
  <si>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</si>
  <si>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</si>
  <si>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</si>
  <si>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</si>
  <si>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</si>
  <si>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</si>
  <si>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</si>
  <si>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</si>
  <si>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</si>
  <si>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</si>
  <si>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</si>
  <si>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</si>
  <si>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</si>
  <si>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</si>
  <si>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</si>
  <si>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</si>
  <si>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</si>
  <si>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</si>
  <si>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</si>
  <si>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</si>
  <si>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</si>
  <si>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</si>
  <si>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</si>
  <si>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</si>
  <si>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</si>
  <si>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</si>
  <si>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</si>
  <si>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</si>
  <si>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</si>
  <si>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</si>
  <si>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</si>
  <si>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</si>
  <si>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</si>
  <si>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</si>
  <si>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</si>
  <si>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</si>
  <si>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</si>
  <si>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</si>
  <si>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</si>
  <si>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</si>
  <si>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</si>
  <si>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</si>
  <si>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</si>
  <si>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</si>
  <si>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</si>
  <si>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</si>
  <si>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</si>
  <si>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</si>
  <si>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</si>
  <si>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</si>
  <si>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</si>
  <si>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</si>
  <si>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</si>
  <si>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</si>
  <si>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</si>
  <si>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</si>
  <si>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</si>
  <si>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</si>
  <si>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</si>
  <si>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</si>
  <si>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</si>
  <si>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</si>
  <si>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</si>
  <si>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</si>
  <si>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</si>
  <si>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</si>
  <si>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</si>
  <si>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</si>
  <si>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</si>
  <si>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</si>
  <si>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</si>
  <si>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</si>
  <si>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</si>
  <si>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</si>
  <si>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</si>
  <si>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</si>
  <si>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</si>
  <si>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</si>
  <si>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</si>
  <si>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</si>
  <si>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</si>
  <si>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</si>
  <si>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</si>
  <si>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</si>
  <si>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</si>
  <si>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</si>
  <si>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</si>
  <si>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</si>
  <si>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</si>
  <si>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</si>
  <si>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</si>
  <si>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</si>
  <si>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</si>
  <si>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</si>
  <si>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</si>
  <si>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</si>
  <si>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</si>
  <si>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</si>
  <si>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</si>
  <si>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</si>
  <si>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</si>
  <si>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</si>
  <si>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</si>
  <si>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</si>
  <si>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</si>
  <si>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</si>
  <si>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</si>
  <si>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</si>
  <si>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</si>
  <si>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</si>
  <si>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</si>
  <si>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</si>
  <si>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</si>
  <si>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</si>
  <si>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</si>
  <si>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</si>
  <si>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</si>
  <si>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</si>
  <si>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</si>
  <si>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</si>
  <si>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</si>
  <si>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</si>
  <si>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</si>
  <si>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</si>
  <si>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</si>
  <si>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</si>
  <si>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</si>
  <si>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</si>
  <si>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</si>
  <si>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</si>
  <si>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</si>
  <si>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</si>
  <si>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</si>
  <si>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</si>
  <si>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</si>
  <si>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</si>
  <si>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</si>
  <si>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</si>
  <si>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</si>
  <si>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</si>
  <si>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</si>
  <si>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</si>
  <si>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</si>
  <si>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</si>
  <si>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</si>
  <si>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</si>
  <si>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</si>
  <si>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</si>
  <si>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</si>
  <si>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</si>
  <si>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</si>
  <si>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</si>
  <si>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</si>
  <si>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</si>
  <si>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</si>
  <si>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</si>
  <si>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</si>
  <si>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</si>
  <si>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</si>
  <si>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</si>
  <si>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</si>
  <si>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</si>
  <si>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</si>
  <si>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</si>
  <si>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</si>
  <si>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</si>
  <si>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</si>
  <si>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</si>
  <si>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</si>
  <si>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</si>
  <si>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</si>
  <si>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</si>
  <si>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</si>
  <si>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</si>
  <si>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</si>
  <si>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</si>
  <si>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</si>
  <si>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</si>
  <si>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</si>
  <si>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</si>
  <si>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</si>
  <si>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</si>
  <si>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</si>
  <si>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</si>
  <si>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</si>
  <si>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</si>
  <si>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</si>
  <si>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</si>
  <si>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</si>
  <si>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</si>
  <si>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</si>
  <si>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</si>
  <si>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</si>
  <si>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</si>
  <si>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</si>
  <si>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</si>
  <si>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</si>
  <si>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</si>
  <si>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</si>
  <si>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</si>
  <si>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</si>
  <si>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</si>
  <si>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</si>
  <si>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</si>
  <si>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</si>
  <si>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</si>
  <si>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</si>
  <si>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</si>
  <si>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</si>
  <si>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</si>
  <si>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</si>
  <si>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</si>
  <si>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</si>
  <si>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</si>
  <si>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</si>
  <si>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</si>
  <si>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</si>
  <si>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</si>
  <si>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</si>
  <si>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</si>
  <si>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</si>
  <si>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</si>
  <si>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</si>
  <si>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</si>
  <si>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</si>
  <si>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</si>
  <si>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</si>
  <si>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</si>
  <si>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</si>
  <si>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</si>
  <si>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</si>
  <si>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</si>
  <si>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</si>
  <si>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</si>
  <si>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</si>
  <si>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</si>
  <si>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</si>
  <si>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</si>
  <si>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</si>
  <si>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</si>
  <si>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</si>
  <si>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</si>
  <si>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</si>
  <si>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</si>
  <si>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</si>
  <si>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</si>
  <si>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</si>
  <si>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</si>
  <si>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</si>
  <si>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</si>
  <si>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</si>
  <si>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</si>
  <si>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</si>
  <si>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</si>
  <si>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</si>
  <si>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</si>
  <si>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</si>
  <si>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</si>
  <si>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</si>
  <si>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</si>
  <si>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</si>
  <si>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</si>
  <si>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</si>
  <si>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</si>
  <si>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</si>
  <si>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</si>
  <si>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</si>
  <si>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</si>
  <si>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</si>
  <si>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</si>
  <si>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</si>
  <si>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</si>
  <si>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</si>
  <si>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</si>
  <si>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</si>
  <si>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</si>
  <si>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</si>
  <si>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</si>
  <si>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</si>
  <si>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</si>
  <si>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</si>
  <si>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</si>
  <si>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</si>
  <si>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</si>
  <si>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</si>
  <si>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</si>
  <si>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</si>
  <si>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</si>
  <si>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</si>
  <si>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</si>
  <si>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</si>
  <si>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</si>
  <si>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</si>
  <si>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</si>
  <si>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</si>
  <si>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</si>
  <si>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</si>
  <si>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</si>
  <si>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</si>
  <si>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</si>
  <si>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</si>
  <si>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</si>
  <si>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</si>
  <si>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</si>
  <si>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</si>
  <si>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</si>
  <si>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</si>
  <si>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</si>
  <si>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</si>
  <si>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</si>
  <si>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</si>
  <si>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</si>
  <si>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</si>
  <si>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</si>
  <si>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</si>
  <si>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</si>
  <si>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</si>
  <si>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</si>
  <si>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</si>
  <si>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</si>
  <si>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</si>
  <si>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</si>
  <si>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</si>
  <si>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</si>
  <si>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</si>
  <si>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</si>
  <si>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</si>
  <si>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</si>
  <si>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</si>
  <si>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</si>
  <si>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</si>
  <si>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</si>
  <si>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</si>
  <si>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</si>
  <si>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</si>
  <si>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</si>
  <si>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</si>
  <si>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</si>
  <si>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</si>
  <si>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</si>
  <si>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</si>
  <si>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</si>
  <si>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</si>
  <si>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</si>
  <si>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</si>
  <si>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</si>
  <si>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</si>
  <si>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</si>
  <si>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</si>
  <si>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</si>
  <si>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</si>
  <si>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</si>
  <si>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</si>
  <si>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</si>
  <si>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</si>
  <si>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</si>
  <si>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</si>
  <si>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</si>
  <si>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</si>
  <si>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</si>
  <si>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</si>
  <si>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</si>
  <si>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</si>
  <si>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</si>
  <si>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</si>
  <si>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</si>
  <si>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</si>
  <si>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</si>
  <si>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</si>
  <si>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</si>
  <si>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</si>
  <si>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</si>
  <si>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</si>
  <si>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</si>
  <si>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</si>
  <si>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</si>
  <si>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</si>
  <si>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</si>
  <si>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</si>
  <si>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</si>
  <si>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</si>
  <si>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</si>
  <si>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</si>
  <si>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</si>
  <si>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</si>
  <si>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</si>
  <si>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</si>
  <si>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</si>
  <si>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</si>
  <si>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</si>
  <si>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</si>
  <si>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</si>
  <si>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</si>
  <si>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</si>
  <si>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</si>
  <si>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</si>
  <si>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</si>
  <si>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</si>
  <si>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</si>
  <si>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</si>
  <si>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</si>
  <si>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</si>
  <si>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</si>
  <si>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</si>
  <si>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</si>
  <si>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</si>
  <si>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</si>
  <si>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</si>
  <si>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</si>
  <si>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</si>
  <si>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</si>
  <si>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</si>
  <si>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</si>
  <si>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</si>
  <si>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</si>
  <si>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</si>
  <si>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</si>
  <si>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</si>
  <si>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</si>
  <si>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</si>
  <si>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</si>
  <si>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</si>
  <si>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</si>
  <si>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</si>
  <si>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</si>
  <si>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</si>
  <si>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</si>
  <si>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</si>
  <si>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</si>
  <si>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</si>
  <si>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</si>
  <si>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</si>
  <si>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</si>
  <si>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</si>
  <si>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</si>
  <si>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</si>
  <si>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</si>
  <si>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</si>
  <si>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</si>
  <si>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</si>
  <si>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</si>
  <si>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</si>
  <si>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</si>
  <si>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</si>
  <si>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</si>
  <si>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</si>
  <si>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</si>
  <si>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</si>
  <si>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</si>
  <si>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</si>
  <si>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</si>
  <si>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</si>
  <si>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</si>
  <si>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</si>
  <si>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</si>
  <si>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</si>
  <si>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</si>
  <si>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</si>
  <si>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</si>
  <si>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</si>
  <si>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</si>
  <si>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</si>
  <si>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</si>
  <si>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</si>
  <si>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</si>
  <si>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</si>
  <si>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</si>
  <si>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</si>
  <si>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</si>
  <si>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</si>
  <si>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</si>
  <si>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</si>
  <si>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</si>
  <si>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</si>
  <si>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</si>
  <si>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</si>
  <si>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</si>
  <si>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</si>
  <si>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</si>
  <si>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</si>
  <si>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</si>
  <si>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</si>
  <si>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</si>
  <si>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</si>
  <si>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</si>
  <si>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</si>
  <si>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</si>
  <si>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</si>
  <si>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</si>
  <si>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</si>
  <si>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</si>
  <si>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</si>
  <si>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</si>
  <si>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</si>
  <si>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</si>
  <si>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</si>
  <si>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</si>
  <si>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</si>
  <si>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</si>
  <si>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</si>
  <si>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</si>
  <si>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</si>
  <si>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</si>
  <si>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</si>
  <si>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</si>
  <si>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</si>
  <si>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</si>
  <si>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</si>
  <si>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</si>
  <si>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</si>
  <si>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</si>
  <si>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</si>
  <si>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</si>
  <si>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</si>
  <si>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</si>
  <si>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</si>
  <si>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</si>
  <si>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</si>
  <si>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</si>
  <si>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</si>
  <si>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</si>
  <si>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</si>
  <si>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</si>
  <si>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</si>
  <si>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</si>
  <si>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</si>
  <si>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</si>
  <si>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</si>
  <si>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</si>
  <si>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</si>
  <si>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</si>
  <si>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</si>
  <si>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</si>
  <si>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</si>
  <si>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</si>
  <si>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</si>
  <si>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</si>
  <si>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</si>
  <si>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</si>
  <si>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</si>
  <si>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</si>
  <si>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</si>
  <si>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</si>
  <si>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</si>
  <si>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</si>
  <si>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</si>
  <si>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</si>
  <si>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</si>
  <si>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</si>
  <si>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</si>
  <si>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</si>
  <si>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</si>
  <si>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</si>
  <si>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</si>
  <si>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</si>
  <si>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</si>
  <si>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</si>
  <si>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</si>
  <si>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</si>
  <si>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</si>
  <si>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</si>
  <si>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</si>
  <si>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</si>
  <si>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</si>
  <si>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</si>
  <si>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</si>
  <si>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</si>
  <si>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</si>
  <si>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</si>
  <si>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</si>
  <si>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</si>
  <si>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</si>
  <si>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</si>
  <si>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</si>
  <si>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</si>
  <si>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</si>
  <si>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</si>
  <si>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</si>
  <si>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</si>
  <si>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</si>
  <si>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</si>
  <si>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</si>
  <si>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</si>
  <si>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</si>
  <si>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</si>
  <si>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</si>
  <si>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</si>
  <si>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</si>
  <si>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</si>
  <si>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</si>
  <si>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</si>
  <si>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</si>
  <si>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</si>
  <si>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</si>
  <si>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</si>
  <si>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</si>
  <si>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</si>
  <si>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</si>
  <si>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</si>
  <si>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</si>
  <si>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</si>
  <si>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</si>
  <si>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</si>
  <si>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</si>
  <si>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</si>
  <si>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</si>
  <si>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</si>
  <si>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</si>
  <si>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</si>
  <si>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</si>
  <si>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</si>
  <si>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</si>
  <si>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</si>
  <si>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</si>
  <si>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</si>
  <si>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</si>
  <si>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</si>
  <si>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</si>
  <si>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</si>
  <si>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</si>
  <si>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</si>
  <si>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</si>
  <si>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</si>
  <si>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</si>
  <si>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</si>
  <si>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</si>
  <si>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</si>
  <si>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</si>
  <si>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</si>
  <si>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</si>
  <si>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</si>
  <si>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</si>
  <si>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</si>
  <si>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</si>
  <si>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</si>
  <si>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</si>
  <si>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</si>
  <si>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</si>
  <si>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</si>
  <si>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</si>
  <si>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</si>
  <si>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</si>
  <si>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</si>
  <si>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</si>
  <si>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</si>
  <si>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</si>
  <si>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</si>
  <si>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</si>
  <si>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</si>
  <si>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</si>
  <si>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</si>
  <si>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</si>
  <si>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</si>
  <si>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</si>
  <si>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</si>
  <si>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</si>
  <si>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</si>
  <si>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</si>
  <si>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</si>
  <si>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</si>
  <si>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</si>
  <si>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</si>
  <si>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</si>
  <si>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</si>
  <si>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</si>
  <si>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</si>
  <si>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</si>
  <si>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</si>
  <si>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</si>
  <si>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</si>
  <si>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</si>
  <si>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</si>
  <si>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</si>
  <si>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</si>
  <si>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</si>
  <si>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</si>
  <si>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</si>
  <si>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</si>
  <si>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</si>
  <si>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</si>
  <si>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</si>
  <si>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</si>
  <si>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</si>
  <si>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</si>
  <si>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</si>
  <si>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</si>
  <si>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</si>
  <si>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</si>
  <si>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</si>
  <si>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</si>
  <si>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</si>
  <si>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</si>
  <si>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</si>
  <si>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</si>
  <si>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</si>
  <si>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</si>
  <si>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</si>
  <si>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</si>
  <si>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</si>
  <si>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</si>
  <si>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DE MEDIÇÃO 10 - MEMORIAL DE CÁLCULO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</si>
  <si>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</si>
  <si>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</si>
  <si>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</si>
  <si>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</si>
  <si>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</si>
  <si>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</si>
  <si>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</si>
  <si>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</si>
  <si>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</si>
  <si>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</si>
  <si>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</si>
  <si>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</si>
  <si>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</si>
  <si>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</si>
  <si>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</si>
  <si>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</si>
  <si>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</si>
  <si>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</si>
  <si>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</si>
  <si>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</si>
  <si>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</si>
  <si>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</si>
  <si>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</si>
  <si>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</si>
  <si>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</si>
  <si>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</si>
  <si>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</si>
  <si>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</si>
  <si>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</si>
  <si>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</si>
  <si>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</si>
  <si>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</si>
  <si>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</si>
  <si>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</si>
  <si>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</si>
  <si>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</si>
  <si>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</si>
  <si>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</si>
  <si>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MEDIDA NO PERÍODO 11</t>
  </si>
  <si>
    <t>CÁLCULOS</t>
  </si>
  <si>
    <t>MEDIÇÃO 11</t>
  </si>
  <si>
    <t>__________________________________________________________________________________</t>
  </si>
  <si>
    <t>______________________________________________________________________________</t>
  </si>
  <si>
    <t>_________________________________________________________________________</t>
  </si>
  <si>
    <t>Engenheiro Fiscal Titular</t>
  </si>
  <si>
    <t>Engenheiro Fiscal Auxiliar</t>
  </si>
  <si>
    <t>Secretário de Planejamento</t>
  </si>
  <si>
    <t>MEDIDA NO PERÍODO 12</t>
  </si>
  <si>
    <t>MEDIÇÃO 12</t>
  </si>
  <si>
    <t>falta pagar</t>
  </si>
  <si>
    <t>área de piso interna: 597 m²</t>
  </si>
  <si>
    <t>MEDIDA NO PERÍODO 13</t>
  </si>
  <si>
    <t>MEDIÇÃO 13</t>
  </si>
  <si>
    <t>MEDIDA NO PERÍODO 14</t>
  </si>
  <si>
    <t>14</t>
  </si>
  <si>
    <t>BOLETIM DE MEDIÇÃO 14</t>
  </si>
  <si>
    <t>MEDIÇÃO 14</t>
  </si>
  <si>
    <t>30/12/2025 a 09/03/2026</t>
  </si>
  <si>
    <t>Área total de chapisco menos área de revestimento cerâmico interno, mais alvenaria nova corredor (2*2,15*2,73) + alvenaria nova sala psicólogo (2*4,53*2,65) = 1.461,65 m² - 642,00 m² medidos  do muro que tem o item específico para isso</t>
  </si>
  <si>
    <t>Área de emboço total menos revestimentos cerâmicos de parede</t>
  </si>
  <si>
    <t>(OBS: duas demãos) apenas parede frontal: 15,0*2,95-2,62*2,29-1,20*1,50-0,39*0,98+(0,20+0,53)*2*2,95+1,72*2,95-0,77*2,09 = 43,84 m²</t>
  </si>
  <si>
    <t>Pelo projeto - 318,5+446,8+486,8</t>
  </si>
  <si>
    <t>Pelo projeto - 518,5+518,5+459,3</t>
  </si>
  <si>
    <t>Pelo projeto - 105,2+105,2+74,2</t>
  </si>
  <si>
    <t>Pelo projeto - 55,9*4</t>
  </si>
  <si>
    <t>Total pelo projeto - 830,52 m</t>
  </si>
  <si>
    <t>1 unidade</t>
  </si>
  <si>
    <t xml:space="preserve">Executado como piso intertravado bloco retangular (que na composição teria um preço maior que o de 16 faces): 3,75*2,80+1,53*(21,65+35,85) = </t>
  </si>
  <si>
    <t>Base das duas camas restantes (20 camas pagas no bm 12) = 2 camas x 1,80*0,50</t>
  </si>
  <si>
    <t>Calhas: 23,17*2,4</t>
  </si>
  <si>
    <t>Estimativa de 80% da área de reboco do muro</t>
  </si>
  <si>
    <t xml:space="preserve">área entre o prédio e o muro x 0,3 m  de altura (582,08*0,3) e aterro das calçadas </t>
  </si>
  <si>
    <t>Laje da entrada: 13,20*2,52 menos aberturas: 4,0*0,4</t>
  </si>
  <si>
    <t>topo das 22 camas = 22*0,9*2,0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</si>
</sst>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  <numFmt numFmtId="173" formatCode="dd/mm/yy;@"/>
  </numFmts>
  <fonts count="4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b/>
      <sz val="6"/>
      <name val="Segoe UI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607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 shrinkToFit="1"/>
    </xf>
    <xf numFmtId="0" fontId="18" fillId="0" borderId="40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164" fontId="0" fillId="0" borderId="31" xfId="2" applyFont="1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164" fontId="0" fillId="0" borderId="39" xfId="2" applyFont="1" applyFill="1" applyBorder="1" applyAlignment="1">
      <alignment vertical="center"/>
    </xf>
    <xf numFmtId="4" fontId="23" fillId="0" borderId="31" xfId="0" applyNumberFormat="1" applyFont="1" applyBorder="1" applyAlignment="1">
      <alignment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0" fontId="23" fillId="0" borderId="44" xfId="0" applyFont="1" applyBorder="1" applyAlignment="1">
      <alignment horizontal="justify" vertical="center"/>
    </xf>
    <xf numFmtId="4" fontId="23" fillId="0" borderId="33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18" fillId="0" borderId="46" xfId="0" applyFont="1" applyBorder="1" applyAlignment="1">
      <alignment horizontal="left" vertical="center"/>
    </xf>
    <xf numFmtId="2" fontId="18" fillId="0" borderId="46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justify" vertical="center"/>
    </xf>
    <xf numFmtId="0" fontId="23" fillId="0" borderId="12" xfId="0" applyFont="1" applyBorder="1" applyAlignment="1">
      <alignment horizontal="center" vertical="center"/>
    </xf>
    <xf numFmtId="4" fontId="23" fillId="0" borderId="12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0" fontId="23" fillId="0" borderId="64" xfId="0" applyFont="1" applyBorder="1" applyAlignment="1">
      <alignment horizontal="justify" vertical="center"/>
    </xf>
    <xf numFmtId="0" fontId="23" fillId="0" borderId="33" xfId="0" applyFont="1" applyBorder="1" applyAlignment="1">
      <alignment horizontal="center" vertical="center"/>
    </xf>
    <xf numFmtId="0" fontId="31" fillId="0" borderId="31" xfId="0" applyFont="1" applyBorder="1"/>
    <xf numFmtId="164" fontId="35" fillId="0" borderId="31" xfId="0" applyNumberFormat="1" applyFont="1" applyBorder="1"/>
    <xf numFmtId="0" fontId="38" fillId="0" borderId="0" xfId="0" applyFont="1"/>
    <xf numFmtId="0" fontId="38" fillId="0" borderId="1" xfId="0" applyFont="1" applyBorder="1"/>
    <xf numFmtId="0" fontId="31" fillId="0" borderId="31" xfId="0" applyFont="1" applyBorder="1" applyAlignment="1">
      <alignment wrapText="1"/>
    </xf>
    <xf numFmtId="0" fontId="31" fillId="0" borderId="31" xfId="0" applyFont="1" applyBorder="1" applyAlignment="1">
      <alignment horizontal="left" wrapText="1"/>
    </xf>
    <xf numFmtId="169" fontId="0" fillId="0" borderId="0" xfId="0" applyNumberFormat="1"/>
    <xf numFmtId="4" fontId="31" fillId="0" borderId="31" xfId="0" applyNumberFormat="1" applyFont="1" applyBorder="1"/>
    <xf numFmtId="164" fontId="8" fillId="0" borderId="7" xfId="2" applyFont="1" applyBorder="1" applyAlignment="1">
      <alignment horizontal="center" vertical="center"/>
    </xf>
    <xf numFmtId="164" fontId="8" fillId="0" borderId="8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8" fillId="0" borderId="15" xfId="2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0" borderId="20" xfId="2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32" fillId="0" borderId="42" xfId="0" applyNumberFormat="1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13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73" fontId="10" fillId="15" borderId="16" xfId="0" applyNumberFormat="1" applyFont="1" applyFill="1" applyBorder="1" applyAlignment="1">
      <alignment horizontal="center" vertical="center"/>
    </xf>
    <xf numFmtId="173" fontId="10" fillId="15" borderId="17" xfId="0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 wrapText="1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0" fontId="39" fillId="15" borderId="35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93.jpeg"/><Relationship Id="rId1" Type="http://schemas.openxmlformats.org/officeDocument/2006/relationships/image" Target="../media/image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g"/><Relationship Id="rId13" Type="http://schemas.openxmlformats.org/officeDocument/2006/relationships/image" Target="../media/image111.jpg"/><Relationship Id="rId3" Type="http://schemas.openxmlformats.org/officeDocument/2006/relationships/image" Target="../media/image101.jpg"/><Relationship Id="rId7" Type="http://schemas.openxmlformats.org/officeDocument/2006/relationships/image" Target="../media/image105.jpg"/><Relationship Id="rId12" Type="http://schemas.openxmlformats.org/officeDocument/2006/relationships/image" Target="../media/image110.jpg"/><Relationship Id="rId2" Type="http://schemas.openxmlformats.org/officeDocument/2006/relationships/image" Target="../media/image100.jpg"/><Relationship Id="rId1" Type="http://schemas.openxmlformats.org/officeDocument/2006/relationships/image" Target="../media/image3.jpeg"/><Relationship Id="rId6" Type="http://schemas.openxmlformats.org/officeDocument/2006/relationships/image" Target="../media/image104.jpg"/><Relationship Id="rId11" Type="http://schemas.openxmlformats.org/officeDocument/2006/relationships/image" Target="../media/image109.jpg"/><Relationship Id="rId5" Type="http://schemas.openxmlformats.org/officeDocument/2006/relationships/image" Target="../media/image103.jpg"/><Relationship Id="rId10" Type="http://schemas.openxmlformats.org/officeDocument/2006/relationships/image" Target="../media/image108.jpg"/><Relationship Id="rId4" Type="http://schemas.openxmlformats.org/officeDocument/2006/relationships/image" Target="../media/image102.jpg"/><Relationship Id="rId9" Type="http://schemas.openxmlformats.org/officeDocument/2006/relationships/image" Target="../media/image107.jpg"/><Relationship Id="rId14" Type="http://schemas.openxmlformats.org/officeDocument/2006/relationships/image" Target="../media/image112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3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3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156881</xdr:colOff>
      <xdr:row>3</xdr:row>
      <xdr:rowOff>56029</xdr:rowOff>
    </xdr:from>
    <xdr:to>
      <xdr:col>39</xdr:col>
      <xdr:colOff>986119</xdr:colOff>
      <xdr:row>6</xdr:row>
      <xdr:rowOff>41239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7B3F6-DE3B-4606-98FD-2F4C8688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3" y="717176"/>
          <a:ext cx="3339355" cy="6015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566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45281</v>
      </c>
      <c r="C8" s="515"/>
      <c r="D8" s="23" t="s">
        <v>595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545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521">
        <f>K195</f>
        <v>4.5500000000000007</v>
      </c>
      <c r="H201" s="522"/>
      <c r="I201" s="523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521" t="s">
        <v>586</v>
      </c>
      <c r="H204" s="524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521">
        <v>4</v>
      </c>
      <c r="H205" s="524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598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45291</v>
      </c>
      <c r="C8" s="515"/>
      <c r="D8" s="23" t="s">
        <v>710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596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521">
        <f>L25</f>
        <v>85.184619999999995</v>
      </c>
      <c r="H50" s="522"/>
      <c r="I50" s="523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521"/>
      <c r="H51" s="522"/>
      <c r="I51" s="523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530" t="s">
        <v>652</v>
      </c>
      <c r="H54" s="532"/>
      <c r="I54" s="533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530" t="s">
        <v>612</v>
      </c>
      <c r="H91" s="531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526">
        <f xml:space="preserve"> (2*1.31) + (2*1.51) + (2*4.98)</f>
        <v>15.600000000000001</v>
      </c>
      <c r="H92" s="527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526">
        <f xml:space="preserve"> (3*3.37) + (1.37) + (2*3.47)</f>
        <v>18.420000000000002</v>
      </c>
      <c r="H93" s="527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526">
        <f xml:space="preserve"> (1.87) + (2*3.62)</f>
        <v>9.11</v>
      </c>
      <c r="H94" s="527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526">
        <f xml:space="preserve"> (4*0.88) + (2*3.36) + (2*5.03)</f>
        <v>20.3</v>
      </c>
      <c r="H95" s="527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526">
        <f xml:space="preserve"> (2*3.18) + (2*3.18)</f>
        <v>12.72</v>
      </c>
      <c r="H96" s="527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526">
        <f xml:space="preserve"> (4*2.15)</f>
        <v>8.6</v>
      </c>
      <c r="H97" s="527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526">
        <f xml:space="preserve"> (4*6.99)</f>
        <v>27.96</v>
      </c>
      <c r="H98" s="527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526"/>
      <c r="H100" s="528"/>
      <c r="I100" s="529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530" t="s">
        <v>679</v>
      </c>
      <c r="H108" s="531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526" t="s">
        <v>680</v>
      </c>
      <c r="H109" s="527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526" t="s">
        <v>681</v>
      </c>
      <c r="H110" s="527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526" t="s">
        <v>682</v>
      </c>
      <c r="H111" s="527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526" t="s">
        <v>684</v>
      </c>
      <c r="H112" s="527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526" t="s">
        <v>683</v>
      </c>
      <c r="H113" s="527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526" t="s">
        <v>685</v>
      </c>
      <c r="H114" s="527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530" t="s">
        <v>686</v>
      </c>
      <c r="H115" s="531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526" t="s">
        <v>687</v>
      </c>
      <c r="H116" s="527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526" t="s">
        <v>688</v>
      </c>
      <c r="H117" s="527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530" t="s">
        <v>689</v>
      </c>
      <c r="H118" s="531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526" t="s">
        <v>690</v>
      </c>
      <c r="H119" s="527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530" t="s">
        <v>691</v>
      </c>
      <c r="H120" s="531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526" t="s">
        <v>692</v>
      </c>
      <c r="H121" s="527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526" t="s">
        <v>693</v>
      </c>
      <c r="H122" s="527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530" t="s">
        <v>694</v>
      </c>
      <c r="H123" s="531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526" t="s">
        <v>695</v>
      </c>
      <c r="H124" s="527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526" t="s">
        <v>696</v>
      </c>
      <c r="H125" s="527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526" t="s">
        <v>697</v>
      </c>
      <c r="H126" s="527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526" t="s">
        <v>698</v>
      </c>
      <c r="H127" s="527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526" t="s">
        <v>699</v>
      </c>
      <c r="H128" s="527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526" t="s">
        <v>700</v>
      </c>
      <c r="H129" s="527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526" t="s">
        <v>701</v>
      </c>
      <c r="H130" s="527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530" t="s">
        <v>702</v>
      </c>
      <c r="H131" s="531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526" t="s">
        <v>704</v>
      </c>
      <c r="H132" s="527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526" t="s">
        <v>703</v>
      </c>
      <c r="H133" s="527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526" t="s">
        <v>703</v>
      </c>
      <c r="H134" s="527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526" t="s">
        <v>705</v>
      </c>
      <c r="H135" s="527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526" t="s">
        <v>704</v>
      </c>
      <c r="H136" s="527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526" t="s">
        <v>705</v>
      </c>
      <c r="H137" s="527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526" t="s">
        <v>704</v>
      </c>
      <c r="H138" s="527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526">
        <v>9.6</v>
      </c>
      <c r="H139" s="528"/>
      <c r="I139" s="529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526"/>
      <c r="H149" s="528"/>
      <c r="I149" s="529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526">
        <v>9.6</v>
      </c>
      <c r="H150" s="528"/>
      <c r="I150" s="529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526">
        <f>K148</f>
        <v>9.6</v>
      </c>
      <c r="H152" s="528"/>
      <c r="I152" s="529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530" t="s">
        <v>647</v>
      </c>
      <c r="H154" s="531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526">
        <f xml:space="preserve"> ((0.59*(1.85/0.1)) * 2)</f>
        <v>21.83</v>
      </c>
      <c r="H155" s="527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526">
        <f>(0.69*(1.87/0.1)) + (0.79*(1.87/0.1))</f>
        <v>27.675999999999998</v>
      </c>
      <c r="H156" s="527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526">
        <f>((0.69*(1.9/0.1))*3) + ((0.59*(1.87/0.1))*2)</f>
        <v>61.395999999999987</v>
      </c>
      <c r="H157" s="527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526">
        <f>((0.69*(1.92/0.1))*1) + ((0.59*(1.92/0.1))*2)</f>
        <v>35.903999999999996</v>
      </c>
      <c r="H158" s="527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526">
        <f>((0.79*(1.94/0.1))*3)</f>
        <v>45.977999999999994</v>
      </c>
      <c r="H159" s="527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526">
        <f>((0.69*(1.96/0.1))*3) + ((0.59*(1.96/0.1))*2)</f>
        <v>63.699999999999989</v>
      </c>
      <c r="H160" s="527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526">
        <f>((0.59*(1.95/0.1))*2) + ((0.69*(1.95/0.1))*3) +((0.79*(1.95/0.1))*1)</f>
        <v>78.78</v>
      </c>
      <c r="H161" s="527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526">
        <f>((0.59*(1.97/0.1))*1)  +((0.79*(1.97/0.1))*2)</f>
        <v>42.749000000000002</v>
      </c>
      <c r="H162" s="527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526">
        <f>((0.59*(1.9/0.1))*3)</f>
        <v>33.629999999999995</v>
      </c>
      <c r="H163" s="527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526">
        <f>((0.69*(1.86/0.1))*1) + ((0.69*(1.86/0.1))*1) + ((0.89*(1.86/0.1))*1)</f>
        <v>42.222000000000001</v>
      </c>
      <c r="H164" s="527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526">
        <f>((0.69*(1.87/0.1))*3)</f>
        <v>38.708999999999996</v>
      </c>
      <c r="H165" s="527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526">
        <f>((0.69*(1.9/0.1))*1) + ((0.79*(1.9/0.1))*2) + ((0.59*(1.9/0.1))*1)</f>
        <v>54.339999999999989</v>
      </c>
      <c r="H166" s="527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526">
        <f>((0.79*(1.91/0.1))*1) +((0.59*(1.91/0.1))*1)</f>
        <v>26.357999999999997</v>
      </c>
      <c r="H167" s="527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526">
        <f>((0.79*(1.94/0.1))*1) +((0.59*(1.94/0.1))*5)</f>
        <v>72.555999999999983</v>
      </c>
      <c r="H168" s="527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526">
        <f>((0.69*(1.92/0.1))*2) + ((0.69*(1.92/0.1))*1)</f>
        <v>39.744</v>
      </c>
      <c r="H169" s="527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526">
        <f>((0.59*(1.93/0.1))*2) + ((0.79*(1.93/0.1))*1)</f>
        <v>38.020999999999994</v>
      </c>
      <c r="H170" s="527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526">
        <f>((0.59*(1.87/0.1))*2) + ((0.69*(1.87/0.1))*2)</f>
        <v>47.872</v>
      </c>
      <c r="H171" s="527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526">
        <f>((0.59*(1.88/0.1))*3) + ((0.69*(1.88/0.1))*1)</f>
        <v>46.24799999999999</v>
      </c>
      <c r="H172" s="527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526">
        <f>((0.79*(1.9/0.1))*1) + ((0.69*(1.9/0.1))*3)</f>
        <v>54.339999999999982</v>
      </c>
      <c r="H173" s="527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526">
        <f>((0.59*(1.9/0.1))*1)</f>
        <v>11.209999999999997</v>
      </c>
      <c r="H174" s="527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526">
        <f>((0.69*(1.87/0.1))*1) + ((0.59*(1.87/0.1))*1)</f>
        <v>23.936</v>
      </c>
      <c r="H175" s="527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526">
        <f>((0.69*(2/0.1))*1) + ((0.59*(2/0.1))*2)</f>
        <v>37.4</v>
      </c>
      <c r="H176" s="527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526">
        <f>((0.69*(2.01/0.1))*1) + ((0.59*(2.01/0.1))*5) + ((0.79*(2.01/0.1))*1)</f>
        <v>89.042999999999992</v>
      </c>
      <c r="H177" s="527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526">
        <f>(((1.39+0.47+0.47))*(1.86/0.15))</f>
        <v>28.892000000000003</v>
      </c>
      <c r="H178" s="527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526">
        <f>(((1.09+0.022))*(1.87/0.15))</f>
        <v>13.862933333333336</v>
      </c>
      <c r="H179" s="527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526">
        <f>(((1.09+0.022))*(1.89/0.15))</f>
        <v>14.011200000000001</v>
      </c>
      <c r="H180" s="527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526">
        <f>(((0.59))*(1.9/0.15))</f>
        <v>7.4733333333333327</v>
      </c>
      <c r="H181" s="527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526">
        <f>(((0.59))*(1.92/0.15))</f>
        <v>7.5519999999999996</v>
      </c>
      <c r="H182" s="527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526">
        <f>(((0.59))*(1.9/0.15))</f>
        <v>7.4733333333333327</v>
      </c>
      <c r="H183" s="527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526">
        <f>(((0.69))*(1.98/0.15))</f>
        <v>9.1080000000000005</v>
      </c>
      <c r="H184" s="527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530" t="s">
        <v>612</v>
      </c>
      <c r="H185" s="531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526">
        <f xml:space="preserve"> (2*2.51) + (40*0.59)</f>
        <v>28.619999999999997</v>
      </c>
      <c r="H186" s="527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526">
        <f xml:space="preserve"> (19*0.79)</f>
        <v>15.010000000000002</v>
      </c>
      <c r="H187" s="527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526">
        <f xml:space="preserve"> (21*0.79)</f>
        <v>16.59</v>
      </c>
      <c r="H188" s="527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526">
        <f xml:space="preserve"> (2*3.86) + (29*0.79)</f>
        <v>30.63</v>
      </c>
      <c r="H189" s="527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526">
        <f xml:space="preserve"> (22*0.59)</f>
        <v>12.979999999999999</v>
      </c>
      <c r="H190" s="527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526">
        <f xml:space="preserve"> (14*0.059)</f>
        <v>0.82599999999999996</v>
      </c>
      <c r="H191" s="527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526">
        <f xml:space="preserve"> (59*0.59)</f>
        <v>34.809999999999995</v>
      </c>
      <c r="H192" s="527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526">
        <v>295</v>
      </c>
      <c r="H194" s="528"/>
      <c r="I194" s="529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530" t="s">
        <v>628</v>
      </c>
      <c r="H197" s="531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526">
        <f xml:space="preserve"> (4*(0.2+0.25+1.85+0.33)) * 2</f>
        <v>21.040000000000003</v>
      </c>
      <c r="H198" s="527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526">
        <f xml:space="preserve"> ((4*(0.2+0.25+1.87+0.33)) * 2)</f>
        <v>21.200000000000003</v>
      </c>
      <c r="H199" s="527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526">
        <f xml:space="preserve"> (4*(0.2+0.25+1.9+0.33)) * 5</f>
        <v>53.6</v>
      </c>
      <c r="H200" s="527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526">
        <f xml:space="preserve"> (4*(0.2+0.25+1.92+0.33)) *3</f>
        <v>32.400000000000006</v>
      </c>
      <c r="H201" s="527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526">
        <f xml:space="preserve"> (4*(0.2+0.25+1.94+0.33)) * 3</f>
        <v>32.64</v>
      </c>
      <c r="H202" s="527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526">
        <f xml:space="preserve"> (4*(0.2+0.25+1.96+0.33)) * 5</f>
        <v>54.800000000000004</v>
      </c>
      <c r="H203" s="527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526">
        <f xml:space="preserve"> (4*(0.2+0.25+1.95+0.33)) * 6</f>
        <v>65.52</v>
      </c>
      <c r="H204" s="527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526">
        <f xml:space="preserve"> (4*(0.2+0.25+1.97+0.33)) * 3</f>
        <v>33</v>
      </c>
      <c r="H205" s="527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526">
        <f xml:space="preserve"> (4*(0.2+0.25+1.9+0.33)) * 3</f>
        <v>32.160000000000004</v>
      </c>
      <c r="H206" s="527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526">
        <f xml:space="preserve"> ((4*(0.2+0.25+1.86+0.33)) * 3)</f>
        <v>31.68</v>
      </c>
      <c r="H207" s="527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526">
        <f xml:space="preserve"> ((4*(0.2+0.25+1.87+0.33)) * 3)</f>
        <v>31.800000000000004</v>
      </c>
      <c r="H208" s="527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526">
        <f xml:space="preserve"> ((4*(0.2+0.25+1.9+0.33)) * 4)</f>
        <v>42.88</v>
      </c>
      <c r="H209" s="527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526">
        <f xml:space="preserve"> ((4*(0.2+0.25+1.91+0.33)) * 2)</f>
        <v>21.52</v>
      </c>
      <c r="H210" s="527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526">
        <f xml:space="preserve"> ((4*(0.2+0.25+1.94+0.33)) * 6)</f>
        <v>65.28</v>
      </c>
      <c r="H211" s="527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526">
        <f xml:space="preserve"> ((4*(0.2+0.25+1.92+0.33)) *3)</f>
        <v>32.400000000000006</v>
      </c>
      <c r="H212" s="527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526">
        <f xml:space="preserve"> ((4*(0.2+0.25+1.93+0.33)) *3)</f>
        <v>32.519999999999996</v>
      </c>
      <c r="H213" s="527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526">
        <f xml:space="preserve"> ((4*(0.2+0.25+1.87+0.33)) *4)</f>
        <v>42.400000000000006</v>
      </c>
      <c r="H214" s="527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526">
        <f xml:space="preserve"> ((4*(0.2+0.25+1.88+0.33)) *4)</f>
        <v>42.56</v>
      </c>
      <c r="H215" s="527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526">
        <f xml:space="preserve"> ((4*(0.2+0.25+1.9+0.33)) *4)</f>
        <v>42.88</v>
      </c>
      <c r="H216" s="527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526">
        <f>((4*(0.2+0.25+1.9+0.33))) + ((8*(0.2+0.25+1.9)))</f>
        <v>29.520000000000003</v>
      </c>
      <c r="H217" s="527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526">
        <f xml:space="preserve"> ((4*(0.2+0.25+1.97+0.33)) *2)</f>
        <v>22</v>
      </c>
      <c r="H218" s="527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526">
        <f xml:space="preserve"> ((4*(0.2+0.25+2+0.33)) *3)</f>
        <v>33.36</v>
      </c>
      <c r="H219" s="527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526">
        <f xml:space="preserve"> ((4*(0.2+0.25+2.01+0.33)) *7)</f>
        <v>78.12</v>
      </c>
      <c r="H220" s="527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530" t="s">
        <v>628</v>
      </c>
      <c r="H222" s="531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526">
        <f>((8*(0.2+0.25+1.86+0.42)))</f>
        <v>21.84</v>
      </c>
      <c r="H223" s="527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526">
        <f>((6*(0.2+0.25+1.87+0.42)))</f>
        <v>16.440000000000001</v>
      </c>
      <c r="H224" s="527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526">
        <f>((6*(0.2+0.25+1.89+0.42)))</f>
        <v>16.559999999999999</v>
      </c>
      <c r="H225" s="527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526">
        <f>((4*(0.2+0.25+1.9+0.42)))</f>
        <v>11.08</v>
      </c>
      <c r="H226" s="527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526">
        <f>((4*(0.2+0.25+1.92+0.42)))</f>
        <v>11.16</v>
      </c>
      <c r="H227" s="527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526">
        <f>((4*(0.2+0.25+1.9+0.42)))</f>
        <v>11.08</v>
      </c>
      <c r="H228" s="527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526">
        <f>((4*(0.2+0.25+1.98+0.42)))+(2*(0.2+0.25+1.98))</f>
        <v>16.260000000000002</v>
      </c>
      <c r="H229" s="527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530" t="s">
        <v>612</v>
      </c>
      <c r="H230" s="531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526"/>
      <c r="H231" s="527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526"/>
      <c r="H232" s="527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526"/>
      <c r="H233" s="527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526"/>
      <c r="H234" s="527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526"/>
      <c r="H235" s="527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526"/>
      <c r="H236" s="527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526"/>
      <c r="H237" s="527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530" t="s">
        <v>706</v>
      </c>
      <c r="H247" s="531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526">
        <f xml:space="preserve"> ((0.15+0.25)*2) *2</f>
        <v>1.6</v>
      </c>
      <c r="H248" s="527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526">
        <f xml:space="preserve"> ((0.2+0.25)*2) + ((0.2+0.3)*2)</f>
        <v>1.9</v>
      </c>
      <c r="H249" s="527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526">
        <f xml:space="preserve"> ((0.2+0.25)*2*3) + ((0.2+0.2)*2*1) + ((0.15+0.2)*2*1)</f>
        <v>4.2</v>
      </c>
      <c r="H250" s="527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526">
        <f xml:space="preserve"> ((0.2+0.25)*2*1) + ((0.15+0.25)*2*2)</f>
        <v>2.5</v>
      </c>
      <c r="H251" s="527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526">
        <f xml:space="preserve"> ((0.15+0.3)*2*3)</f>
        <v>2.6999999999999997</v>
      </c>
      <c r="H252" s="527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526">
        <f xml:space="preserve"> ((0.2+0.25)*2*3) + ((0.15+0.25)*2*2)</f>
        <v>4.3000000000000007</v>
      </c>
      <c r="H253" s="527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526">
        <f xml:space="preserve"> ((0.2+0.25)*2*3) + ((0.15+0.25)*2*2) +  ((0.2+0.3)*2*1)</f>
        <v>5.3000000000000007</v>
      </c>
      <c r="H254" s="527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526">
        <f xml:space="preserve"> ((0.2+0.25)*2*2) + ((0.15+0.25)*2*1)</f>
        <v>2.6</v>
      </c>
      <c r="H255" s="527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526">
        <f>((0.15+0.25)*2*3)</f>
        <v>2.4000000000000004</v>
      </c>
      <c r="H256" s="527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526">
        <f xml:space="preserve"> ((0.2+0.25)*2*1) + ((0.15+0.25)*2*1) +  ((0.2+0.35)*2*1)</f>
        <v>2.8000000000000003</v>
      </c>
      <c r="H257" s="527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526">
        <f xml:space="preserve"> ((0.2+0.25)*2*1) + ((0.15+0.3)*2*2)</f>
        <v>2.6999999999999997</v>
      </c>
      <c r="H258" s="527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526">
        <f xml:space="preserve"> ((0.2+0.3)*2*1) + ((0.15+0.3)*2*1) +  ((0.15+0.25)*2*1) + ((0.15+0.35)*2*1)</f>
        <v>3.7</v>
      </c>
      <c r="H259" s="527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526">
        <f xml:space="preserve"> ((0.15+0.25)*2*1) + ((0.2+0.3)*2*1)</f>
        <v>1.8</v>
      </c>
      <c r="H260" s="527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526">
        <f xml:space="preserve"> ((0.15+0.25)*2*5) + ((0.25+0.25)*2*1)</f>
        <v>5</v>
      </c>
      <c r="H261" s="527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526">
        <f xml:space="preserve"> ((0.2+0.25)*2*1) + ((0.15+0.25)*2*1) +  ((0.25+0.25)*2*1)</f>
        <v>2.7</v>
      </c>
      <c r="H262" s="527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526">
        <f xml:space="preserve"> ((0.15+0.25)*2*2) + ((0.25+0.25)*2*1)</f>
        <v>2.6</v>
      </c>
      <c r="H263" s="527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526">
        <f xml:space="preserve"> ((0.15+0.25)*2*2) + ((0.2+0.25)*2*2)</f>
        <v>3.4000000000000004</v>
      </c>
      <c r="H264" s="527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526">
        <f xml:space="preserve"> ((0.15+0.25)*2*3) + ((0.2+0.25)*2*1)</f>
        <v>3.3000000000000003</v>
      </c>
      <c r="H265" s="527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526">
        <f>((0.2+0.25)*2*3) + ((0.25+0.25)*2*1)</f>
        <v>3.7</v>
      </c>
      <c r="H266" s="527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526">
        <f>((0.2+0.2)*2*1)</f>
        <v>0.8</v>
      </c>
      <c r="H267" s="527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526">
        <f>((0.2+0.25)*2*1) + ((0.15+0.25)*2*1)</f>
        <v>1.7000000000000002</v>
      </c>
      <c r="H268" s="527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526">
        <f>((0.2+0.25)*2*1) + ((0.15+0.25)*2*2)</f>
        <v>2.5</v>
      </c>
      <c r="H269" s="527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526">
        <f xml:space="preserve"> ((0.2+0.3)*2*1) + ((0.15+0.25)*2*5) +  ((0.25+0.25)*2*1)</f>
        <v>6</v>
      </c>
      <c r="H270" s="527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526">
        <f>((0.15+0.3)*2*1)</f>
        <v>0.89999999999999991</v>
      </c>
      <c r="H271" s="527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526">
        <f>((0.15+0.5)*2*1)</f>
        <v>1.3</v>
      </c>
      <c r="H272" s="527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526">
        <f>((0.15+0.5)*2*1)</f>
        <v>1.3</v>
      </c>
      <c r="H273" s="527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526">
        <f>((0.15+0.25)*2*1)</f>
        <v>0.8</v>
      </c>
      <c r="H274" s="527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526">
        <f t="shared" ref="G275" si="17">((0.15+0.3)*2*1)</f>
        <v>0.89999999999999991</v>
      </c>
      <c r="H275" s="527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526">
        <f>((0.15+0.25)*2*1)</f>
        <v>0.8</v>
      </c>
      <c r="H276" s="527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526">
        <f>((0.15+0.3)*2*1)</f>
        <v>0.89999999999999991</v>
      </c>
      <c r="H277" s="527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521">
        <v>11.01</v>
      </c>
      <c r="H419" s="522"/>
      <c r="I419" s="523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521">
        <f>K426</f>
        <v>1.04</v>
      </c>
      <c r="H432" s="522"/>
      <c r="I432" s="523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521" t="s">
        <v>586</v>
      </c>
      <c r="H435" s="524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521">
        <v>4</v>
      </c>
      <c r="H436" s="524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567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45281</v>
      </c>
      <c r="C8" s="515"/>
      <c r="D8" s="23" t="s">
        <v>595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545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597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45291</v>
      </c>
      <c r="C8" s="515"/>
      <c r="D8" s="23" t="s">
        <v>710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596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713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45352</v>
      </c>
      <c r="C8" s="515"/>
      <c r="D8" s="23" t="s">
        <v>712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711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9">((0.15+0.3)*2*1)</f>
        <v>0.89999999999999991</v>
      </c>
      <c r="H378" s="527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521"/>
      <c r="H516" s="522"/>
      <c r="I516" s="523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521">
        <v>11.01</v>
      </c>
      <c r="H522" s="522"/>
      <c r="I522" s="523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521"/>
      <c r="H524" s="522"/>
      <c r="I524" s="523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521">
        <v>67.27</v>
      </c>
      <c r="H525" s="522"/>
      <c r="I525" s="523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521">
        <f>K530</f>
        <v>1.5192000000000005</v>
      </c>
      <c r="H544" s="522"/>
      <c r="I544" s="523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521" t="s">
        <v>586</v>
      </c>
      <c r="H556" s="524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521">
        <v>4</v>
      </c>
      <c r="H557" s="524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521">
        <v>4</v>
      </c>
      <c r="H558" s="524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521">
        <v>4</v>
      </c>
      <c r="H559" s="524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521">
        <v>4</v>
      </c>
      <c r="H560" s="524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521">
        <v>4</v>
      </c>
      <c r="H561" s="524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521">
        <v>4</v>
      </c>
      <c r="H562" s="524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521">
        <v>4</v>
      </c>
      <c r="H563" s="524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521">
        <v>4</v>
      </c>
      <c r="H564" s="524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521">
        <v>4</v>
      </c>
      <c r="H565" s="524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521">
        <v>4</v>
      </c>
      <c r="H566" s="524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521"/>
      <c r="H567" s="522"/>
      <c r="I567" s="523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540"/>
      <c r="H579" s="541"/>
      <c r="I579" s="542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521"/>
      <c r="H581" s="522"/>
      <c r="I581" s="523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546" t="s">
        <v>836</v>
      </c>
      <c r="H595" s="546"/>
      <c r="I595" s="546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714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45352</v>
      </c>
      <c r="C8" s="515"/>
      <c r="D8" s="23" t="s">
        <v>712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711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884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45386</v>
      </c>
      <c r="C8" s="515"/>
      <c r="D8" s="23" t="s">
        <v>886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887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522"/>
      <c r="H609" s="522"/>
      <c r="I609" s="523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521">
        <v>11.01</v>
      </c>
      <c r="H615" s="522"/>
      <c r="I615" s="523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521"/>
      <c r="H617" s="522"/>
      <c r="I617" s="523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521">
        <v>67.27</v>
      </c>
      <c r="H618" s="522"/>
      <c r="I618" s="523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521">
        <v>42.8</v>
      </c>
      <c r="H619" s="522"/>
      <c r="I619" s="523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521">
        <f>K624</f>
        <v>2.3652000000000002</v>
      </c>
      <c r="H645" s="522"/>
      <c r="I645" s="523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521" t="s">
        <v>586</v>
      </c>
      <c r="H664" s="524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521">
        <v>4</v>
      </c>
      <c r="H665" s="524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521">
        <v>4</v>
      </c>
      <c r="H666" s="524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521">
        <v>4</v>
      </c>
      <c r="H667" s="524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521">
        <v>4</v>
      </c>
      <c r="H668" s="524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521">
        <v>4</v>
      </c>
      <c r="H669" s="524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521">
        <v>4</v>
      </c>
      <c r="H670" s="524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521">
        <v>4</v>
      </c>
      <c r="H671" s="524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521">
        <v>4</v>
      </c>
      <c r="H672" s="524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521">
        <v>4</v>
      </c>
      <c r="H673" s="524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521">
        <v>4</v>
      </c>
      <c r="H674" s="524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521">
        <v>4</v>
      </c>
      <c r="H675" s="524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521">
        <v>4</v>
      </c>
      <c r="H676" s="524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521">
        <v>4</v>
      </c>
      <c r="H677" s="524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521">
        <v>4</v>
      </c>
      <c r="H678" s="524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521">
        <v>4</v>
      </c>
      <c r="H679" s="524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521">
        <v>4</v>
      </c>
      <c r="H680" s="524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521">
        <v>4</v>
      </c>
      <c r="H681" s="524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521"/>
      <c r="H682" s="522"/>
      <c r="I682" s="523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540"/>
      <c r="H701" s="541"/>
      <c r="I701" s="542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521"/>
      <c r="H703" s="522"/>
      <c r="I703" s="523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546" t="s">
        <v>836</v>
      </c>
      <c r="H717" s="546"/>
      <c r="I717" s="546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934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45422</v>
      </c>
      <c r="C8" s="515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520">
        <f>Y196-E8</f>
        <v>274592.67562904983</v>
      </c>
      <c r="K8" s="520"/>
      <c r="L8" s="520"/>
      <c r="M8" s="520"/>
      <c r="N8" s="520"/>
      <c r="O8" s="520"/>
      <c r="P8" s="539"/>
      <c r="Q8" s="502" t="s">
        <v>933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543</v>
      </c>
      <c r="G10" s="487" t="s">
        <v>530</v>
      </c>
      <c r="H10" s="488"/>
      <c r="I10" s="488"/>
      <c r="J10" s="488"/>
      <c r="K10" s="488"/>
      <c r="L10" s="488"/>
      <c r="M10" s="488"/>
      <c r="N10" s="488"/>
      <c r="O10" s="488"/>
      <c r="P10" s="488"/>
      <c r="Q10" s="479" t="s">
        <v>531</v>
      </c>
      <c r="R10" s="480"/>
      <c r="S10" s="480"/>
      <c r="T10" s="480"/>
      <c r="U10" s="480"/>
      <c r="V10" s="480"/>
      <c r="W10" s="480"/>
      <c r="X10" s="480"/>
      <c r="Y10" s="481"/>
      <c r="Z10" s="482"/>
    </row>
    <row r="11" spans="2:26" ht="36" x14ac:dyDescent="0.25">
      <c r="B11" s="505"/>
      <c r="C11" s="505"/>
      <c r="D11" s="507"/>
      <c r="E11" s="505"/>
      <c r="F11" s="50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33.7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33.7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33.7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56.2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56.2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33.7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33.7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4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56.2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4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4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4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33.7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33.7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56.2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62" t="s">
        <v>546</v>
      </c>
      <c r="R197" s="562" t="s">
        <v>547</v>
      </c>
      <c r="S197" s="562" t="s">
        <v>549</v>
      </c>
      <c r="T197" s="562" t="s">
        <v>550</v>
      </c>
      <c r="U197" s="562" t="s">
        <v>551</v>
      </c>
      <c r="V197" s="562" t="s">
        <v>552</v>
      </c>
      <c r="W197" s="562" t="s">
        <v>553</v>
      </c>
      <c r="X197" s="562" t="s">
        <v>554</v>
      </c>
      <c r="Y197" s="563" t="s">
        <v>548</v>
      </c>
      <c r="Z197" s="562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62"/>
      <c r="R198" s="562"/>
      <c r="S198" s="562"/>
      <c r="T198" s="562"/>
      <c r="U198" s="562"/>
      <c r="V198" s="562"/>
      <c r="W198" s="562"/>
      <c r="X198" s="562"/>
      <c r="Y198" s="563"/>
      <c r="Z198" s="562"/>
    </row>
  </sheetData>
  <mergeCells count="27">
    <mergeCell ref="B10:B11"/>
    <mergeCell ref="Z197:Z198"/>
    <mergeCell ref="U197:U198"/>
    <mergeCell ref="Q10:Z10"/>
    <mergeCell ref="C10:C11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936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45422</v>
      </c>
      <c r="C8" s="515"/>
      <c r="D8" s="23" t="s">
        <v>954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02" t="s">
        <v>933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33.7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526">
        <f>243.89*0.7</f>
        <v>170.72299999999998</v>
      </c>
      <c r="H385" s="528"/>
      <c r="I385" s="529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526">
        <v>38.520000000000003</v>
      </c>
      <c r="H386" s="528"/>
      <c r="I386" s="529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526">
        <f>288*0.7</f>
        <v>201.6</v>
      </c>
      <c r="H390" s="528"/>
      <c r="I390" s="529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526">
        <v>44.5</v>
      </c>
      <c r="H391" s="528"/>
      <c r="I391" s="529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526">
        <f>0.6*357.5</f>
        <v>214.5</v>
      </c>
      <c r="H392" s="528"/>
      <c r="I392" s="529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1" customFormat="1" ht="22.9" customHeight="1" x14ac:dyDescent="0.25">
      <c r="B394" s="363"/>
      <c r="C394" s="364"/>
      <c r="D394" s="365" t="s">
        <v>953</v>
      </c>
      <c r="E394" s="366"/>
      <c r="F394" s="367">
        <v>1</v>
      </c>
      <c r="G394" s="577">
        <f>0.6* 39.1</f>
        <v>23.46</v>
      </c>
      <c r="H394" s="578"/>
      <c r="I394" s="579"/>
      <c r="J394" s="368"/>
      <c r="K394" s="369">
        <f>F394*G394</f>
        <v>23.46</v>
      </c>
      <c r="L394" s="369"/>
      <c r="M394" s="369"/>
      <c r="N394" s="370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1" customFormat="1" ht="30.6" customHeight="1" x14ac:dyDescent="0.25">
      <c r="B396" s="363"/>
      <c r="C396" s="364"/>
      <c r="D396" s="365" t="s">
        <v>953</v>
      </c>
      <c r="E396" s="366"/>
      <c r="F396" s="367">
        <v>1</v>
      </c>
      <c r="G396" s="577">
        <f>0.6* 692.8</f>
        <v>415.67999999999995</v>
      </c>
      <c r="H396" s="578"/>
      <c r="I396" s="579"/>
      <c r="J396" s="368"/>
      <c r="K396" s="369">
        <f>F396*G396</f>
        <v>415.67999999999995</v>
      </c>
      <c r="L396" s="369"/>
      <c r="M396" s="369"/>
      <c r="N396" s="370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4" t="s">
        <v>937</v>
      </c>
      <c r="E398" s="64"/>
      <c r="F398" s="105">
        <v>1</v>
      </c>
      <c r="G398" s="526">
        <f>671.1*0.7</f>
        <v>469.77</v>
      </c>
      <c r="H398" s="528"/>
      <c r="I398" s="529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4" t="s">
        <v>938</v>
      </c>
      <c r="E399" s="64"/>
      <c r="F399" s="105">
        <v>1</v>
      </c>
      <c r="G399" s="526">
        <v>108.8</v>
      </c>
      <c r="H399" s="528"/>
      <c r="I399" s="529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4" t="s">
        <v>953</v>
      </c>
      <c r="E400" s="64"/>
      <c r="F400" s="105">
        <v>1</v>
      </c>
      <c r="G400" s="526">
        <f>0.6* 95</f>
        <v>57</v>
      </c>
      <c r="H400" s="528"/>
      <c r="I400" s="529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66">
        <f>87.4*0.7</f>
        <v>61.18</v>
      </c>
      <c r="H402" s="567"/>
      <c r="I402" s="568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67">
        <f>13.12*0.7</f>
        <v>9.1839999999999993</v>
      </c>
      <c r="H407" s="567"/>
      <c r="I407" s="568"/>
      <c r="J407" s="99"/>
      <c r="K407" s="82">
        <f>F407*G407</f>
        <v>9.1839999999999993</v>
      </c>
      <c r="L407" s="82"/>
      <c r="M407" s="82"/>
      <c r="N407" s="86"/>
    </row>
    <row r="408" spans="2:14" ht="33.7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526">
        <f>K406</f>
        <v>9.1839999999999993</v>
      </c>
      <c r="H409" s="528"/>
      <c r="I409" s="529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526">
        <v>1.5</v>
      </c>
      <c r="H480" s="528"/>
      <c r="I480" s="529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526">
        <v>2.1</v>
      </c>
      <c r="H481" s="528"/>
      <c r="I481" s="529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526">
        <v>1.4</v>
      </c>
      <c r="H482" s="528"/>
      <c r="I482" s="529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526">
        <v>1.4</v>
      </c>
      <c r="H483" s="528"/>
      <c r="I483" s="529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526">
        <v>3.6</v>
      </c>
      <c r="H484" s="528"/>
      <c r="I484" s="529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526">
        <v>3.2</v>
      </c>
      <c r="H485" s="528"/>
      <c r="I485" s="529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66">
        <v>1.6</v>
      </c>
      <c r="H487" s="567"/>
      <c r="I487" s="568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66">
        <v>1.8</v>
      </c>
      <c r="H488" s="567"/>
      <c r="I488" s="568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66">
        <v>3.1</v>
      </c>
      <c r="H489" s="567"/>
      <c r="I489" s="568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66">
        <v>1.8</v>
      </c>
      <c r="H490" s="567"/>
      <c r="I490" s="568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66">
        <v>2.2999999999999998</v>
      </c>
      <c r="H491" s="567"/>
      <c r="I491" s="568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66">
        <v>2.8</v>
      </c>
      <c r="H492" s="567"/>
      <c r="I492" s="568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66">
        <v>1.6</v>
      </c>
      <c r="H494" s="567"/>
      <c r="I494" s="568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66">
        <v>1.8</v>
      </c>
      <c r="H495" s="567"/>
      <c r="I495" s="568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66">
        <v>3.1</v>
      </c>
      <c r="H496" s="567"/>
      <c r="I496" s="568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66">
        <v>1.8</v>
      </c>
      <c r="H497" s="567"/>
      <c r="I497" s="568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66">
        <v>2.2999999999999998</v>
      </c>
      <c r="H498" s="567"/>
      <c r="I498" s="568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66">
        <v>2.8</v>
      </c>
      <c r="H499" s="567"/>
      <c r="I499" s="568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526">
        <f>K413+J413</f>
        <v>846.84500000000003</v>
      </c>
      <c r="H501" s="528"/>
      <c r="I501" s="529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4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67.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522"/>
      <c r="H614" s="522"/>
      <c r="I614" s="523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t="22.5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521">
        <v>11.01</v>
      </c>
      <c r="H620" s="522"/>
      <c r="I620" s="523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521"/>
      <c r="H622" s="522"/>
      <c r="I622" s="523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521">
        <v>67.27</v>
      </c>
      <c r="H623" s="522"/>
      <c r="I623" s="523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521">
        <v>134.43</v>
      </c>
      <c r="H624" s="522"/>
      <c r="I624" s="523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2"/>
      <c r="H629" s="353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60">
        <v>0.41560999999999998</v>
      </c>
      <c r="H630" s="569"/>
      <c r="I630" s="570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2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33.7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2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60">
        <v>0.41563</v>
      </c>
      <c r="H633" s="569"/>
      <c r="I633" s="570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2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64">
        <v>8.4384999999999994</v>
      </c>
      <c r="H635" s="564"/>
      <c r="I635" s="565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5"/>
      <c r="H636" s="356"/>
      <c r="I636" s="354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7"/>
      <c r="H637" s="358">
        <v>15.84</v>
      </c>
      <c r="I637" s="359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60"/>
      <c r="H638" s="569"/>
      <c r="I638" s="570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60">
        <v>6.55</v>
      </c>
      <c r="H639" s="569"/>
      <c r="I639" s="570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71"/>
      <c r="H640" s="572"/>
      <c r="I640" s="573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0">
        <v>63.6</v>
      </c>
      <c r="H641" s="361">
        <v>0.5</v>
      </c>
      <c r="I641" s="362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60"/>
      <c r="H642" s="569"/>
      <c r="I642" s="570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60">
        <v>6.3616900000000003</v>
      </c>
      <c r="H643" s="561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0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521">
        <v>110.765</v>
      </c>
      <c r="H645" s="524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521">
        <f>65.43</f>
        <v>65.430000000000007</v>
      </c>
      <c r="H647" s="524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74" t="s">
        <v>836</v>
      </c>
      <c r="H656" s="575"/>
      <c r="I656" s="576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885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45386</v>
      </c>
      <c r="C8" s="515"/>
      <c r="D8" s="23" t="s">
        <v>886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887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935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45386</v>
      </c>
      <c r="C8" s="515"/>
      <c r="D8" s="23" t="s">
        <v>954</v>
      </c>
      <c r="E8" s="516">
        <f>'BOLETIM DE MEDIÇÃO 05'!E8</f>
        <v>103177.48903680005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933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W225"/>
  <sheetViews>
    <sheetView view="pageBreakPreview" topLeftCell="D206" zoomScale="85" zoomScaleNormal="85" zoomScaleSheetLayoutView="85" workbookViewId="0">
      <selection activeCell="V120" sqref="V120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20" width="17.28515625" hidden="1" customWidth="1"/>
    <col min="21" max="21" width="17.28515625" customWidth="1"/>
    <col min="22" max="22" width="23.5703125" bestFit="1" customWidth="1"/>
    <col min="23" max="23" width="10.85546875" style="167" bestFit="1" customWidth="1"/>
    <col min="24" max="24" width="22.42578125" bestFit="1" customWidth="1"/>
    <col min="25" max="25" width="19" hidden="1" customWidth="1"/>
    <col min="26" max="27" width="16.28515625" hidden="1" customWidth="1"/>
    <col min="28" max="28" width="17" hidden="1" customWidth="1"/>
    <col min="29" max="29" width="17.5703125" hidden="1" customWidth="1"/>
    <col min="30" max="30" width="15.42578125" hidden="1" customWidth="1"/>
    <col min="31" max="37" width="16.5703125" hidden="1" customWidth="1"/>
    <col min="38" max="38" width="16.5703125" customWidth="1"/>
    <col min="39" max="39" width="18.5703125" customWidth="1"/>
    <col min="40" max="40" width="17.28515625" bestFit="1" customWidth="1"/>
    <col min="42" max="42" width="17.140625" bestFit="1" customWidth="1"/>
  </cols>
  <sheetData>
    <row r="1" spans="2:40" ht="15.75" thickBot="1" x14ac:dyDescent="0.3"/>
    <row r="2" spans="2:40" ht="21" thickBot="1" x14ac:dyDescent="0.3">
      <c r="B2" s="489" t="s">
        <v>1103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1"/>
    </row>
    <row r="3" spans="2:40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2"/>
      <c r="R3" s="12"/>
      <c r="S3" s="12"/>
      <c r="T3" s="12"/>
      <c r="U3" s="12"/>
      <c r="V3" s="13" t="s">
        <v>512</v>
      </c>
      <c r="W3" s="345" t="s">
        <v>513</v>
      </c>
      <c r="X3" s="15" t="s">
        <v>514</v>
      </c>
      <c r="Y3" s="15"/>
      <c r="Z3" s="15"/>
      <c r="AA3" s="15"/>
      <c r="AB3" s="15"/>
      <c r="AC3" s="15"/>
      <c r="AD3" s="15"/>
      <c r="AE3" s="15"/>
      <c r="AF3" s="15"/>
      <c r="AG3" s="15"/>
      <c r="AH3" s="472"/>
      <c r="AI3" s="472"/>
      <c r="AJ3" s="472"/>
      <c r="AK3" s="472"/>
      <c r="AL3" s="472"/>
      <c r="AM3" s="472"/>
      <c r="AN3" s="473"/>
    </row>
    <row r="4" spans="2:40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379"/>
      <c r="P4" s="379"/>
      <c r="Q4" s="379"/>
      <c r="R4" s="379"/>
      <c r="S4" s="379"/>
      <c r="T4" s="379"/>
      <c r="U4" s="379"/>
      <c r="V4" s="16" t="s">
        <v>544</v>
      </c>
      <c r="W4" s="80" t="s">
        <v>555</v>
      </c>
      <c r="X4" s="494">
        <v>1240378.43</v>
      </c>
      <c r="Y4" s="495"/>
      <c r="Z4" s="495"/>
      <c r="AA4" s="495"/>
      <c r="AB4" s="495"/>
      <c r="AC4" s="495"/>
      <c r="AD4" s="495"/>
      <c r="AE4" s="495"/>
      <c r="AF4" s="381"/>
      <c r="AG4" s="381"/>
      <c r="AH4" s="474"/>
      <c r="AI4" s="474"/>
      <c r="AJ4" s="474"/>
      <c r="AK4" s="474"/>
      <c r="AL4" s="474"/>
      <c r="AM4" s="474"/>
      <c r="AN4" s="475"/>
    </row>
    <row r="5" spans="2:40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8"/>
      <c r="R5" s="18"/>
      <c r="S5" s="18"/>
      <c r="T5" s="18"/>
      <c r="U5" s="18"/>
      <c r="V5" s="19" t="s">
        <v>517</v>
      </c>
      <c r="W5" s="22"/>
      <c r="X5" s="21"/>
      <c r="Y5" s="21"/>
      <c r="Z5" s="21"/>
      <c r="AA5" s="21"/>
      <c r="AB5" s="21"/>
      <c r="AC5" s="21"/>
      <c r="AD5" s="21"/>
      <c r="AE5" s="21"/>
      <c r="AF5" s="21"/>
      <c r="AG5" s="409"/>
      <c r="AH5" s="474"/>
      <c r="AI5" s="474"/>
      <c r="AJ5" s="474"/>
      <c r="AK5" s="474"/>
      <c r="AL5" s="474"/>
      <c r="AM5" s="474"/>
      <c r="AN5" s="475"/>
    </row>
    <row r="6" spans="2:40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379"/>
      <c r="P6" s="379"/>
      <c r="Q6" s="379"/>
      <c r="R6" s="379"/>
      <c r="S6" s="379"/>
      <c r="T6" s="379"/>
      <c r="U6" s="379"/>
      <c r="V6" s="498" t="s">
        <v>592</v>
      </c>
      <c r="W6" s="499"/>
      <c r="X6" s="499"/>
      <c r="Y6" s="499"/>
      <c r="Z6" s="499"/>
      <c r="AA6" s="499"/>
      <c r="AB6" s="499"/>
      <c r="AC6" s="499"/>
      <c r="AD6" s="499"/>
      <c r="AE6" s="499"/>
      <c r="AF6" s="382"/>
      <c r="AG6" s="382"/>
      <c r="AH6" s="474"/>
      <c r="AI6" s="474"/>
      <c r="AJ6" s="474"/>
      <c r="AK6" s="474"/>
      <c r="AL6" s="474"/>
      <c r="AM6" s="474"/>
      <c r="AN6" s="475"/>
    </row>
    <row r="7" spans="2:40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19"/>
      <c r="R7" s="19"/>
      <c r="S7" s="19"/>
      <c r="T7" s="19"/>
      <c r="U7" s="19"/>
      <c r="V7" s="19"/>
      <c r="W7" s="22"/>
      <c r="X7" s="21" t="s">
        <v>524</v>
      </c>
      <c r="Y7" s="21"/>
      <c r="Z7" s="21"/>
      <c r="AA7" s="21"/>
      <c r="AB7" s="21"/>
      <c r="AC7" s="21"/>
      <c r="AD7" s="21"/>
      <c r="AE7" s="21"/>
      <c r="AF7" s="21"/>
      <c r="AG7" s="409"/>
      <c r="AH7" s="474"/>
      <c r="AI7" s="474"/>
      <c r="AJ7" s="474"/>
      <c r="AK7" s="474"/>
      <c r="AL7" s="474"/>
      <c r="AM7" s="474"/>
      <c r="AN7" s="475"/>
    </row>
    <row r="8" spans="2:40" ht="17.25" thickBot="1" x14ac:dyDescent="0.3">
      <c r="B8" s="500">
        <v>46090</v>
      </c>
      <c r="C8" s="501"/>
      <c r="D8" s="23" t="s">
        <v>1105</v>
      </c>
      <c r="E8" s="140">
        <f>AL209</f>
        <v>62180.25</v>
      </c>
      <c r="F8" s="138"/>
      <c r="G8" s="139"/>
      <c r="H8" s="141">
        <f>AM209-E8</f>
        <v>1020708.1171054498</v>
      </c>
      <c r="I8" s="142"/>
      <c r="J8" s="142">
        <f>AM209-E8</f>
        <v>1020708.1171054498</v>
      </c>
      <c r="K8" s="142"/>
      <c r="L8" s="142"/>
      <c r="M8" s="142"/>
      <c r="N8" s="142"/>
      <c r="O8" s="142"/>
      <c r="P8" s="142">
        <f>AM209-E8</f>
        <v>1020708.1171054498</v>
      </c>
      <c r="Q8" s="142"/>
      <c r="R8" s="142"/>
      <c r="S8" s="142"/>
      <c r="T8" s="142"/>
      <c r="U8" s="142"/>
      <c r="V8" s="142"/>
      <c r="W8" s="410"/>
      <c r="X8" s="502" t="s">
        <v>1102</v>
      </c>
      <c r="Y8" s="503"/>
      <c r="Z8" s="503"/>
      <c r="AA8" s="503"/>
      <c r="AB8" s="503"/>
      <c r="AC8" s="503"/>
      <c r="AD8" s="503"/>
      <c r="AE8" s="503"/>
      <c r="AF8" s="380"/>
      <c r="AG8" s="380"/>
      <c r="AH8" s="476"/>
      <c r="AI8" s="476"/>
      <c r="AJ8" s="476"/>
      <c r="AK8" s="476"/>
      <c r="AL8" s="476"/>
      <c r="AM8" s="476"/>
      <c r="AN8" s="477"/>
    </row>
    <row r="9" spans="2:40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7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</row>
    <row r="10" spans="2:40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543</v>
      </c>
      <c r="G10" s="487" t="s">
        <v>530</v>
      </c>
      <c r="H10" s="488"/>
      <c r="I10" s="488"/>
      <c r="J10" s="488"/>
      <c r="K10" s="488"/>
      <c r="L10" s="488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79" t="s">
        <v>531</v>
      </c>
      <c r="Y10" s="480"/>
      <c r="Z10" s="480"/>
      <c r="AA10" s="480"/>
      <c r="AB10" s="480"/>
      <c r="AC10" s="480"/>
      <c r="AD10" s="480"/>
      <c r="AE10" s="480"/>
      <c r="AF10" s="480"/>
      <c r="AG10" s="480"/>
      <c r="AH10" s="480"/>
      <c r="AI10" s="480"/>
      <c r="AJ10" s="480"/>
      <c r="AK10" s="480"/>
      <c r="AL10" s="480"/>
      <c r="AM10" s="481"/>
      <c r="AN10" s="482"/>
    </row>
    <row r="11" spans="2:40" ht="18" x14ac:dyDescent="0.25">
      <c r="B11" s="505"/>
      <c r="C11" s="505"/>
      <c r="D11" s="507"/>
      <c r="E11" s="505"/>
      <c r="F11" s="50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33" t="s">
        <v>1016</v>
      </c>
      <c r="R11" s="33" t="s">
        <v>1086</v>
      </c>
      <c r="S11" s="33" t="s">
        <v>1095</v>
      </c>
      <c r="T11" s="33" t="s">
        <v>1099</v>
      </c>
      <c r="U11" s="33" t="s">
        <v>1101</v>
      </c>
      <c r="V11" s="34" t="s">
        <v>540</v>
      </c>
      <c r="W11" s="34" t="s">
        <v>541</v>
      </c>
      <c r="X11" s="35" t="s">
        <v>532</v>
      </c>
      <c r="Y11" s="36" t="s">
        <v>593</v>
      </c>
      <c r="Z11" s="36" t="s">
        <v>534</v>
      </c>
      <c r="AA11" s="37" t="s">
        <v>535</v>
      </c>
      <c r="AB11" s="37" t="s">
        <v>536</v>
      </c>
      <c r="AC11" s="37" t="s">
        <v>537</v>
      </c>
      <c r="AD11" s="37" t="s">
        <v>538</v>
      </c>
      <c r="AE11" s="37" t="s">
        <v>539</v>
      </c>
      <c r="AF11" s="37" t="s">
        <v>988</v>
      </c>
      <c r="AG11" s="37" t="s">
        <v>989</v>
      </c>
      <c r="AH11" s="37" t="s">
        <v>1016</v>
      </c>
      <c r="AI11" s="37" t="s">
        <v>1086</v>
      </c>
      <c r="AJ11" s="37" t="s">
        <v>1095</v>
      </c>
      <c r="AK11" s="37" t="s">
        <v>1099</v>
      </c>
      <c r="AL11" s="37" t="s">
        <v>1101</v>
      </c>
      <c r="AM11" s="38" t="s">
        <v>540</v>
      </c>
      <c r="AN11" s="39" t="s">
        <v>541</v>
      </c>
    </row>
    <row r="12" spans="2:40" ht="14.45" customHeight="1" x14ac:dyDescent="0.25">
      <c r="B12" s="433">
        <v>1</v>
      </c>
      <c r="C12" s="434" t="s">
        <v>10</v>
      </c>
      <c r="D12" s="435"/>
      <c r="E12" s="436"/>
      <c r="F12" s="436"/>
      <c r="G12" s="279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6"/>
      <c r="V12" s="437"/>
      <c r="W12" s="437"/>
      <c r="X12" s="438"/>
      <c r="Y12" s="439"/>
      <c r="Z12" s="439"/>
      <c r="AA12" s="439"/>
      <c r="AB12" s="439"/>
      <c r="AC12" s="439"/>
      <c r="AD12" s="439"/>
      <c r="AE12" s="438"/>
      <c r="AF12" s="438"/>
      <c r="AG12" s="438"/>
      <c r="AH12" s="438"/>
      <c r="AI12" s="438"/>
      <c r="AJ12" s="438"/>
      <c r="AK12" s="438"/>
      <c r="AL12" s="438"/>
      <c r="AM12" s="438"/>
      <c r="AN12" s="440"/>
    </row>
    <row r="13" spans="2:40" x14ac:dyDescent="0.25">
      <c r="B13" s="433">
        <v>1.1000000000000001</v>
      </c>
      <c r="C13" s="434" t="s">
        <v>12</v>
      </c>
      <c r="D13" s="435"/>
      <c r="E13" s="436"/>
      <c r="F13" s="436"/>
      <c r="G13" s="441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7"/>
      <c r="W13" s="437"/>
      <c r="X13" s="438"/>
      <c r="Y13" s="439"/>
      <c r="Z13" s="439"/>
      <c r="AA13" s="439"/>
      <c r="AB13" s="439"/>
      <c r="AC13" s="439"/>
      <c r="AD13" s="439"/>
      <c r="AE13" s="438"/>
      <c r="AF13" s="438"/>
      <c r="AG13" s="438"/>
      <c r="AH13" s="438"/>
      <c r="AI13" s="438"/>
      <c r="AJ13" s="438"/>
      <c r="AK13" s="438"/>
      <c r="AL13" s="438"/>
      <c r="AM13" s="438"/>
      <c r="AN13" s="440"/>
    </row>
    <row r="14" spans="2:40" ht="22.5" x14ac:dyDescent="0.25">
      <c r="B14" s="384" t="s">
        <v>13</v>
      </c>
      <c r="C14" s="442" t="s">
        <v>14</v>
      </c>
      <c r="D14" s="386" t="s">
        <v>15</v>
      </c>
      <c r="E14" s="387" t="s">
        <v>17</v>
      </c>
      <c r="F14" s="387">
        <v>414.1</v>
      </c>
      <c r="G14" s="387">
        <v>6</v>
      </c>
      <c r="H14" s="443">
        <f>'MEMORIAL DE CALCULO 01'!K14</f>
        <v>6</v>
      </c>
      <c r="I14" s="443"/>
      <c r="J14" s="443"/>
      <c r="K14" s="444"/>
      <c r="L14" s="444"/>
      <c r="M14" s="444"/>
      <c r="N14" s="387"/>
      <c r="O14" s="387"/>
      <c r="P14" s="444"/>
      <c r="Q14" s="444"/>
      <c r="R14" s="444">
        <v>0</v>
      </c>
      <c r="S14" s="444">
        <v>0</v>
      </c>
      <c r="T14" s="444">
        <v>0</v>
      </c>
      <c r="U14" s="444">
        <f>VLOOKUP(B14,'MEMÓRIA MEDIÇÃO 14'!$A$8:$F$202,6,FALSE)</f>
        <v>0</v>
      </c>
      <c r="V14" s="387">
        <f>H14+I14+J14+K14+L14+M14+N14+O14+P14+Q14+R14+S14+T14+U14</f>
        <v>6</v>
      </c>
      <c r="W14" s="387">
        <f t="shared" ref="W14:W19" si="0">G14-V14</f>
        <v>0</v>
      </c>
      <c r="X14" s="387">
        <f>TRUNC(F14*G14,2)</f>
        <v>2484.6</v>
      </c>
      <c r="Y14" s="346">
        <f t="shared" ref="Y14:Y45" si="1">F14*H14</f>
        <v>2484.6000000000004</v>
      </c>
      <c r="Z14" s="346">
        <f t="shared" ref="Z14:Z45" si="2">F14*I14</f>
        <v>0</v>
      </c>
      <c r="AA14" s="346">
        <f>TRUNC(F14*J14,2)</f>
        <v>0</v>
      </c>
      <c r="AB14" s="346">
        <f t="shared" ref="AB14:AB45" si="3">TRUNC(F14*K14,2)</f>
        <v>0</v>
      </c>
      <c r="AC14" s="346">
        <f t="shared" ref="AC14:AC45" si="4">TRUNC(F14*L14,2)</f>
        <v>0</v>
      </c>
      <c r="AD14" s="346">
        <f t="shared" ref="AD14:AD59" si="5">M14*F14</f>
        <v>0</v>
      </c>
      <c r="AE14" s="346">
        <f>TRUNC(F14*N14,2)</f>
        <v>0</v>
      </c>
      <c r="AF14" s="346">
        <f t="shared" ref="AF14:AF45" si="6">TRUNC(F14*O14,2)</f>
        <v>0</v>
      </c>
      <c r="AG14" s="346">
        <f t="shared" ref="AG14:AG45" si="7">TRUNC(F14*P14,2)</f>
        <v>0</v>
      </c>
      <c r="AH14" s="346">
        <f t="shared" ref="AH14:AH45" si="8">TRUNC(F14*Q14,2)</f>
        <v>0</v>
      </c>
      <c r="AI14" s="346">
        <f t="shared" ref="AI14:AI45" si="9">ROUND(R14*F14,2)</f>
        <v>0</v>
      </c>
      <c r="AJ14" s="346">
        <f t="shared" ref="AJ14:AJ45" si="10">ROUND(S14*F14,2)</f>
        <v>0</v>
      </c>
      <c r="AK14" s="346">
        <f>ROUND(T14*F14,2)</f>
        <v>0</v>
      </c>
      <c r="AL14" s="346">
        <f t="shared" ref="AL14:AL45" si="11">ROUND(U14*F14,2)</f>
        <v>0</v>
      </c>
      <c r="AM14" s="445">
        <f>Y14+Z14+AA14+AB14+AC14+AD14+AE14+AF14+AG14+AH14+AI14+AJ14+AK14+AL14</f>
        <v>2484.6000000000004</v>
      </c>
      <c r="AN14" s="446">
        <f>X14-AM14</f>
        <v>0</v>
      </c>
    </row>
    <row r="15" spans="2:40" ht="22.5" x14ac:dyDescent="0.25">
      <c r="B15" s="384" t="s">
        <v>18</v>
      </c>
      <c r="C15" s="442">
        <v>93209</v>
      </c>
      <c r="D15" s="386" t="s">
        <v>20</v>
      </c>
      <c r="E15" s="387" t="s">
        <v>17</v>
      </c>
      <c r="F15" s="387">
        <v>947.21</v>
      </c>
      <c r="G15" s="387">
        <v>5</v>
      </c>
      <c r="H15" s="443">
        <v>2.25</v>
      </c>
      <c r="I15" s="443">
        <f>'MEMORIAL DE CALCULO 02'!K15</f>
        <v>2.75</v>
      </c>
      <c r="J15" s="443"/>
      <c r="K15" s="444"/>
      <c r="L15" s="444"/>
      <c r="M15" s="444"/>
      <c r="N15" s="387"/>
      <c r="O15" s="387"/>
      <c r="P15" s="444"/>
      <c r="Q15" s="444"/>
      <c r="R15" s="444">
        <v>0</v>
      </c>
      <c r="S15" s="444">
        <v>0</v>
      </c>
      <c r="T15" s="444">
        <v>0</v>
      </c>
      <c r="U15" s="444">
        <f>VLOOKUP(B15,'MEMÓRIA MEDIÇÃO 14'!$A$8:$F$202,6,FALSE)</f>
        <v>0</v>
      </c>
      <c r="V15" s="387">
        <f t="shared" ref="V15:V78" si="12">H15+I15+J15+K15+L15+M15+N15+O15+P15+Q15+R15+S15+T15+U15</f>
        <v>5</v>
      </c>
      <c r="W15" s="387">
        <f t="shared" si="0"/>
        <v>0</v>
      </c>
      <c r="X15" s="387">
        <f>F15*G15</f>
        <v>4736.05</v>
      </c>
      <c r="Y15" s="346">
        <f t="shared" si="1"/>
        <v>2131.2224999999999</v>
      </c>
      <c r="Z15" s="346">
        <f t="shared" si="2"/>
        <v>2604.8275000000003</v>
      </c>
      <c r="AA15" s="346">
        <f t="shared" ref="AA15:AA25" si="13">F15*J15</f>
        <v>0</v>
      </c>
      <c r="AB15" s="346">
        <f t="shared" si="3"/>
        <v>0</v>
      </c>
      <c r="AC15" s="346">
        <f t="shared" si="4"/>
        <v>0</v>
      </c>
      <c r="AD15" s="346">
        <f t="shared" si="5"/>
        <v>0</v>
      </c>
      <c r="AE15" s="346">
        <f t="shared" ref="AE15:AE46" si="14">F15*N15</f>
        <v>0</v>
      </c>
      <c r="AF15" s="346">
        <f t="shared" si="6"/>
        <v>0</v>
      </c>
      <c r="AG15" s="346">
        <f t="shared" si="7"/>
        <v>0</v>
      </c>
      <c r="AH15" s="346">
        <f t="shared" si="8"/>
        <v>0</v>
      </c>
      <c r="AI15" s="346">
        <f t="shared" si="9"/>
        <v>0</v>
      </c>
      <c r="AJ15" s="346">
        <f t="shared" si="10"/>
        <v>0</v>
      </c>
      <c r="AK15" s="346">
        <f t="shared" ref="AK15:AK78" si="15">ROUND(T15*F15,2)</f>
        <v>0</v>
      </c>
      <c r="AL15" s="346">
        <f t="shared" si="11"/>
        <v>0</v>
      </c>
      <c r="AM15" s="445">
        <f t="shared" ref="AM15:AM78" si="16">Y15+Z15+AA15+AB15+AC15+AD15+AE15+AF15+AG15+AH15+AI15+AJ15+AK15+AL15</f>
        <v>4736.05</v>
      </c>
      <c r="AN15" s="446">
        <f t="shared" ref="AN15:AN78" si="17">X15-AM15</f>
        <v>0</v>
      </c>
    </row>
    <row r="16" spans="2:40" ht="33.75" x14ac:dyDescent="0.25">
      <c r="B16" s="384" t="s">
        <v>22</v>
      </c>
      <c r="C16" s="442">
        <v>93206</v>
      </c>
      <c r="D16" s="386" t="s">
        <v>23</v>
      </c>
      <c r="E16" s="387" t="s">
        <v>17</v>
      </c>
      <c r="F16" s="387">
        <v>1086.7</v>
      </c>
      <c r="G16" s="387">
        <v>5</v>
      </c>
      <c r="H16" s="443">
        <v>2.25</v>
      </c>
      <c r="I16" s="443">
        <f>'MEMORIAL DE CALCULO 02'!K16</f>
        <v>2.75</v>
      </c>
      <c r="J16" s="443"/>
      <c r="K16" s="444"/>
      <c r="L16" s="444"/>
      <c r="M16" s="444"/>
      <c r="N16" s="387"/>
      <c r="O16" s="387"/>
      <c r="P16" s="444"/>
      <c r="Q16" s="444"/>
      <c r="R16" s="444">
        <v>0</v>
      </c>
      <c r="S16" s="444">
        <v>0</v>
      </c>
      <c r="T16" s="444">
        <v>0</v>
      </c>
      <c r="U16" s="444">
        <f>VLOOKUP(B16,'MEMÓRIA MEDIÇÃO 14'!$A$8:$F$202,6,FALSE)</f>
        <v>0</v>
      </c>
      <c r="V16" s="387">
        <f t="shared" si="12"/>
        <v>5</v>
      </c>
      <c r="W16" s="387">
        <f t="shared" si="0"/>
        <v>0</v>
      </c>
      <c r="X16" s="387">
        <f>F16*G16</f>
        <v>5433.5</v>
      </c>
      <c r="Y16" s="346">
        <f t="shared" si="1"/>
        <v>2445.0750000000003</v>
      </c>
      <c r="Z16" s="346">
        <f t="shared" si="2"/>
        <v>2988.4250000000002</v>
      </c>
      <c r="AA16" s="346">
        <f t="shared" si="13"/>
        <v>0</v>
      </c>
      <c r="AB16" s="346">
        <f t="shared" si="3"/>
        <v>0</v>
      </c>
      <c r="AC16" s="346">
        <f t="shared" si="4"/>
        <v>0</v>
      </c>
      <c r="AD16" s="346">
        <f t="shared" si="5"/>
        <v>0</v>
      </c>
      <c r="AE16" s="346">
        <f t="shared" si="14"/>
        <v>0</v>
      </c>
      <c r="AF16" s="346">
        <f t="shared" si="6"/>
        <v>0</v>
      </c>
      <c r="AG16" s="346">
        <f t="shared" si="7"/>
        <v>0</v>
      </c>
      <c r="AH16" s="346">
        <f t="shared" si="8"/>
        <v>0</v>
      </c>
      <c r="AI16" s="346">
        <f t="shared" si="9"/>
        <v>0</v>
      </c>
      <c r="AJ16" s="346">
        <f t="shared" si="10"/>
        <v>0</v>
      </c>
      <c r="AK16" s="346">
        <f t="shared" si="15"/>
        <v>0</v>
      </c>
      <c r="AL16" s="346">
        <f t="shared" si="11"/>
        <v>0</v>
      </c>
      <c r="AM16" s="445">
        <f t="shared" si="16"/>
        <v>5433.5</v>
      </c>
      <c r="AN16" s="446">
        <f t="shared" si="17"/>
        <v>0</v>
      </c>
    </row>
    <row r="17" spans="1:43" ht="22.5" x14ac:dyDescent="0.25">
      <c r="B17" s="384" t="s">
        <v>24</v>
      </c>
      <c r="C17" s="442" t="s">
        <v>25</v>
      </c>
      <c r="D17" s="386" t="s">
        <v>26</v>
      </c>
      <c r="E17" s="387" t="s">
        <v>17</v>
      </c>
      <c r="F17" s="387">
        <v>102.24</v>
      </c>
      <c r="G17" s="387">
        <v>277.39999999999998</v>
      </c>
      <c r="H17" s="443">
        <v>258.39999999999998</v>
      </c>
      <c r="I17" s="443">
        <f>'MEMORIAL DE CALCULO 02'!K17</f>
        <v>19</v>
      </c>
      <c r="J17" s="443"/>
      <c r="K17" s="444"/>
      <c r="L17" s="444"/>
      <c r="M17" s="444"/>
      <c r="N17" s="387"/>
      <c r="O17" s="387"/>
      <c r="P17" s="444"/>
      <c r="Q17" s="444"/>
      <c r="R17" s="444">
        <v>0</v>
      </c>
      <c r="S17" s="444">
        <v>0</v>
      </c>
      <c r="T17" s="444">
        <v>0</v>
      </c>
      <c r="U17" s="444">
        <f>VLOOKUP(B17,'MEMÓRIA MEDIÇÃO 14'!$A$8:$F$202,6,FALSE)</f>
        <v>0</v>
      </c>
      <c r="V17" s="387">
        <f t="shared" si="12"/>
        <v>277.39999999999998</v>
      </c>
      <c r="W17" s="387">
        <f t="shared" si="0"/>
        <v>0</v>
      </c>
      <c r="X17" s="387">
        <f>F17*G17</f>
        <v>28361.375999999997</v>
      </c>
      <c r="Y17" s="346">
        <f t="shared" si="1"/>
        <v>26418.815999999995</v>
      </c>
      <c r="Z17" s="346">
        <f t="shared" si="2"/>
        <v>1942.56</v>
      </c>
      <c r="AA17" s="346">
        <f t="shared" si="13"/>
        <v>0</v>
      </c>
      <c r="AB17" s="346">
        <f t="shared" si="3"/>
        <v>0</v>
      </c>
      <c r="AC17" s="346">
        <f t="shared" si="4"/>
        <v>0</v>
      </c>
      <c r="AD17" s="346">
        <f t="shared" si="5"/>
        <v>0</v>
      </c>
      <c r="AE17" s="346">
        <f t="shared" si="14"/>
        <v>0</v>
      </c>
      <c r="AF17" s="346">
        <f t="shared" si="6"/>
        <v>0</v>
      </c>
      <c r="AG17" s="346">
        <f t="shared" si="7"/>
        <v>0</v>
      </c>
      <c r="AH17" s="346">
        <f t="shared" si="8"/>
        <v>0</v>
      </c>
      <c r="AI17" s="346">
        <f t="shared" si="9"/>
        <v>0</v>
      </c>
      <c r="AJ17" s="346">
        <f t="shared" si="10"/>
        <v>0</v>
      </c>
      <c r="AK17" s="346">
        <f t="shared" si="15"/>
        <v>0</v>
      </c>
      <c r="AL17" s="346">
        <f t="shared" si="11"/>
        <v>0</v>
      </c>
      <c r="AM17" s="445">
        <f t="shared" si="16"/>
        <v>28361.375999999997</v>
      </c>
      <c r="AN17" s="446">
        <f t="shared" si="17"/>
        <v>0</v>
      </c>
    </row>
    <row r="18" spans="1:43" s="164" customFormat="1" ht="22.5" x14ac:dyDescent="0.25">
      <c r="B18" s="384" t="s">
        <v>27</v>
      </c>
      <c r="C18" s="442">
        <v>98524</v>
      </c>
      <c r="D18" s="386" t="s">
        <v>28</v>
      </c>
      <c r="E18" s="387" t="s">
        <v>17</v>
      </c>
      <c r="F18" s="387">
        <v>2.29</v>
      </c>
      <c r="G18" s="387">
        <v>0</v>
      </c>
      <c r="H18" s="443"/>
      <c r="I18" s="443"/>
      <c r="J18" s="443"/>
      <c r="K18" s="444"/>
      <c r="L18" s="444"/>
      <c r="M18" s="444"/>
      <c r="N18" s="387"/>
      <c r="O18" s="387"/>
      <c r="P18" s="444"/>
      <c r="Q18" s="444"/>
      <c r="R18" s="444">
        <v>0</v>
      </c>
      <c r="S18" s="444">
        <v>0</v>
      </c>
      <c r="T18" s="444">
        <v>0</v>
      </c>
      <c r="U18" s="444">
        <f>VLOOKUP(B18,'MEMÓRIA MEDIÇÃO 14'!$A$8:$F$202,6,FALSE)</f>
        <v>0</v>
      </c>
      <c r="V18" s="387">
        <f t="shared" si="12"/>
        <v>0</v>
      </c>
      <c r="W18" s="387">
        <f t="shared" si="0"/>
        <v>0</v>
      </c>
      <c r="X18" s="387">
        <f>F18*G18</f>
        <v>0</v>
      </c>
      <c r="Y18" s="346">
        <f t="shared" si="1"/>
        <v>0</v>
      </c>
      <c r="Z18" s="346">
        <f t="shared" si="2"/>
        <v>0</v>
      </c>
      <c r="AA18" s="346">
        <f t="shared" si="13"/>
        <v>0</v>
      </c>
      <c r="AB18" s="346">
        <f t="shared" si="3"/>
        <v>0</v>
      </c>
      <c r="AC18" s="346">
        <f t="shared" si="4"/>
        <v>0</v>
      </c>
      <c r="AD18" s="346">
        <f t="shared" si="5"/>
        <v>0</v>
      </c>
      <c r="AE18" s="346">
        <f t="shared" si="14"/>
        <v>0</v>
      </c>
      <c r="AF18" s="346">
        <f t="shared" si="6"/>
        <v>0</v>
      </c>
      <c r="AG18" s="346">
        <f t="shared" si="7"/>
        <v>0</v>
      </c>
      <c r="AH18" s="346">
        <f t="shared" si="8"/>
        <v>0</v>
      </c>
      <c r="AI18" s="346">
        <f t="shared" si="9"/>
        <v>0</v>
      </c>
      <c r="AJ18" s="346">
        <f t="shared" si="10"/>
        <v>0</v>
      </c>
      <c r="AK18" s="346">
        <f t="shared" si="15"/>
        <v>0</v>
      </c>
      <c r="AL18" s="346">
        <f t="shared" si="11"/>
        <v>0</v>
      </c>
      <c r="AM18" s="445">
        <f t="shared" si="16"/>
        <v>0</v>
      </c>
      <c r="AN18" s="446">
        <f t="shared" si="17"/>
        <v>0</v>
      </c>
    </row>
    <row r="19" spans="1:43" s="164" customFormat="1" ht="22.5" x14ac:dyDescent="0.25">
      <c r="B19" s="384" t="s">
        <v>29</v>
      </c>
      <c r="C19" s="385">
        <v>100575</v>
      </c>
      <c r="D19" s="386" t="s">
        <v>31</v>
      </c>
      <c r="E19" s="387" t="s">
        <v>17</v>
      </c>
      <c r="F19" s="387">
        <v>0.12</v>
      </c>
      <c r="G19" s="387">
        <v>1430.2</v>
      </c>
      <c r="H19" s="443"/>
      <c r="I19" s="443"/>
      <c r="J19" s="443"/>
      <c r="K19" s="444"/>
      <c r="L19" s="444"/>
      <c r="M19" s="444"/>
      <c r="N19" s="387"/>
      <c r="O19" s="387"/>
      <c r="P19" s="444"/>
      <c r="Q19" s="444"/>
      <c r="R19" s="444">
        <v>0</v>
      </c>
      <c r="S19" s="444">
        <v>0</v>
      </c>
      <c r="T19" s="444">
        <v>0</v>
      </c>
      <c r="U19" s="444">
        <f>VLOOKUP(B19,'MEMÓRIA MEDIÇÃO 14'!$A$8:$F$202,6,FALSE)</f>
        <v>0</v>
      </c>
      <c r="V19" s="387">
        <f t="shared" si="12"/>
        <v>0</v>
      </c>
      <c r="W19" s="387">
        <f t="shared" si="0"/>
        <v>1430.2</v>
      </c>
      <c r="X19" s="387">
        <f>F19*G19</f>
        <v>171.624</v>
      </c>
      <c r="Y19" s="346">
        <f t="shared" si="1"/>
        <v>0</v>
      </c>
      <c r="Z19" s="346">
        <f t="shared" si="2"/>
        <v>0</v>
      </c>
      <c r="AA19" s="346">
        <f t="shared" si="13"/>
        <v>0</v>
      </c>
      <c r="AB19" s="346">
        <f t="shared" si="3"/>
        <v>0</v>
      </c>
      <c r="AC19" s="346">
        <f t="shared" si="4"/>
        <v>0</v>
      </c>
      <c r="AD19" s="346">
        <f t="shared" si="5"/>
        <v>0</v>
      </c>
      <c r="AE19" s="346">
        <f t="shared" si="14"/>
        <v>0</v>
      </c>
      <c r="AF19" s="346">
        <f t="shared" si="6"/>
        <v>0</v>
      </c>
      <c r="AG19" s="346">
        <f t="shared" si="7"/>
        <v>0</v>
      </c>
      <c r="AH19" s="346">
        <f t="shared" si="8"/>
        <v>0</v>
      </c>
      <c r="AI19" s="346">
        <f t="shared" si="9"/>
        <v>0</v>
      </c>
      <c r="AJ19" s="346">
        <f t="shared" si="10"/>
        <v>0</v>
      </c>
      <c r="AK19" s="346">
        <f t="shared" si="15"/>
        <v>0</v>
      </c>
      <c r="AL19" s="346">
        <f t="shared" si="11"/>
        <v>0</v>
      </c>
      <c r="AM19" s="445">
        <f t="shared" si="16"/>
        <v>0</v>
      </c>
      <c r="AN19" s="446">
        <f t="shared" si="17"/>
        <v>171.624</v>
      </c>
    </row>
    <row r="20" spans="1:43" ht="14.45" customHeight="1" x14ac:dyDescent="0.25">
      <c r="B20" s="347" t="s">
        <v>32</v>
      </c>
      <c r="C20" s="348" t="s">
        <v>33</v>
      </c>
      <c r="D20" s="386"/>
      <c r="E20" s="387"/>
      <c r="F20" s="387"/>
      <c r="G20" s="387"/>
      <c r="H20" s="443"/>
      <c r="I20" s="443"/>
      <c r="J20" s="443"/>
      <c r="K20" s="444"/>
      <c r="L20" s="444"/>
      <c r="M20" s="444"/>
      <c r="N20" s="387"/>
      <c r="O20" s="387"/>
      <c r="P20" s="444"/>
      <c r="Q20" s="444"/>
      <c r="R20" s="444">
        <v>0</v>
      </c>
      <c r="S20" s="444">
        <v>0</v>
      </c>
      <c r="T20" s="444">
        <v>0</v>
      </c>
      <c r="U20" s="444">
        <f>VLOOKUP(B20,'MEMÓRIA MEDIÇÃO 14'!$A$8:$F$202,6,FALSE)</f>
        <v>0</v>
      </c>
      <c r="V20" s="387">
        <f t="shared" si="12"/>
        <v>0</v>
      </c>
      <c r="W20" s="387"/>
      <c r="X20" s="387"/>
      <c r="Y20" s="346">
        <f t="shared" si="1"/>
        <v>0</v>
      </c>
      <c r="Z20" s="346">
        <f t="shared" si="2"/>
        <v>0</v>
      </c>
      <c r="AA20" s="346">
        <f t="shared" si="13"/>
        <v>0</v>
      </c>
      <c r="AB20" s="346">
        <f t="shared" si="3"/>
        <v>0</v>
      </c>
      <c r="AC20" s="346">
        <f t="shared" si="4"/>
        <v>0</v>
      </c>
      <c r="AD20" s="346">
        <f t="shared" si="5"/>
        <v>0</v>
      </c>
      <c r="AE20" s="346">
        <f t="shared" si="14"/>
        <v>0</v>
      </c>
      <c r="AF20" s="346">
        <f t="shared" si="6"/>
        <v>0</v>
      </c>
      <c r="AG20" s="346">
        <f t="shared" si="7"/>
        <v>0</v>
      </c>
      <c r="AH20" s="346">
        <f t="shared" si="8"/>
        <v>0</v>
      </c>
      <c r="AI20" s="346">
        <f t="shared" si="9"/>
        <v>0</v>
      </c>
      <c r="AJ20" s="346">
        <f t="shared" si="10"/>
        <v>0</v>
      </c>
      <c r="AK20" s="346">
        <f t="shared" si="15"/>
        <v>0</v>
      </c>
      <c r="AL20" s="346">
        <f t="shared" si="11"/>
        <v>0</v>
      </c>
      <c r="AM20" s="445">
        <f t="shared" si="16"/>
        <v>0</v>
      </c>
      <c r="AN20" s="446">
        <f t="shared" si="17"/>
        <v>0</v>
      </c>
    </row>
    <row r="21" spans="1:43" ht="32.450000000000003" customHeight="1" x14ac:dyDescent="0.25">
      <c r="B21" s="384" t="s">
        <v>34</v>
      </c>
      <c r="C21" s="385">
        <v>99059</v>
      </c>
      <c r="D21" s="386" t="s">
        <v>36</v>
      </c>
      <c r="E21" s="387" t="s">
        <v>37</v>
      </c>
      <c r="F21" s="387">
        <v>52.4</v>
      </c>
      <c r="G21" s="387">
        <v>137.5</v>
      </c>
      <c r="H21" s="443">
        <f>'MEMORIAL DE CALCULO 01'!K22</f>
        <v>137.5</v>
      </c>
      <c r="I21" s="443"/>
      <c r="J21" s="443"/>
      <c r="K21" s="444"/>
      <c r="L21" s="444"/>
      <c r="M21" s="444"/>
      <c r="N21" s="387"/>
      <c r="O21" s="387"/>
      <c r="P21" s="444"/>
      <c r="Q21" s="444"/>
      <c r="R21" s="444">
        <v>0</v>
      </c>
      <c r="S21" s="444">
        <v>0</v>
      </c>
      <c r="T21" s="444">
        <v>0</v>
      </c>
      <c r="U21" s="444">
        <f>VLOOKUP(B21,'MEMÓRIA MEDIÇÃO 14'!$A$8:$F$202,6,FALSE)</f>
        <v>0</v>
      </c>
      <c r="V21" s="387">
        <f t="shared" si="12"/>
        <v>137.5</v>
      </c>
      <c r="W21" s="387">
        <f>G21-V21</f>
        <v>0</v>
      </c>
      <c r="X21" s="387">
        <f>F21*G21</f>
        <v>7205</v>
      </c>
      <c r="Y21" s="346">
        <f t="shared" si="1"/>
        <v>7205</v>
      </c>
      <c r="Z21" s="346">
        <f t="shared" si="2"/>
        <v>0</v>
      </c>
      <c r="AA21" s="346">
        <f t="shared" si="13"/>
        <v>0</v>
      </c>
      <c r="AB21" s="346">
        <f t="shared" si="3"/>
        <v>0</v>
      </c>
      <c r="AC21" s="346">
        <f t="shared" si="4"/>
        <v>0</v>
      </c>
      <c r="AD21" s="346">
        <f t="shared" si="5"/>
        <v>0</v>
      </c>
      <c r="AE21" s="346">
        <f t="shared" si="14"/>
        <v>0</v>
      </c>
      <c r="AF21" s="346">
        <f t="shared" si="6"/>
        <v>0</v>
      </c>
      <c r="AG21" s="346">
        <f t="shared" si="7"/>
        <v>0</v>
      </c>
      <c r="AH21" s="346">
        <f t="shared" si="8"/>
        <v>0</v>
      </c>
      <c r="AI21" s="346">
        <f t="shared" si="9"/>
        <v>0</v>
      </c>
      <c r="AJ21" s="346">
        <f t="shared" si="10"/>
        <v>0</v>
      </c>
      <c r="AK21" s="346">
        <f t="shared" si="15"/>
        <v>0</v>
      </c>
      <c r="AL21" s="346">
        <f t="shared" si="11"/>
        <v>0</v>
      </c>
      <c r="AM21" s="445">
        <f t="shared" si="16"/>
        <v>7205</v>
      </c>
      <c r="AN21" s="446">
        <f t="shared" si="17"/>
        <v>0</v>
      </c>
    </row>
    <row r="22" spans="1:43" s="168" customFormat="1" ht="22.5" x14ac:dyDescent="0.25">
      <c r="A22" s="163"/>
      <c r="B22" s="447" t="s">
        <v>38</v>
      </c>
      <c r="C22" s="385">
        <v>93358</v>
      </c>
      <c r="D22" s="386" t="s">
        <v>40</v>
      </c>
      <c r="E22" s="387" t="s">
        <v>41</v>
      </c>
      <c r="F22" s="387">
        <v>64.95</v>
      </c>
      <c r="G22" s="387">
        <v>89.01</v>
      </c>
      <c r="H22" s="443">
        <f>'MEMORIAL DE CALCULO 01'!K23</f>
        <v>69.939250000000001</v>
      </c>
      <c r="I22" s="443">
        <f>'MEMORIAL DE CALCULO 02'!K25</f>
        <v>1.2053699999999998</v>
      </c>
      <c r="J22" s="443">
        <f>'MEMORIAL DE CALCULO 03'!K25</f>
        <v>14.04</v>
      </c>
      <c r="K22" s="444"/>
      <c r="L22" s="444"/>
      <c r="M22" s="444"/>
      <c r="N22" s="387"/>
      <c r="O22" s="387"/>
      <c r="P22" s="444"/>
      <c r="Q22" s="444"/>
      <c r="R22" s="444">
        <v>0</v>
      </c>
      <c r="S22" s="444">
        <v>0</v>
      </c>
      <c r="T22" s="444">
        <v>0</v>
      </c>
      <c r="U22" s="444">
        <f>VLOOKUP(B22,'MEMÓRIA MEDIÇÃO 14'!$A$8:$F$202,6,FALSE)</f>
        <v>0</v>
      </c>
      <c r="V22" s="387">
        <f t="shared" si="12"/>
        <v>85.184619999999995</v>
      </c>
      <c r="W22" s="387">
        <f>G22-V22</f>
        <v>3.8253800000000098</v>
      </c>
      <c r="X22" s="387">
        <f>F22*G22</f>
        <v>5781.1995000000006</v>
      </c>
      <c r="Y22" s="346">
        <f t="shared" si="1"/>
        <v>4542.5542875000001</v>
      </c>
      <c r="Z22" s="346">
        <f t="shared" si="2"/>
        <v>78.288781499999999</v>
      </c>
      <c r="AA22" s="346">
        <f t="shared" si="13"/>
        <v>911.89800000000002</v>
      </c>
      <c r="AB22" s="346">
        <f t="shared" si="3"/>
        <v>0</v>
      </c>
      <c r="AC22" s="346">
        <f t="shared" si="4"/>
        <v>0</v>
      </c>
      <c r="AD22" s="346">
        <f t="shared" si="5"/>
        <v>0</v>
      </c>
      <c r="AE22" s="346">
        <f t="shared" si="14"/>
        <v>0</v>
      </c>
      <c r="AF22" s="346">
        <f t="shared" si="6"/>
        <v>0</v>
      </c>
      <c r="AG22" s="346">
        <f t="shared" si="7"/>
        <v>0</v>
      </c>
      <c r="AH22" s="346">
        <f t="shared" si="8"/>
        <v>0</v>
      </c>
      <c r="AI22" s="346">
        <f t="shared" si="9"/>
        <v>0</v>
      </c>
      <c r="AJ22" s="346">
        <f t="shared" si="10"/>
        <v>0</v>
      </c>
      <c r="AK22" s="346">
        <f t="shared" si="15"/>
        <v>0</v>
      </c>
      <c r="AL22" s="346">
        <f t="shared" si="11"/>
        <v>0</v>
      </c>
      <c r="AM22" s="445">
        <f t="shared" si="16"/>
        <v>5532.7410690000006</v>
      </c>
      <c r="AN22" s="446">
        <f t="shared" si="17"/>
        <v>248.45843100000002</v>
      </c>
      <c r="AO22" s="163"/>
      <c r="AP22" s="163"/>
      <c r="AQ22" s="163"/>
    </row>
    <row r="23" spans="1:43" s="168" customFormat="1" x14ac:dyDescent="0.25">
      <c r="A23" s="163"/>
      <c r="B23" s="384" t="s">
        <v>42</v>
      </c>
      <c r="C23" s="385">
        <v>96995</v>
      </c>
      <c r="D23" s="386" t="s">
        <v>44</v>
      </c>
      <c r="E23" s="387" t="s">
        <v>41</v>
      </c>
      <c r="F23" s="387">
        <v>39.369999999999997</v>
      </c>
      <c r="G23" s="387">
        <v>44.26</v>
      </c>
      <c r="H23" s="443"/>
      <c r="I23" s="443"/>
      <c r="J23" s="443">
        <f>'MEMORIAL DE CALCULO 03'!K68</f>
        <v>43.05</v>
      </c>
      <c r="K23" s="444"/>
      <c r="L23" s="444"/>
      <c r="M23" s="444"/>
      <c r="N23" s="387"/>
      <c r="O23" s="387"/>
      <c r="P23" s="444"/>
      <c r="Q23" s="444"/>
      <c r="R23" s="444">
        <v>0</v>
      </c>
      <c r="S23" s="444">
        <v>1.21</v>
      </c>
      <c r="T23" s="444">
        <v>0</v>
      </c>
      <c r="U23" s="444">
        <f>VLOOKUP(B23,'MEMÓRIA MEDIÇÃO 14'!$A$8:$F$202,6,FALSE)</f>
        <v>0</v>
      </c>
      <c r="V23" s="387">
        <f t="shared" si="12"/>
        <v>44.26</v>
      </c>
      <c r="W23" s="387">
        <f>G23-V23</f>
        <v>0</v>
      </c>
      <c r="X23" s="387">
        <f>F23*G23</f>
        <v>1742.5161999999998</v>
      </c>
      <c r="Y23" s="346">
        <f t="shared" si="1"/>
        <v>0</v>
      </c>
      <c r="Z23" s="346">
        <f t="shared" si="2"/>
        <v>0</v>
      </c>
      <c r="AA23" s="346">
        <f t="shared" si="13"/>
        <v>1694.8784999999998</v>
      </c>
      <c r="AB23" s="346">
        <f t="shared" si="3"/>
        <v>0</v>
      </c>
      <c r="AC23" s="346">
        <f t="shared" si="4"/>
        <v>0</v>
      </c>
      <c r="AD23" s="346">
        <f t="shared" si="5"/>
        <v>0</v>
      </c>
      <c r="AE23" s="346">
        <f t="shared" si="14"/>
        <v>0</v>
      </c>
      <c r="AF23" s="346">
        <f t="shared" si="6"/>
        <v>0</v>
      </c>
      <c r="AG23" s="346">
        <f t="shared" si="7"/>
        <v>0</v>
      </c>
      <c r="AH23" s="346">
        <f t="shared" si="8"/>
        <v>0</v>
      </c>
      <c r="AI23" s="346">
        <f t="shared" si="9"/>
        <v>0</v>
      </c>
      <c r="AJ23" s="346">
        <f t="shared" si="10"/>
        <v>47.64</v>
      </c>
      <c r="AK23" s="346">
        <f t="shared" si="15"/>
        <v>0</v>
      </c>
      <c r="AL23" s="346">
        <f t="shared" si="11"/>
        <v>0</v>
      </c>
      <c r="AM23" s="445">
        <f t="shared" si="16"/>
        <v>1742.5184999999999</v>
      </c>
      <c r="AN23" s="446">
        <f t="shared" si="17"/>
        <v>-2.3000000001047738E-3</v>
      </c>
      <c r="AO23" s="163"/>
      <c r="AP23" s="163"/>
      <c r="AQ23" s="163"/>
    </row>
    <row r="24" spans="1:43" s="169" customFormat="1" ht="22.5" x14ac:dyDescent="0.25">
      <c r="A24" s="164"/>
      <c r="B24" s="384" t="s">
        <v>45</v>
      </c>
      <c r="C24" s="385">
        <v>94319</v>
      </c>
      <c r="D24" s="386" t="s">
        <v>47</v>
      </c>
      <c r="E24" s="387" t="s">
        <v>41</v>
      </c>
      <c r="F24" s="387">
        <v>74.510000000000005</v>
      </c>
      <c r="G24" s="387">
        <v>0</v>
      </c>
      <c r="H24" s="443"/>
      <c r="I24" s="443"/>
      <c r="J24" s="443"/>
      <c r="K24" s="444">
        <v>0</v>
      </c>
      <c r="L24" s="444"/>
      <c r="M24" s="444"/>
      <c r="N24" s="387"/>
      <c r="O24" s="387"/>
      <c r="P24" s="444"/>
      <c r="Q24" s="444"/>
      <c r="R24" s="444">
        <v>0</v>
      </c>
      <c r="S24" s="444">
        <v>0</v>
      </c>
      <c r="T24" s="444">
        <v>0</v>
      </c>
      <c r="U24" s="444">
        <f>VLOOKUP(B24,'MEMÓRIA MEDIÇÃO 14'!$A$8:$F$202,6,FALSE)</f>
        <v>0</v>
      </c>
      <c r="V24" s="387">
        <f t="shared" si="12"/>
        <v>0</v>
      </c>
      <c r="W24" s="387">
        <f>G24-V24</f>
        <v>0</v>
      </c>
      <c r="X24" s="387">
        <f>F24*G24</f>
        <v>0</v>
      </c>
      <c r="Y24" s="346">
        <f t="shared" si="1"/>
        <v>0</v>
      </c>
      <c r="Z24" s="346">
        <f t="shared" si="2"/>
        <v>0</v>
      </c>
      <c r="AA24" s="346">
        <f t="shared" si="13"/>
        <v>0</v>
      </c>
      <c r="AB24" s="346">
        <f t="shared" si="3"/>
        <v>0</v>
      </c>
      <c r="AC24" s="346">
        <f t="shared" si="4"/>
        <v>0</v>
      </c>
      <c r="AD24" s="346">
        <f t="shared" si="5"/>
        <v>0</v>
      </c>
      <c r="AE24" s="346">
        <f t="shared" si="14"/>
        <v>0</v>
      </c>
      <c r="AF24" s="346">
        <f t="shared" si="6"/>
        <v>0</v>
      </c>
      <c r="AG24" s="346">
        <f t="shared" si="7"/>
        <v>0</v>
      </c>
      <c r="AH24" s="346">
        <f t="shared" si="8"/>
        <v>0</v>
      </c>
      <c r="AI24" s="346">
        <f t="shared" si="9"/>
        <v>0</v>
      </c>
      <c r="AJ24" s="346">
        <f t="shared" si="10"/>
        <v>0</v>
      </c>
      <c r="AK24" s="346">
        <f t="shared" si="15"/>
        <v>0</v>
      </c>
      <c r="AL24" s="346">
        <f t="shared" si="11"/>
        <v>0</v>
      </c>
      <c r="AM24" s="445">
        <f t="shared" si="16"/>
        <v>0</v>
      </c>
      <c r="AN24" s="446">
        <f t="shared" si="17"/>
        <v>0</v>
      </c>
      <c r="AO24" s="164"/>
      <c r="AP24" s="164"/>
      <c r="AQ24" s="164"/>
    </row>
    <row r="25" spans="1:43" s="167" customFormat="1" x14ac:dyDescent="0.25">
      <c r="A25"/>
      <c r="B25" s="347" t="s">
        <v>48</v>
      </c>
      <c r="C25" s="348" t="s">
        <v>49</v>
      </c>
      <c r="D25" s="386"/>
      <c r="E25" s="387"/>
      <c r="F25" s="387"/>
      <c r="G25" s="387"/>
      <c r="H25" s="443"/>
      <c r="I25" s="443"/>
      <c r="J25" s="443"/>
      <c r="K25" s="444"/>
      <c r="L25" s="444"/>
      <c r="M25" s="444"/>
      <c r="N25" s="387"/>
      <c r="O25" s="387"/>
      <c r="P25" s="444"/>
      <c r="Q25" s="444"/>
      <c r="R25" s="444">
        <v>0</v>
      </c>
      <c r="S25" s="444">
        <v>0</v>
      </c>
      <c r="T25" s="444">
        <v>0</v>
      </c>
      <c r="U25" s="444">
        <f>VLOOKUP(B25,'MEMÓRIA MEDIÇÃO 14'!$A$8:$F$202,6,FALSE)</f>
        <v>0</v>
      </c>
      <c r="V25" s="387">
        <f t="shared" si="12"/>
        <v>0</v>
      </c>
      <c r="W25" s="387"/>
      <c r="X25" s="387"/>
      <c r="Y25" s="346">
        <f t="shared" si="1"/>
        <v>0</v>
      </c>
      <c r="Z25" s="346">
        <f t="shared" si="2"/>
        <v>0</v>
      </c>
      <c r="AA25" s="346">
        <f t="shared" si="13"/>
        <v>0</v>
      </c>
      <c r="AB25" s="346">
        <f t="shared" si="3"/>
        <v>0</v>
      </c>
      <c r="AC25" s="346">
        <f t="shared" si="4"/>
        <v>0</v>
      </c>
      <c r="AD25" s="346">
        <f t="shared" si="5"/>
        <v>0</v>
      </c>
      <c r="AE25" s="346">
        <f t="shared" si="14"/>
        <v>0</v>
      </c>
      <c r="AF25" s="346">
        <f t="shared" si="6"/>
        <v>0</v>
      </c>
      <c r="AG25" s="346">
        <f t="shared" si="7"/>
        <v>0</v>
      </c>
      <c r="AH25" s="346">
        <f t="shared" si="8"/>
        <v>0</v>
      </c>
      <c r="AI25" s="346">
        <f t="shared" si="9"/>
        <v>0</v>
      </c>
      <c r="AJ25" s="346">
        <f t="shared" si="10"/>
        <v>0</v>
      </c>
      <c r="AK25" s="346">
        <f t="shared" si="15"/>
        <v>0</v>
      </c>
      <c r="AL25" s="346">
        <f t="shared" si="11"/>
        <v>0</v>
      </c>
      <c r="AM25" s="445">
        <f t="shared" si="16"/>
        <v>0</v>
      </c>
      <c r="AN25" s="446">
        <f t="shared" si="17"/>
        <v>0</v>
      </c>
      <c r="AO25"/>
      <c r="AP25"/>
      <c r="AQ25"/>
    </row>
    <row r="26" spans="1:43" s="168" customFormat="1" ht="43.15" customHeight="1" x14ac:dyDescent="0.25">
      <c r="A26" s="163"/>
      <c r="B26" s="384" t="s">
        <v>50</v>
      </c>
      <c r="C26" s="442" t="s">
        <v>51</v>
      </c>
      <c r="D26" s="386" t="s">
        <v>52</v>
      </c>
      <c r="E26" s="387" t="s">
        <v>41</v>
      </c>
      <c r="F26" s="387">
        <v>411.48</v>
      </c>
      <c r="G26" s="387">
        <v>55.32</v>
      </c>
      <c r="H26" s="443"/>
      <c r="I26" s="443">
        <f>'MEMORIAL DE CALCULO 02'!K54</f>
        <v>7.3434100000000004</v>
      </c>
      <c r="J26" s="443">
        <v>6.6420000000000003</v>
      </c>
      <c r="K26" s="444"/>
      <c r="L26" s="444"/>
      <c r="M26" s="444"/>
      <c r="N26" s="387"/>
      <c r="O26" s="387"/>
      <c r="P26" s="444"/>
      <c r="Q26" s="444">
        <v>37.71</v>
      </c>
      <c r="R26" s="444">
        <v>0</v>
      </c>
      <c r="S26" s="444">
        <v>3.62</v>
      </c>
      <c r="T26" s="444">
        <v>0</v>
      </c>
      <c r="U26" s="444">
        <f>VLOOKUP(B26,'MEMÓRIA MEDIÇÃO 14'!$A$8:$F$202,6,FALSE)</f>
        <v>0</v>
      </c>
      <c r="V26" s="387">
        <f t="shared" si="12"/>
        <v>55.31541</v>
      </c>
      <c r="W26" s="387">
        <f t="shared" ref="W26:W38" si="18">G26-V26</f>
        <v>4.590000000000316E-3</v>
      </c>
      <c r="X26" s="387">
        <f t="shared" ref="X26:X38" si="19">F26*G26</f>
        <v>22763.0736</v>
      </c>
      <c r="Y26" s="346">
        <f t="shared" si="1"/>
        <v>0</v>
      </c>
      <c r="Z26" s="346">
        <f t="shared" si="2"/>
        <v>3021.6663468000002</v>
      </c>
      <c r="AA26" s="346">
        <f>TRUNC(F26*J26,2)</f>
        <v>2733.05</v>
      </c>
      <c r="AB26" s="346">
        <f t="shared" si="3"/>
        <v>0</v>
      </c>
      <c r="AC26" s="346">
        <f t="shared" si="4"/>
        <v>0</v>
      </c>
      <c r="AD26" s="346">
        <f t="shared" si="5"/>
        <v>0</v>
      </c>
      <c r="AE26" s="346">
        <f t="shared" si="14"/>
        <v>0</v>
      </c>
      <c r="AF26" s="346">
        <f t="shared" si="6"/>
        <v>0</v>
      </c>
      <c r="AG26" s="346">
        <f t="shared" si="7"/>
        <v>0</v>
      </c>
      <c r="AH26" s="346">
        <f t="shared" si="8"/>
        <v>15516.91</v>
      </c>
      <c r="AI26" s="346">
        <f t="shared" si="9"/>
        <v>0</v>
      </c>
      <c r="AJ26" s="346">
        <f t="shared" si="10"/>
        <v>1489.56</v>
      </c>
      <c r="AK26" s="346">
        <f t="shared" si="15"/>
        <v>0</v>
      </c>
      <c r="AL26" s="346">
        <f t="shared" si="11"/>
        <v>0</v>
      </c>
      <c r="AM26" s="445">
        <f t="shared" si="16"/>
        <v>22761.186346800001</v>
      </c>
      <c r="AN26" s="446">
        <f t="shared" si="17"/>
        <v>1.8872531999986677</v>
      </c>
      <c r="AO26" s="163"/>
      <c r="AP26" s="163"/>
      <c r="AQ26" s="163"/>
    </row>
    <row r="27" spans="1:43" ht="25.15" customHeight="1" x14ac:dyDescent="0.25">
      <c r="B27" s="384" t="s">
        <v>53</v>
      </c>
      <c r="C27" s="385">
        <v>101616</v>
      </c>
      <c r="D27" s="386" t="s">
        <v>55</v>
      </c>
      <c r="E27" s="387" t="s">
        <v>17</v>
      </c>
      <c r="F27" s="387">
        <v>4.91</v>
      </c>
      <c r="G27" s="387">
        <v>37.81</v>
      </c>
      <c r="H27" s="443"/>
      <c r="I27" s="443">
        <v>37.81</v>
      </c>
      <c r="J27" s="443"/>
      <c r="K27" s="444"/>
      <c r="L27" s="444"/>
      <c r="M27" s="444"/>
      <c r="N27" s="387"/>
      <c r="O27" s="387"/>
      <c r="P27" s="444"/>
      <c r="Q27" s="444"/>
      <c r="R27" s="444">
        <v>0</v>
      </c>
      <c r="S27" s="444">
        <v>0</v>
      </c>
      <c r="T27" s="444">
        <v>0</v>
      </c>
      <c r="U27" s="444">
        <f>VLOOKUP(B27,'MEMÓRIA MEDIÇÃO 14'!$A$8:$F$202,6,FALSE)</f>
        <v>0</v>
      </c>
      <c r="V27" s="387">
        <f t="shared" si="12"/>
        <v>37.81</v>
      </c>
      <c r="W27" s="387">
        <f t="shared" si="18"/>
        <v>0</v>
      </c>
      <c r="X27" s="387">
        <f t="shared" si="19"/>
        <v>185.64710000000002</v>
      </c>
      <c r="Y27" s="346">
        <f t="shared" si="1"/>
        <v>0</v>
      </c>
      <c r="Z27" s="346">
        <f t="shared" si="2"/>
        <v>185.64710000000002</v>
      </c>
      <c r="AA27" s="346">
        <f t="shared" ref="AA27:AA58" si="20">F27*J27</f>
        <v>0</v>
      </c>
      <c r="AB27" s="346">
        <f t="shared" si="3"/>
        <v>0</v>
      </c>
      <c r="AC27" s="346">
        <f t="shared" si="4"/>
        <v>0</v>
      </c>
      <c r="AD27" s="346">
        <f t="shared" si="5"/>
        <v>0</v>
      </c>
      <c r="AE27" s="346">
        <f t="shared" si="14"/>
        <v>0</v>
      </c>
      <c r="AF27" s="346">
        <f t="shared" si="6"/>
        <v>0</v>
      </c>
      <c r="AG27" s="346">
        <f t="shared" si="7"/>
        <v>0</v>
      </c>
      <c r="AH27" s="346">
        <f t="shared" si="8"/>
        <v>0</v>
      </c>
      <c r="AI27" s="346">
        <f t="shared" si="9"/>
        <v>0</v>
      </c>
      <c r="AJ27" s="346">
        <f t="shared" si="10"/>
        <v>0</v>
      </c>
      <c r="AK27" s="346">
        <f t="shared" si="15"/>
        <v>0</v>
      </c>
      <c r="AL27" s="346">
        <f t="shared" si="11"/>
        <v>0</v>
      </c>
      <c r="AM27" s="445">
        <f t="shared" si="16"/>
        <v>185.64710000000002</v>
      </c>
      <c r="AN27" s="446">
        <f t="shared" si="17"/>
        <v>0</v>
      </c>
    </row>
    <row r="28" spans="1:43" s="164" customFormat="1" ht="30" customHeight="1" x14ac:dyDescent="0.25">
      <c r="B28" s="384" t="s">
        <v>56</v>
      </c>
      <c r="C28" s="385">
        <v>96619</v>
      </c>
      <c r="D28" s="391" t="s">
        <v>58</v>
      </c>
      <c r="E28" s="387" t="s">
        <v>17</v>
      </c>
      <c r="F28" s="387">
        <v>30.67</v>
      </c>
      <c r="G28" s="387">
        <v>77.41</v>
      </c>
      <c r="H28" s="443"/>
      <c r="I28" s="443">
        <v>37.81</v>
      </c>
      <c r="J28" s="443"/>
      <c r="K28" s="278"/>
      <c r="L28" s="278"/>
      <c r="M28" s="278"/>
      <c r="N28" s="278"/>
      <c r="O28" s="278"/>
      <c r="P28" s="278"/>
      <c r="Q28" s="278"/>
      <c r="R28" s="444">
        <v>0</v>
      </c>
      <c r="S28" s="444">
        <v>18</v>
      </c>
      <c r="T28" s="444">
        <v>1.8</v>
      </c>
      <c r="U28" s="444">
        <f>VLOOKUP(B28,'MEMÓRIA MEDIÇÃO 14'!$A$8:$F$202,6,FALSE)</f>
        <v>1.8</v>
      </c>
      <c r="V28" s="387">
        <f t="shared" si="12"/>
        <v>59.41</v>
      </c>
      <c r="W28" s="387">
        <f t="shared" si="18"/>
        <v>18</v>
      </c>
      <c r="X28" s="387">
        <f t="shared" si="19"/>
        <v>2374.1646999999998</v>
      </c>
      <c r="Y28" s="346">
        <f t="shared" si="1"/>
        <v>0</v>
      </c>
      <c r="Z28" s="346">
        <f t="shared" si="2"/>
        <v>1159.6327000000001</v>
      </c>
      <c r="AA28" s="346">
        <f t="shared" si="20"/>
        <v>0</v>
      </c>
      <c r="AB28" s="346">
        <f t="shared" si="3"/>
        <v>0</v>
      </c>
      <c r="AC28" s="346">
        <f t="shared" si="4"/>
        <v>0</v>
      </c>
      <c r="AD28" s="346">
        <f t="shared" si="5"/>
        <v>0</v>
      </c>
      <c r="AE28" s="346">
        <f t="shared" si="14"/>
        <v>0</v>
      </c>
      <c r="AF28" s="346">
        <f t="shared" si="6"/>
        <v>0</v>
      </c>
      <c r="AG28" s="346">
        <f t="shared" si="7"/>
        <v>0</v>
      </c>
      <c r="AH28" s="346">
        <f t="shared" si="8"/>
        <v>0</v>
      </c>
      <c r="AI28" s="346">
        <f t="shared" si="9"/>
        <v>0</v>
      </c>
      <c r="AJ28" s="346">
        <f t="shared" si="10"/>
        <v>552.05999999999995</v>
      </c>
      <c r="AK28" s="346">
        <f t="shared" si="15"/>
        <v>55.21</v>
      </c>
      <c r="AL28" s="346">
        <f t="shared" si="11"/>
        <v>55.21</v>
      </c>
      <c r="AM28" s="445">
        <f t="shared" si="16"/>
        <v>1822.1127000000001</v>
      </c>
      <c r="AN28" s="446">
        <f t="shared" si="17"/>
        <v>552.05199999999968</v>
      </c>
    </row>
    <row r="29" spans="1:43" s="163" customFormat="1" ht="22.5" x14ac:dyDescent="0.25">
      <c r="B29" s="384" t="s">
        <v>59</v>
      </c>
      <c r="C29" s="385">
        <v>96545</v>
      </c>
      <c r="D29" s="386" t="s">
        <v>61</v>
      </c>
      <c r="E29" s="387" t="s">
        <v>62</v>
      </c>
      <c r="F29" s="387">
        <v>15.99</v>
      </c>
      <c r="G29" s="387">
        <v>555.04999999999995</v>
      </c>
      <c r="H29" s="443"/>
      <c r="I29" s="443">
        <f>'MEMORIAL DE CALCULO 02'!K90</f>
        <v>44.520449999999997</v>
      </c>
      <c r="J29" s="443">
        <v>492.77940000000001</v>
      </c>
      <c r="K29" s="444"/>
      <c r="L29" s="444"/>
      <c r="M29" s="444"/>
      <c r="N29" s="387"/>
      <c r="O29" s="387"/>
      <c r="P29" s="444"/>
      <c r="Q29" s="444">
        <v>17.75</v>
      </c>
      <c r="R29" s="444">
        <v>0</v>
      </c>
      <c r="S29" s="444">
        <v>0</v>
      </c>
      <c r="T29" s="444">
        <v>0</v>
      </c>
      <c r="U29" s="444">
        <f>VLOOKUP(B29,'MEMÓRIA MEDIÇÃO 14'!$A$8:$F$202,6,FALSE)</f>
        <v>0</v>
      </c>
      <c r="V29" s="387">
        <f t="shared" si="12"/>
        <v>555.04984999999999</v>
      </c>
      <c r="W29" s="387">
        <f t="shared" si="18"/>
        <v>1.4999999996234692E-4</v>
      </c>
      <c r="X29" s="387">
        <f t="shared" si="19"/>
        <v>8875.2494999999999</v>
      </c>
      <c r="Y29" s="346">
        <f t="shared" si="1"/>
        <v>0</v>
      </c>
      <c r="Z29" s="346">
        <f t="shared" si="2"/>
        <v>711.8819954999999</v>
      </c>
      <c r="AA29" s="346">
        <f t="shared" si="20"/>
        <v>7879.542606</v>
      </c>
      <c r="AB29" s="346">
        <f t="shared" si="3"/>
        <v>0</v>
      </c>
      <c r="AC29" s="346">
        <f t="shared" si="4"/>
        <v>0</v>
      </c>
      <c r="AD29" s="346">
        <f t="shared" si="5"/>
        <v>0</v>
      </c>
      <c r="AE29" s="346">
        <f t="shared" si="14"/>
        <v>0</v>
      </c>
      <c r="AF29" s="346">
        <f t="shared" si="6"/>
        <v>0</v>
      </c>
      <c r="AG29" s="346">
        <f t="shared" si="7"/>
        <v>0</v>
      </c>
      <c r="AH29" s="346">
        <f t="shared" si="8"/>
        <v>283.82</v>
      </c>
      <c r="AI29" s="346">
        <f t="shared" si="9"/>
        <v>0</v>
      </c>
      <c r="AJ29" s="346">
        <f t="shared" si="10"/>
        <v>0</v>
      </c>
      <c r="AK29" s="346">
        <f t="shared" si="15"/>
        <v>0</v>
      </c>
      <c r="AL29" s="346">
        <f t="shared" si="11"/>
        <v>0</v>
      </c>
      <c r="AM29" s="445">
        <f t="shared" si="16"/>
        <v>8875.2446014999987</v>
      </c>
      <c r="AN29" s="446">
        <f t="shared" si="17"/>
        <v>4.8985000012180535E-3</v>
      </c>
    </row>
    <row r="30" spans="1:43" s="163" customFormat="1" ht="33.75" x14ac:dyDescent="0.25">
      <c r="B30" s="384" t="s">
        <v>63</v>
      </c>
      <c r="C30" s="385">
        <v>94966</v>
      </c>
      <c r="D30" s="386" t="s">
        <v>65</v>
      </c>
      <c r="E30" s="387" t="s">
        <v>41</v>
      </c>
      <c r="F30" s="387">
        <v>530.88</v>
      </c>
      <c r="G30" s="387">
        <v>22.89</v>
      </c>
      <c r="H30" s="443"/>
      <c r="I30" s="443">
        <f>'MEMORIAL DE CALCULO 02'!K99</f>
        <v>8.4130549999999982</v>
      </c>
      <c r="J30" s="443">
        <v>12.746919999999999</v>
      </c>
      <c r="K30" s="444"/>
      <c r="L30" s="444"/>
      <c r="M30" s="444"/>
      <c r="N30" s="387"/>
      <c r="O30" s="387"/>
      <c r="P30" s="444"/>
      <c r="Q30" s="444">
        <v>1.73</v>
      </c>
      <c r="R30" s="444">
        <v>0</v>
      </c>
      <c r="S30" s="444">
        <v>0</v>
      </c>
      <c r="T30" s="444">
        <v>0</v>
      </c>
      <c r="U30" s="444">
        <f>VLOOKUP(B30,'MEMÓRIA MEDIÇÃO 14'!$A$8:$F$202,6,FALSE)</f>
        <v>0</v>
      </c>
      <c r="V30" s="387">
        <f t="shared" si="12"/>
        <v>22.889974999999996</v>
      </c>
      <c r="W30" s="387">
        <f t="shared" si="18"/>
        <v>2.5000000004382628E-5</v>
      </c>
      <c r="X30" s="387">
        <f t="shared" si="19"/>
        <v>12151.843199999999</v>
      </c>
      <c r="Y30" s="346">
        <f t="shared" si="1"/>
        <v>0</v>
      </c>
      <c r="Z30" s="346">
        <f t="shared" si="2"/>
        <v>4466.3226383999991</v>
      </c>
      <c r="AA30" s="346">
        <f t="shared" si="20"/>
        <v>6767.0848895999998</v>
      </c>
      <c r="AB30" s="346">
        <f t="shared" si="3"/>
        <v>0</v>
      </c>
      <c r="AC30" s="346">
        <f t="shared" si="4"/>
        <v>0</v>
      </c>
      <c r="AD30" s="346">
        <f t="shared" si="5"/>
        <v>0</v>
      </c>
      <c r="AE30" s="346">
        <f t="shared" si="14"/>
        <v>0</v>
      </c>
      <c r="AF30" s="346">
        <f t="shared" si="6"/>
        <v>0</v>
      </c>
      <c r="AG30" s="346">
        <f t="shared" si="7"/>
        <v>0</v>
      </c>
      <c r="AH30" s="346">
        <f t="shared" si="8"/>
        <v>918.42</v>
      </c>
      <c r="AI30" s="346">
        <f t="shared" si="9"/>
        <v>0</v>
      </c>
      <c r="AJ30" s="346">
        <f t="shared" si="10"/>
        <v>0</v>
      </c>
      <c r="AK30" s="346">
        <f t="shared" si="15"/>
        <v>0</v>
      </c>
      <c r="AL30" s="346">
        <f t="shared" si="11"/>
        <v>0</v>
      </c>
      <c r="AM30" s="445">
        <f t="shared" si="16"/>
        <v>12151.827528</v>
      </c>
      <c r="AN30" s="446">
        <f t="shared" si="17"/>
        <v>1.5671999999540276E-2</v>
      </c>
    </row>
    <row r="31" spans="1:43" ht="33.75" x14ac:dyDescent="0.25">
      <c r="B31" s="384" t="s">
        <v>66</v>
      </c>
      <c r="C31" s="385">
        <v>94964</v>
      </c>
      <c r="D31" s="386" t="s">
        <v>68</v>
      </c>
      <c r="E31" s="387" t="s">
        <v>41</v>
      </c>
      <c r="F31" s="387">
        <v>488.69</v>
      </c>
      <c r="G31" s="387">
        <v>9.6</v>
      </c>
      <c r="H31" s="443"/>
      <c r="I31" s="443"/>
      <c r="J31" s="443">
        <v>9.6</v>
      </c>
      <c r="K31" s="444"/>
      <c r="L31" s="444"/>
      <c r="M31" s="444"/>
      <c r="N31" s="387"/>
      <c r="O31" s="387"/>
      <c r="P31" s="444"/>
      <c r="Q31" s="444"/>
      <c r="R31" s="444">
        <v>0</v>
      </c>
      <c r="S31" s="444">
        <v>0</v>
      </c>
      <c r="T31" s="444">
        <v>0</v>
      </c>
      <c r="U31" s="444">
        <f>VLOOKUP(B31,'MEMÓRIA MEDIÇÃO 14'!$A$8:$F$202,6,FALSE)</f>
        <v>0</v>
      </c>
      <c r="V31" s="387">
        <f t="shared" si="12"/>
        <v>9.6</v>
      </c>
      <c r="W31" s="387">
        <f t="shared" si="18"/>
        <v>0</v>
      </c>
      <c r="X31" s="387">
        <f t="shared" si="19"/>
        <v>4691.424</v>
      </c>
      <c r="Y31" s="346">
        <f t="shared" si="1"/>
        <v>0</v>
      </c>
      <c r="Z31" s="346">
        <f t="shared" si="2"/>
        <v>0</v>
      </c>
      <c r="AA31" s="346">
        <f t="shared" si="20"/>
        <v>4691.424</v>
      </c>
      <c r="AB31" s="346">
        <f t="shared" si="3"/>
        <v>0</v>
      </c>
      <c r="AC31" s="346">
        <f t="shared" si="4"/>
        <v>0</v>
      </c>
      <c r="AD31" s="346">
        <f t="shared" si="5"/>
        <v>0</v>
      </c>
      <c r="AE31" s="346">
        <f t="shared" si="14"/>
        <v>0</v>
      </c>
      <c r="AF31" s="346">
        <f t="shared" si="6"/>
        <v>0</v>
      </c>
      <c r="AG31" s="346">
        <f t="shared" si="7"/>
        <v>0</v>
      </c>
      <c r="AH31" s="346">
        <f t="shared" si="8"/>
        <v>0</v>
      </c>
      <c r="AI31" s="346">
        <f t="shared" si="9"/>
        <v>0</v>
      </c>
      <c r="AJ31" s="346">
        <f t="shared" si="10"/>
        <v>0</v>
      </c>
      <c r="AK31" s="346">
        <f t="shared" si="15"/>
        <v>0</v>
      </c>
      <c r="AL31" s="346">
        <f t="shared" si="11"/>
        <v>0</v>
      </c>
      <c r="AM31" s="445">
        <f t="shared" si="16"/>
        <v>4691.424</v>
      </c>
      <c r="AN31" s="446">
        <f t="shared" si="17"/>
        <v>0</v>
      </c>
    </row>
    <row r="32" spans="1:43" s="163" customFormat="1" ht="22.5" x14ac:dyDescent="0.25">
      <c r="B32" s="384" t="s">
        <v>69</v>
      </c>
      <c r="C32" s="385">
        <v>103670</v>
      </c>
      <c r="D32" s="386" t="s">
        <v>71</v>
      </c>
      <c r="E32" s="387" t="s">
        <v>41</v>
      </c>
      <c r="F32" s="387">
        <v>230.55</v>
      </c>
      <c r="G32" s="387">
        <v>32.49</v>
      </c>
      <c r="H32" s="443"/>
      <c r="I32" s="443">
        <f>'MEMORIAL DE CALCULO 02'!K151</f>
        <v>18.013054999999998</v>
      </c>
      <c r="J32" s="443">
        <v>12.746969999999999</v>
      </c>
      <c r="K32" s="444"/>
      <c r="L32" s="444"/>
      <c r="M32" s="444"/>
      <c r="N32" s="387"/>
      <c r="O32" s="387"/>
      <c r="P32" s="444"/>
      <c r="Q32" s="444">
        <v>1.73</v>
      </c>
      <c r="R32" s="444">
        <v>0</v>
      </c>
      <c r="S32" s="444">
        <v>0</v>
      </c>
      <c r="T32" s="444">
        <v>0</v>
      </c>
      <c r="U32" s="444">
        <f>VLOOKUP(B32,'MEMÓRIA MEDIÇÃO 14'!$A$8:$F$202,6,FALSE)</f>
        <v>0</v>
      </c>
      <c r="V32" s="387">
        <f t="shared" si="12"/>
        <v>32.490024999999996</v>
      </c>
      <c r="W32" s="387">
        <f t="shared" si="18"/>
        <v>-2.4999999993724487E-5</v>
      </c>
      <c r="X32" s="387">
        <f t="shared" si="19"/>
        <v>7490.5695000000005</v>
      </c>
      <c r="Y32" s="346">
        <f t="shared" si="1"/>
        <v>0</v>
      </c>
      <c r="Z32" s="346">
        <f t="shared" si="2"/>
        <v>4152.9098302499997</v>
      </c>
      <c r="AA32" s="346">
        <f t="shared" si="20"/>
        <v>2938.8139335000001</v>
      </c>
      <c r="AB32" s="346">
        <f t="shared" si="3"/>
        <v>0</v>
      </c>
      <c r="AC32" s="346">
        <f t="shared" si="4"/>
        <v>0</v>
      </c>
      <c r="AD32" s="346">
        <f t="shared" si="5"/>
        <v>0</v>
      </c>
      <c r="AE32" s="346">
        <f t="shared" si="14"/>
        <v>0</v>
      </c>
      <c r="AF32" s="346">
        <f t="shared" si="6"/>
        <v>0</v>
      </c>
      <c r="AG32" s="346">
        <f t="shared" si="7"/>
        <v>0</v>
      </c>
      <c r="AH32" s="346">
        <f t="shared" si="8"/>
        <v>398.85</v>
      </c>
      <c r="AI32" s="346">
        <f t="shared" si="9"/>
        <v>0</v>
      </c>
      <c r="AJ32" s="346">
        <f t="shared" si="10"/>
        <v>0</v>
      </c>
      <c r="AK32" s="346">
        <f t="shared" si="15"/>
        <v>0</v>
      </c>
      <c r="AL32" s="346">
        <f t="shared" si="11"/>
        <v>0</v>
      </c>
      <c r="AM32" s="445">
        <f t="shared" si="16"/>
        <v>7490.5737637500006</v>
      </c>
      <c r="AN32" s="446">
        <f t="shared" si="17"/>
        <v>-4.2637500000637374E-3</v>
      </c>
    </row>
    <row r="33" spans="2:43" s="163" customFormat="1" ht="22.5" x14ac:dyDescent="0.25">
      <c r="B33" s="384" t="s">
        <v>72</v>
      </c>
      <c r="C33" s="385">
        <v>96543</v>
      </c>
      <c r="D33" s="386" t="s">
        <v>74</v>
      </c>
      <c r="E33" s="387" t="s">
        <v>62</v>
      </c>
      <c r="F33" s="387">
        <v>17.5</v>
      </c>
      <c r="G33" s="387">
        <v>451.89</v>
      </c>
      <c r="H33" s="443"/>
      <c r="I33" s="443">
        <f>'MEMORIAL DE CALCULO 02'!K153</f>
        <v>194.26804319999999</v>
      </c>
      <c r="J33" s="443">
        <f>'MEMORIAL DE CALCULO 03'!K262</f>
        <v>210.13</v>
      </c>
      <c r="K33" s="444"/>
      <c r="L33" s="444"/>
      <c r="M33" s="444"/>
      <c r="N33" s="387"/>
      <c r="O33" s="387"/>
      <c r="P33" s="444"/>
      <c r="Q33" s="444">
        <v>47.49</v>
      </c>
      <c r="R33" s="444">
        <v>0</v>
      </c>
      <c r="S33" s="444">
        <v>0</v>
      </c>
      <c r="T33" s="444">
        <v>0</v>
      </c>
      <c r="U33" s="444">
        <f>VLOOKUP(B33,'MEMÓRIA MEDIÇÃO 14'!$A$8:$F$202,6,FALSE)</f>
        <v>0</v>
      </c>
      <c r="V33" s="387">
        <f t="shared" si="12"/>
        <v>451.88804319999997</v>
      </c>
      <c r="W33" s="387">
        <f t="shared" si="18"/>
        <v>1.9568000000163011E-3</v>
      </c>
      <c r="X33" s="387">
        <f t="shared" si="19"/>
        <v>7908.0749999999998</v>
      </c>
      <c r="Y33" s="346">
        <f t="shared" si="1"/>
        <v>0</v>
      </c>
      <c r="Z33" s="346">
        <f t="shared" si="2"/>
        <v>3399.690756</v>
      </c>
      <c r="AA33" s="346">
        <f t="shared" si="20"/>
        <v>3677.2750000000001</v>
      </c>
      <c r="AB33" s="346">
        <f t="shared" si="3"/>
        <v>0</v>
      </c>
      <c r="AC33" s="346">
        <f t="shared" si="4"/>
        <v>0</v>
      </c>
      <c r="AD33" s="346">
        <f t="shared" si="5"/>
        <v>0</v>
      </c>
      <c r="AE33" s="346">
        <f t="shared" si="14"/>
        <v>0</v>
      </c>
      <c r="AF33" s="346">
        <f t="shared" si="6"/>
        <v>0</v>
      </c>
      <c r="AG33" s="346">
        <f t="shared" si="7"/>
        <v>0</v>
      </c>
      <c r="AH33" s="346">
        <f t="shared" si="8"/>
        <v>831.07</v>
      </c>
      <c r="AI33" s="346">
        <f t="shared" si="9"/>
        <v>0</v>
      </c>
      <c r="AJ33" s="346">
        <f t="shared" si="10"/>
        <v>0</v>
      </c>
      <c r="AK33" s="346">
        <f t="shared" si="15"/>
        <v>0</v>
      </c>
      <c r="AL33" s="346">
        <f t="shared" si="11"/>
        <v>0</v>
      </c>
      <c r="AM33" s="445">
        <f t="shared" si="16"/>
        <v>7908.0357559999993</v>
      </c>
      <c r="AN33" s="446">
        <f t="shared" si="17"/>
        <v>3.9244000000508095E-2</v>
      </c>
    </row>
    <row r="34" spans="2:43" ht="22.5" x14ac:dyDescent="0.25">
      <c r="B34" s="384" t="s">
        <v>75</v>
      </c>
      <c r="C34" s="385">
        <v>96544</v>
      </c>
      <c r="D34" s="386" t="s">
        <v>77</v>
      </c>
      <c r="E34" s="387" t="s">
        <v>62</v>
      </c>
      <c r="F34" s="387">
        <v>16.59</v>
      </c>
      <c r="G34" s="387">
        <v>295</v>
      </c>
      <c r="H34" s="443"/>
      <c r="I34" s="443">
        <f>'MEMORIAL DE CALCULO 02'!K193</f>
        <v>295</v>
      </c>
      <c r="J34" s="443"/>
      <c r="K34" s="444"/>
      <c r="L34" s="444"/>
      <c r="M34" s="444"/>
      <c r="N34" s="387"/>
      <c r="O34" s="387"/>
      <c r="P34" s="444"/>
      <c r="Q34" s="444"/>
      <c r="R34" s="444">
        <v>0</v>
      </c>
      <c r="S34" s="444">
        <v>0</v>
      </c>
      <c r="T34" s="444">
        <v>0</v>
      </c>
      <c r="U34" s="444">
        <f>VLOOKUP(B34,'MEMÓRIA MEDIÇÃO 14'!$A$8:$F$202,6,FALSE)</f>
        <v>0</v>
      </c>
      <c r="V34" s="387">
        <f t="shared" si="12"/>
        <v>295</v>
      </c>
      <c r="W34" s="387">
        <f t="shared" si="18"/>
        <v>0</v>
      </c>
      <c r="X34" s="387">
        <f t="shared" si="19"/>
        <v>4894.05</v>
      </c>
      <c r="Y34" s="346">
        <f t="shared" si="1"/>
        <v>0</v>
      </c>
      <c r="Z34" s="346">
        <f t="shared" si="2"/>
        <v>4894.05</v>
      </c>
      <c r="AA34" s="346">
        <f t="shared" si="20"/>
        <v>0</v>
      </c>
      <c r="AB34" s="346">
        <f t="shared" si="3"/>
        <v>0</v>
      </c>
      <c r="AC34" s="346">
        <f t="shared" si="4"/>
        <v>0</v>
      </c>
      <c r="AD34" s="346">
        <f t="shared" si="5"/>
        <v>0</v>
      </c>
      <c r="AE34" s="346">
        <f t="shared" si="14"/>
        <v>0</v>
      </c>
      <c r="AF34" s="346">
        <f t="shared" si="6"/>
        <v>0</v>
      </c>
      <c r="AG34" s="346">
        <f t="shared" si="7"/>
        <v>0</v>
      </c>
      <c r="AH34" s="346">
        <f t="shared" si="8"/>
        <v>0</v>
      </c>
      <c r="AI34" s="346">
        <f t="shared" si="9"/>
        <v>0</v>
      </c>
      <c r="AJ34" s="346">
        <f t="shared" si="10"/>
        <v>0</v>
      </c>
      <c r="AK34" s="346">
        <f t="shared" si="15"/>
        <v>0</v>
      </c>
      <c r="AL34" s="346">
        <f t="shared" si="11"/>
        <v>0</v>
      </c>
      <c r="AM34" s="445">
        <f t="shared" si="16"/>
        <v>4894.05</v>
      </c>
      <c r="AN34" s="446">
        <f t="shared" si="17"/>
        <v>0</v>
      </c>
      <c r="AQ34" s="164"/>
    </row>
    <row r="35" spans="2:43" ht="22.5" x14ac:dyDescent="0.25">
      <c r="B35" s="384" t="s">
        <v>78</v>
      </c>
      <c r="C35" s="385">
        <v>96546</v>
      </c>
      <c r="D35" s="386" t="s">
        <v>80</v>
      </c>
      <c r="E35" s="387" t="s">
        <v>62</v>
      </c>
      <c r="F35" s="387">
        <v>14.35</v>
      </c>
      <c r="G35" s="387">
        <v>685.99</v>
      </c>
      <c r="H35" s="443"/>
      <c r="I35" s="443">
        <v>534.1</v>
      </c>
      <c r="J35" s="443"/>
      <c r="K35" s="444"/>
      <c r="L35" s="444"/>
      <c r="M35" s="444"/>
      <c r="N35" s="387"/>
      <c r="O35" s="387"/>
      <c r="P35" s="444"/>
      <c r="Q35" s="444">
        <v>151.88999999999999</v>
      </c>
      <c r="R35" s="444">
        <v>0</v>
      </c>
      <c r="S35" s="444">
        <v>0</v>
      </c>
      <c r="T35" s="444">
        <v>0</v>
      </c>
      <c r="U35" s="444">
        <f>VLOOKUP(B35,'MEMÓRIA MEDIÇÃO 14'!$A$8:$F$202,6,FALSE)</f>
        <v>0</v>
      </c>
      <c r="V35" s="387">
        <f t="shared" si="12"/>
        <v>685.99</v>
      </c>
      <c r="W35" s="387">
        <f t="shared" si="18"/>
        <v>0</v>
      </c>
      <c r="X35" s="387">
        <f t="shared" si="19"/>
        <v>9843.9565000000002</v>
      </c>
      <c r="Y35" s="346">
        <f t="shared" si="1"/>
        <v>0</v>
      </c>
      <c r="Z35" s="346">
        <f t="shared" si="2"/>
        <v>7664.335</v>
      </c>
      <c r="AA35" s="346">
        <f t="shared" si="20"/>
        <v>0</v>
      </c>
      <c r="AB35" s="346">
        <f t="shared" si="3"/>
        <v>0</v>
      </c>
      <c r="AC35" s="346">
        <f t="shared" si="4"/>
        <v>0</v>
      </c>
      <c r="AD35" s="346">
        <f t="shared" si="5"/>
        <v>0</v>
      </c>
      <c r="AE35" s="346">
        <f t="shared" si="14"/>
        <v>0</v>
      </c>
      <c r="AF35" s="346">
        <f t="shared" si="6"/>
        <v>0</v>
      </c>
      <c r="AG35" s="346">
        <f t="shared" si="7"/>
        <v>0</v>
      </c>
      <c r="AH35" s="346">
        <f t="shared" si="8"/>
        <v>2179.62</v>
      </c>
      <c r="AI35" s="346">
        <f t="shared" si="9"/>
        <v>0</v>
      </c>
      <c r="AJ35" s="346">
        <f t="shared" si="10"/>
        <v>0</v>
      </c>
      <c r="AK35" s="346">
        <f t="shared" si="15"/>
        <v>0</v>
      </c>
      <c r="AL35" s="346">
        <f t="shared" si="11"/>
        <v>0</v>
      </c>
      <c r="AM35" s="445">
        <f t="shared" si="16"/>
        <v>9843.9549999999999</v>
      </c>
      <c r="AN35" s="446">
        <f t="shared" si="17"/>
        <v>1.5000000003055902E-3</v>
      </c>
    </row>
    <row r="36" spans="2:43" s="163" customFormat="1" ht="22.5" x14ac:dyDescent="0.25">
      <c r="B36" s="384" t="s">
        <v>81</v>
      </c>
      <c r="C36" s="385">
        <v>96547</v>
      </c>
      <c r="D36" s="386" t="s">
        <v>83</v>
      </c>
      <c r="E36" s="387" t="s">
        <v>62</v>
      </c>
      <c r="F36" s="387">
        <v>11.9</v>
      </c>
      <c r="G36" s="387">
        <v>179.26</v>
      </c>
      <c r="H36" s="443"/>
      <c r="I36" s="443">
        <f>'MEMORIAL DE CALCULO 02'!K221</f>
        <v>100.55646000000002</v>
      </c>
      <c r="J36" s="443">
        <f>'MEMORIAL DE CALCULO 03'!K330</f>
        <v>52.34</v>
      </c>
      <c r="K36" s="444"/>
      <c r="L36" s="444"/>
      <c r="M36" s="444"/>
      <c r="N36" s="387"/>
      <c r="O36" s="387"/>
      <c r="P36" s="444"/>
      <c r="Q36" s="444">
        <v>26.36</v>
      </c>
      <c r="R36" s="444">
        <v>0</v>
      </c>
      <c r="S36" s="444">
        <v>0</v>
      </c>
      <c r="T36" s="444">
        <v>0</v>
      </c>
      <c r="U36" s="444">
        <f>VLOOKUP(B36,'MEMÓRIA MEDIÇÃO 14'!$A$8:$F$202,6,FALSE)</f>
        <v>0</v>
      </c>
      <c r="V36" s="387">
        <f t="shared" si="12"/>
        <v>179.25646</v>
      </c>
      <c r="W36" s="387">
        <f t="shared" si="18"/>
        <v>3.5399999999867759E-3</v>
      </c>
      <c r="X36" s="387">
        <f t="shared" si="19"/>
        <v>2133.194</v>
      </c>
      <c r="Y36" s="346">
        <f t="shared" si="1"/>
        <v>0</v>
      </c>
      <c r="Z36" s="346">
        <f t="shared" si="2"/>
        <v>1196.6218740000002</v>
      </c>
      <c r="AA36" s="346">
        <f t="shared" si="20"/>
        <v>622.846</v>
      </c>
      <c r="AB36" s="346">
        <f t="shared" si="3"/>
        <v>0</v>
      </c>
      <c r="AC36" s="346">
        <f t="shared" si="4"/>
        <v>0</v>
      </c>
      <c r="AD36" s="346">
        <f t="shared" si="5"/>
        <v>0</v>
      </c>
      <c r="AE36" s="346">
        <f t="shared" si="14"/>
        <v>0</v>
      </c>
      <c r="AF36" s="346">
        <f t="shared" si="6"/>
        <v>0</v>
      </c>
      <c r="AG36" s="346">
        <f t="shared" si="7"/>
        <v>0</v>
      </c>
      <c r="AH36" s="346">
        <f t="shared" si="8"/>
        <v>313.68</v>
      </c>
      <c r="AI36" s="346">
        <f t="shared" si="9"/>
        <v>0</v>
      </c>
      <c r="AJ36" s="346">
        <f t="shared" si="10"/>
        <v>0</v>
      </c>
      <c r="AK36" s="346">
        <f t="shared" si="15"/>
        <v>0</v>
      </c>
      <c r="AL36" s="346">
        <f t="shared" si="11"/>
        <v>0</v>
      </c>
      <c r="AM36" s="445">
        <f t="shared" si="16"/>
        <v>2133.1478740000002</v>
      </c>
      <c r="AN36" s="446">
        <f t="shared" si="17"/>
        <v>4.6125999999730993E-2</v>
      </c>
    </row>
    <row r="37" spans="2:43" s="163" customFormat="1" ht="33.75" x14ac:dyDescent="0.25">
      <c r="B37" s="384" t="s">
        <v>84</v>
      </c>
      <c r="C37" s="385">
        <v>96536</v>
      </c>
      <c r="D37" s="386" t="s">
        <v>86</v>
      </c>
      <c r="E37" s="387" t="s">
        <v>17</v>
      </c>
      <c r="F37" s="387">
        <v>69.64</v>
      </c>
      <c r="G37" s="387">
        <v>463.77</v>
      </c>
      <c r="H37" s="443"/>
      <c r="I37" s="443">
        <f>'MEMORIAL DE CALCULO 02'!K238</f>
        <v>206.33700000000002</v>
      </c>
      <c r="J37" s="443">
        <f>'MEMORIAL DE CALCULO 03'!K340</f>
        <v>223.49</v>
      </c>
      <c r="K37" s="444"/>
      <c r="L37" s="444"/>
      <c r="M37" s="444"/>
      <c r="N37" s="387"/>
      <c r="O37" s="387"/>
      <c r="P37" s="444"/>
      <c r="Q37" s="444">
        <v>33.94</v>
      </c>
      <c r="R37" s="444">
        <v>0</v>
      </c>
      <c r="S37" s="444">
        <v>0</v>
      </c>
      <c r="T37" s="444">
        <v>0</v>
      </c>
      <c r="U37" s="444">
        <f>VLOOKUP(B37,'MEMÓRIA MEDIÇÃO 14'!$A$8:$F$202,6,FALSE)</f>
        <v>0</v>
      </c>
      <c r="V37" s="387">
        <f t="shared" si="12"/>
        <v>463.767</v>
      </c>
      <c r="W37" s="387">
        <f t="shared" si="18"/>
        <v>2.9999999999859028E-3</v>
      </c>
      <c r="X37" s="387">
        <f t="shared" si="19"/>
        <v>32296.942800000001</v>
      </c>
      <c r="Y37" s="346">
        <f t="shared" si="1"/>
        <v>0</v>
      </c>
      <c r="Z37" s="346">
        <f t="shared" si="2"/>
        <v>14369.308680000002</v>
      </c>
      <c r="AA37" s="346">
        <f t="shared" si="20"/>
        <v>15563.8436</v>
      </c>
      <c r="AB37" s="346">
        <f t="shared" si="3"/>
        <v>0</v>
      </c>
      <c r="AC37" s="346">
        <f t="shared" si="4"/>
        <v>0</v>
      </c>
      <c r="AD37" s="346">
        <f t="shared" si="5"/>
        <v>0</v>
      </c>
      <c r="AE37" s="346">
        <f t="shared" si="14"/>
        <v>0</v>
      </c>
      <c r="AF37" s="346">
        <f t="shared" si="6"/>
        <v>0</v>
      </c>
      <c r="AG37" s="346">
        <f t="shared" si="7"/>
        <v>0</v>
      </c>
      <c r="AH37" s="346">
        <f t="shared" si="8"/>
        <v>2363.58</v>
      </c>
      <c r="AI37" s="346">
        <f t="shared" si="9"/>
        <v>0</v>
      </c>
      <c r="AJ37" s="346">
        <f t="shared" si="10"/>
        <v>0</v>
      </c>
      <c r="AK37" s="346">
        <f t="shared" si="15"/>
        <v>0</v>
      </c>
      <c r="AL37" s="346">
        <f t="shared" si="11"/>
        <v>0</v>
      </c>
      <c r="AM37" s="445">
        <f t="shared" si="16"/>
        <v>32296.732280000004</v>
      </c>
      <c r="AN37" s="446">
        <f t="shared" si="17"/>
        <v>0.21051999999690452</v>
      </c>
    </row>
    <row r="38" spans="2:43" s="164" customFormat="1" ht="22.5" x14ac:dyDescent="0.25">
      <c r="B38" s="384" t="s">
        <v>87</v>
      </c>
      <c r="C38" s="385">
        <v>98557</v>
      </c>
      <c r="D38" s="386" t="s">
        <v>89</v>
      </c>
      <c r="E38" s="387" t="s">
        <v>17</v>
      </c>
      <c r="F38" s="387">
        <v>48.22</v>
      </c>
      <c r="G38" s="387">
        <v>261.83</v>
      </c>
      <c r="H38" s="443"/>
      <c r="I38" s="443"/>
      <c r="J38" s="443"/>
      <c r="K38" s="444">
        <f>'MEMORIAL DE CALCULO 04'!K381</f>
        <v>253.95000000000002</v>
      </c>
      <c r="L38" s="444"/>
      <c r="M38" s="444"/>
      <c r="N38" s="387"/>
      <c r="O38" s="387"/>
      <c r="P38" s="444"/>
      <c r="Q38" s="444">
        <v>7.88</v>
      </c>
      <c r="R38" s="444">
        <v>0</v>
      </c>
      <c r="S38" s="444">
        <v>0</v>
      </c>
      <c r="T38" s="444">
        <v>0</v>
      </c>
      <c r="U38" s="444">
        <f>VLOOKUP(B38,'MEMÓRIA MEDIÇÃO 14'!$A$8:$F$202,6,FALSE)</f>
        <v>0</v>
      </c>
      <c r="V38" s="387">
        <f t="shared" si="12"/>
        <v>261.83000000000004</v>
      </c>
      <c r="W38" s="387">
        <f t="shared" si="18"/>
        <v>0</v>
      </c>
      <c r="X38" s="387">
        <f t="shared" si="19"/>
        <v>12625.442599999998</v>
      </c>
      <c r="Y38" s="346">
        <f t="shared" si="1"/>
        <v>0</v>
      </c>
      <c r="Z38" s="346">
        <f t="shared" si="2"/>
        <v>0</v>
      </c>
      <c r="AA38" s="346">
        <f t="shared" si="20"/>
        <v>0</v>
      </c>
      <c r="AB38" s="346">
        <f t="shared" si="3"/>
        <v>12245.46</v>
      </c>
      <c r="AC38" s="346">
        <f t="shared" si="4"/>
        <v>0</v>
      </c>
      <c r="AD38" s="346">
        <f t="shared" si="5"/>
        <v>0</v>
      </c>
      <c r="AE38" s="346">
        <f t="shared" si="14"/>
        <v>0</v>
      </c>
      <c r="AF38" s="346">
        <f t="shared" si="6"/>
        <v>0</v>
      </c>
      <c r="AG38" s="346">
        <f t="shared" si="7"/>
        <v>0</v>
      </c>
      <c r="AH38" s="346">
        <f t="shared" si="8"/>
        <v>379.97</v>
      </c>
      <c r="AI38" s="346">
        <f t="shared" si="9"/>
        <v>0</v>
      </c>
      <c r="AJ38" s="346">
        <f t="shared" si="10"/>
        <v>0</v>
      </c>
      <c r="AK38" s="346">
        <f t="shared" si="15"/>
        <v>0</v>
      </c>
      <c r="AL38" s="346">
        <f t="shared" si="11"/>
        <v>0</v>
      </c>
      <c r="AM38" s="445">
        <f t="shared" si="16"/>
        <v>12625.429999999998</v>
      </c>
      <c r="AN38" s="446">
        <f t="shared" si="17"/>
        <v>1.2600000000020373E-2</v>
      </c>
    </row>
    <row r="39" spans="2:43" x14ac:dyDescent="0.25">
      <c r="B39" s="347" t="s">
        <v>90</v>
      </c>
      <c r="C39" s="348" t="s">
        <v>91</v>
      </c>
      <c r="D39" s="386"/>
      <c r="E39" s="387"/>
      <c r="F39" s="387"/>
      <c r="G39" s="387"/>
      <c r="H39" s="443"/>
      <c r="I39" s="443"/>
      <c r="J39" s="443"/>
      <c r="K39" s="444"/>
      <c r="L39" s="444"/>
      <c r="M39" s="444"/>
      <c r="N39" s="387"/>
      <c r="O39" s="387"/>
      <c r="P39" s="444"/>
      <c r="Q39" s="444"/>
      <c r="R39" s="444">
        <v>0</v>
      </c>
      <c r="S39" s="444">
        <v>0</v>
      </c>
      <c r="T39" s="444">
        <v>0</v>
      </c>
      <c r="U39" s="444">
        <f>VLOOKUP(B39,'MEMÓRIA MEDIÇÃO 14'!$A$8:$F$202,6,FALSE)</f>
        <v>0</v>
      </c>
      <c r="V39" s="387">
        <f t="shared" si="12"/>
        <v>0</v>
      </c>
      <c r="W39" s="387"/>
      <c r="X39" s="387"/>
      <c r="Y39" s="346">
        <f t="shared" si="1"/>
        <v>0</v>
      </c>
      <c r="Z39" s="346">
        <f t="shared" si="2"/>
        <v>0</v>
      </c>
      <c r="AA39" s="346">
        <f t="shared" si="20"/>
        <v>0</v>
      </c>
      <c r="AB39" s="346">
        <f t="shared" si="3"/>
        <v>0</v>
      </c>
      <c r="AC39" s="346">
        <f t="shared" si="4"/>
        <v>0</v>
      </c>
      <c r="AD39" s="346">
        <f t="shared" si="5"/>
        <v>0</v>
      </c>
      <c r="AE39" s="346">
        <f t="shared" si="14"/>
        <v>0</v>
      </c>
      <c r="AF39" s="346">
        <f t="shared" si="6"/>
        <v>0</v>
      </c>
      <c r="AG39" s="346">
        <f t="shared" si="7"/>
        <v>0</v>
      </c>
      <c r="AH39" s="346">
        <f t="shared" si="8"/>
        <v>0</v>
      </c>
      <c r="AI39" s="346">
        <f t="shared" si="9"/>
        <v>0</v>
      </c>
      <c r="AJ39" s="346">
        <f t="shared" si="10"/>
        <v>0</v>
      </c>
      <c r="AK39" s="346">
        <f t="shared" si="15"/>
        <v>0</v>
      </c>
      <c r="AL39" s="346">
        <f t="shared" si="11"/>
        <v>0</v>
      </c>
      <c r="AM39" s="445">
        <f t="shared" si="16"/>
        <v>0</v>
      </c>
      <c r="AN39" s="446">
        <f t="shared" si="17"/>
        <v>0</v>
      </c>
    </row>
    <row r="40" spans="2:43" s="164" customFormat="1" ht="45" x14ac:dyDescent="0.35">
      <c r="B40" s="384" t="s">
        <v>92</v>
      </c>
      <c r="C40" s="385">
        <v>92443</v>
      </c>
      <c r="D40" s="386" t="s">
        <v>94</v>
      </c>
      <c r="E40" s="387" t="s">
        <v>17</v>
      </c>
      <c r="F40" s="387">
        <v>40.35</v>
      </c>
      <c r="G40" s="387">
        <v>410.98</v>
      </c>
      <c r="H40" s="443"/>
      <c r="I40" s="443"/>
      <c r="J40" s="443"/>
      <c r="K40" s="444">
        <f>'MEMORIAL DE CALCULO 04'!K384</f>
        <v>190.61699999999999</v>
      </c>
      <c r="L40" s="444">
        <f>'MEMORIAL DE CALCULO 05'!K384</f>
        <v>209.24299999999999</v>
      </c>
      <c r="M40" s="444"/>
      <c r="N40" s="387"/>
      <c r="O40" s="387"/>
      <c r="P40" s="444">
        <f>'MEMORIAL DE CALCULO 09)'!K384</f>
        <v>8.8404000000000007</v>
      </c>
      <c r="Q40" s="444">
        <v>2.2799999999999727</v>
      </c>
      <c r="R40" s="444">
        <v>0</v>
      </c>
      <c r="S40" s="444">
        <v>0</v>
      </c>
      <c r="T40" s="444">
        <v>0</v>
      </c>
      <c r="U40" s="444">
        <f>VLOOKUP(B40,'MEMÓRIA MEDIÇÃO 14'!$A$8:$F$202,6,FALSE)</f>
        <v>0</v>
      </c>
      <c r="V40" s="387">
        <f t="shared" si="12"/>
        <v>410.98039999999997</v>
      </c>
      <c r="W40" s="387">
        <f t="shared" ref="W40:W54" si="21">G40-V40</f>
        <v>-3.999999999564352E-4</v>
      </c>
      <c r="X40" s="387">
        <f t="shared" ref="X40:X54" si="22">F40*G40</f>
        <v>16583.043000000001</v>
      </c>
      <c r="Y40" s="346">
        <f t="shared" si="1"/>
        <v>0</v>
      </c>
      <c r="Z40" s="346">
        <f t="shared" si="2"/>
        <v>0</v>
      </c>
      <c r="AA40" s="346">
        <f t="shared" si="20"/>
        <v>0</v>
      </c>
      <c r="AB40" s="346">
        <f t="shared" si="3"/>
        <v>7691.39</v>
      </c>
      <c r="AC40" s="346">
        <f t="shared" si="4"/>
        <v>8442.9500000000007</v>
      </c>
      <c r="AD40" s="346">
        <f t="shared" si="5"/>
        <v>0</v>
      </c>
      <c r="AE40" s="346">
        <f t="shared" si="14"/>
        <v>0</v>
      </c>
      <c r="AF40" s="346">
        <f t="shared" si="6"/>
        <v>0</v>
      </c>
      <c r="AG40" s="346">
        <f t="shared" si="7"/>
        <v>356.71</v>
      </c>
      <c r="AH40" s="346">
        <f t="shared" si="8"/>
        <v>91.99</v>
      </c>
      <c r="AI40" s="346">
        <f t="shared" si="9"/>
        <v>0</v>
      </c>
      <c r="AJ40" s="346">
        <f t="shared" si="10"/>
        <v>0</v>
      </c>
      <c r="AK40" s="346">
        <f t="shared" si="15"/>
        <v>0</v>
      </c>
      <c r="AL40" s="346">
        <f t="shared" si="11"/>
        <v>0</v>
      </c>
      <c r="AM40" s="445">
        <f t="shared" si="16"/>
        <v>16583.04</v>
      </c>
      <c r="AN40" s="446">
        <f t="shared" si="17"/>
        <v>3.0000000006111804E-3</v>
      </c>
      <c r="AP40" s="378"/>
    </row>
    <row r="41" spans="2:43" s="169" customFormat="1" ht="33.75" x14ac:dyDescent="0.25">
      <c r="B41" s="384" t="s">
        <v>95</v>
      </c>
      <c r="C41" s="385">
        <v>92480</v>
      </c>
      <c r="D41" s="391" t="s">
        <v>97</v>
      </c>
      <c r="E41" s="387" t="s">
        <v>17</v>
      </c>
      <c r="F41" s="387">
        <v>62.17</v>
      </c>
      <c r="G41" s="387">
        <v>439.82</v>
      </c>
      <c r="H41" s="278"/>
      <c r="I41" s="278"/>
      <c r="J41" s="443"/>
      <c r="K41" s="278"/>
      <c r="L41" s="278"/>
      <c r="M41" s="443">
        <f>'MEMORIAL DE CALCULO 06'!K384</f>
        <v>261.94400000000002</v>
      </c>
      <c r="N41" s="443">
        <f>'MEMORIAL DE CALCULO 07'!K384</f>
        <v>32.747</v>
      </c>
      <c r="O41" s="443">
        <f>'MEMORIAL DE CALCULO 08'!K384</f>
        <v>32.743000000000002</v>
      </c>
      <c r="P41" s="443">
        <f>'MEMORIAL DE CALCULO 09)'!K386</f>
        <v>107.89619999999999</v>
      </c>
      <c r="Q41" s="444">
        <v>4.4879999999999995</v>
      </c>
      <c r="R41" s="444">
        <v>0</v>
      </c>
      <c r="S41" s="444">
        <v>0</v>
      </c>
      <c r="T41" s="444">
        <v>0</v>
      </c>
      <c r="U41" s="444">
        <f>VLOOKUP(B41,'MEMÓRIA MEDIÇÃO 14'!$A$8:$F$202,6,FALSE)</f>
        <v>0</v>
      </c>
      <c r="V41" s="387">
        <f t="shared" si="12"/>
        <v>439.81819999999999</v>
      </c>
      <c r="W41" s="387">
        <f t="shared" si="21"/>
        <v>1.8000000000029104E-3</v>
      </c>
      <c r="X41" s="387">
        <f t="shared" si="22"/>
        <v>27343.609400000001</v>
      </c>
      <c r="Y41" s="346">
        <f t="shared" si="1"/>
        <v>0</v>
      </c>
      <c r="Z41" s="346">
        <f t="shared" si="2"/>
        <v>0</v>
      </c>
      <c r="AA41" s="346">
        <f t="shared" si="20"/>
        <v>0</v>
      </c>
      <c r="AB41" s="346">
        <f t="shared" si="3"/>
        <v>0</v>
      </c>
      <c r="AC41" s="346">
        <f t="shared" si="4"/>
        <v>0</v>
      </c>
      <c r="AD41" s="346">
        <f t="shared" si="5"/>
        <v>16285.058480000002</v>
      </c>
      <c r="AE41" s="346">
        <f t="shared" si="14"/>
        <v>2035.8809900000001</v>
      </c>
      <c r="AF41" s="346">
        <f t="shared" si="6"/>
        <v>2035.63</v>
      </c>
      <c r="AG41" s="346">
        <f t="shared" si="7"/>
        <v>6707.9</v>
      </c>
      <c r="AH41" s="346">
        <f t="shared" si="8"/>
        <v>279.01</v>
      </c>
      <c r="AI41" s="346">
        <f t="shared" si="9"/>
        <v>0</v>
      </c>
      <c r="AJ41" s="346">
        <f t="shared" si="10"/>
        <v>0</v>
      </c>
      <c r="AK41" s="346">
        <f t="shared" si="15"/>
        <v>0</v>
      </c>
      <c r="AL41" s="346">
        <f t="shared" si="11"/>
        <v>0</v>
      </c>
      <c r="AM41" s="445">
        <f t="shared" si="16"/>
        <v>27343.479470000002</v>
      </c>
      <c r="AN41" s="446">
        <f>X41-AM41</f>
        <v>0.129929999999149</v>
      </c>
    </row>
    <row r="42" spans="2:43" s="169" customFormat="1" ht="22.5" x14ac:dyDescent="0.25">
      <c r="B42" s="384" t="s">
        <v>98</v>
      </c>
      <c r="C42" s="385">
        <v>92267</v>
      </c>
      <c r="D42" s="386" t="s">
        <v>100</v>
      </c>
      <c r="E42" s="387" t="s">
        <v>17</v>
      </c>
      <c r="F42" s="387">
        <v>30.99</v>
      </c>
      <c r="G42" s="387">
        <v>130.82</v>
      </c>
      <c r="H42" s="444"/>
      <c r="I42" s="443"/>
      <c r="J42" s="443"/>
      <c r="K42" s="444"/>
      <c r="L42" s="444"/>
      <c r="M42" s="444"/>
      <c r="N42" s="444"/>
      <c r="O42" s="444">
        <f>'MEMORIAL DE CALCULO 08'!K386</f>
        <v>53.183999999999997</v>
      </c>
      <c r="P42" s="444">
        <f>'MEMORIAL DE CALCULO 09)'!K389</f>
        <v>57.966300000000004</v>
      </c>
      <c r="Q42" s="444">
        <v>19.674650000000014</v>
      </c>
      <c r="R42" s="444">
        <v>0</v>
      </c>
      <c r="S42" s="444">
        <v>0</v>
      </c>
      <c r="T42" s="444">
        <v>0</v>
      </c>
      <c r="U42" s="444">
        <f>VLOOKUP(B42,'MEMÓRIA MEDIÇÃO 14'!$A$8:$F$202,6,FALSE)</f>
        <v>0</v>
      </c>
      <c r="V42" s="387">
        <f t="shared" si="12"/>
        <v>130.82495</v>
      </c>
      <c r="W42" s="387">
        <f t="shared" si="21"/>
        <v>-4.9500000000080036E-3</v>
      </c>
      <c r="X42" s="387">
        <f t="shared" si="22"/>
        <v>4054.1117999999997</v>
      </c>
      <c r="Y42" s="346">
        <f t="shared" si="1"/>
        <v>0</v>
      </c>
      <c r="Z42" s="346">
        <f t="shared" si="2"/>
        <v>0</v>
      </c>
      <c r="AA42" s="346">
        <f t="shared" si="20"/>
        <v>0</v>
      </c>
      <c r="AB42" s="346">
        <f t="shared" si="3"/>
        <v>0</v>
      </c>
      <c r="AC42" s="346">
        <f t="shared" si="4"/>
        <v>0</v>
      </c>
      <c r="AD42" s="346">
        <f t="shared" si="5"/>
        <v>0</v>
      </c>
      <c r="AE42" s="346">
        <f t="shared" si="14"/>
        <v>0</v>
      </c>
      <c r="AF42" s="346">
        <f t="shared" si="6"/>
        <v>1648.17</v>
      </c>
      <c r="AG42" s="346">
        <f t="shared" si="7"/>
        <v>1796.37</v>
      </c>
      <c r="AH42" s="346">
        <f t="shared" si="8"/>
        <v>609.71</v>
      </c>
      <c r="AI42" s="346">
        <f t="shared" si="9"/>
        <v>0</v>
      </c>
      <c r="AJ42" s="346">
        <f t="shared" si="10"/>
        <v>0</v>
      </c>
      <c r="AK42" s="346">
        <f t="shared" si="15"/>
        <v>0</v>
      </c>
      <c r="AL42" s="346">
        <f t="shared" si="11"/>
        <v>0</v>
      </c>
      <c r="AM42" s="445">
        <f t="shared" si="16"/>
        <v>4054.25</v>
      </c>
      <c r="AN42" s="446">
        <f t="shared" si="17"/>
        <v>-0.13820000000032451</v>
      </c>
    </row>
    <row r="43" spans="2:43" s="169" customFormat="1" ht="33.75" x14ac:dyDescent="0.25">
      <c r="B43" s="384" t="s">
        <v>101</v>
      </c>
      <c r="C43" s="385">
        <v>92759</v>
      </c>
      <c r="D43" s="386" t="s">
        <v>103</v>
      </c>
      <c r="E43" s="387" t="s">
        <v>62</v>
      </c>
      <c r="F43" s="387">
        <v>14.67</v>
      </c>
      <c r="G43" s="387">
        <v>1036.2</v>
      </c>
      <c r="H43" s="444"/>
      <c r="I43" s="443"/>
      <c r="J43" s="443"/>
      <c r="K43" s="444">
        <f>'MEMORIAL DE CALCULO 04'!K389</f>
        <v>222.09999999999997</v>
      </c>
      <c r="L43" s="444">
        <f>'MEMORIAL DE CALCULO 05'!K389</f>
        <v>460.6</v>
      </c>
      <c r="M43" s="444">
        <f>'MEMORIAL DE CALCULO 06'!K386</f>
        <v>214.5</v>
      </c>
      <c r="N43" s="387"/>
      <c r="O43" s="387"/>
      <c r="P43" s="444">
        <f>'MEMORIAL DE CALCULO 09)'!K392</f>
        <v>130.6009</v>
      </c>
      <c r="Q43" s="444">
        <v>8.4037799999998697</v>
      </c>
      <c r="R43" s="444">
        <v>0</v>
      </c>
      <c r="S43" s="444">
        <v>0</v>
      </c>
      <c r="T43" s="444">
        <v>0</v>
      </c>
      <c r="U43" s="444">
        <f>VLOOKUP(B43,'MEMÓRIA MEDIÇÃO 14'!$A$8:$F$202,6,FALSE)</f>
        <v>0</v>
      </c>
      <c r="V43" s="387">
        <f t="shared" si="12"/>
        <v>1036.2046799999998</v>
      </c>
      <c r="W43" s="387">
        <f t="shared" si="21"/>
        <v>-4.6799999997801933E-3</v>
      </c>
      <c r="X43" s="387">
        <f t="shared" si="22"/>
        <v>15201.054</v>
      </c>
      <c r="Y43" s="346">
        <f t="shared" si="1"/>
        <v>0</v>
      </c>
      <c r="Z43" s="346">
        <f t="shared" si="2"/>
        <v>0</v>
      </c>
      <c r="AA43" s="346">
        <f t="shared" si="20"/>
        <v>0</v>
      </c>
      <c r="AB43" s="346">
        <f t="shared" si="3"/>
        <v>3258.2</v>
      </c>
      <c r="AC43" s="346">
        <f t="shared" si="4"/>
        <v>6757</v>
      </c>
      <c r="AD43" s="346">
        <f t="shared" si="5"/>
        <v>3146.7150000000001</v>
      </c>
      <c r="AE43" s="346">
        <f t="shared" si="14"/>
        <v>0</v>
      </c>
      <c r="AF43" s="346">
        <f t="shared" si="6"/>
        <v>0</v>
      </c>
      <c r="AG43" s="346">
        <f t="shared" si="7"/>
        <v>1915.91</v>
      </c>
      <c r="AH43" s="346">
        <f t="shared" si="8"/>
        <v>123.28</v>
      </c>
      <c r="AI43" s="346">
        <f t="shared" si="9"/>
        <v>0</v>
      </c>
      <c r="AJ43" s="346">
        <f t="shared" si="10"/>
        <v>0</v>
      </c>
      <c r="AK43" s="346">
        <f t="shared" si="15"/>
        <v>0</v>
      </c>
      <c r="AL43" s="346">
        <f t="shared" si="11"/>
        <v>0</v>
      </c>
      <c r="AM43" s="445">
        <f t="shared" si="16"/>
        <v>15201.105000000001</v>
      </c>
      <c r="AN43" s="446">
        <f t="shared" si="17"/>
        <v>-5.100000000129512E-2</v>
      </c>
    </row>
    <row r="44" spans="2:43" s="169" customFormat="1" ht="33.75" x14ac:dyDescent="0.25">
      <c r="B44" s="384" t="s">
        <v>104</v>
      </c>
      <c r="C44" s="385">
        <v>92760</v>
      </c>
      <c r="D44" s="386" t="s">
        <v>106</v>
      </c>
      <c r="E44" s="387" t="s">
        <v>62</v>
      </c>
      <c r="F44" s="387">
        <v>14.4</v>
      </c>
      <c r="G44" s="387">
        <v>39.1</v>
      </c>
      <c r="H44" s="444"/>
      <c r="I44" s="443"/>
      <c r="J44" s="443"/>
      <c r="K44" s="444"/>
      <c r="L44" s="444">
        <f>'MEMORIAL DE CALCULO 05'!K393</f>
        <v>23.46</v>
      </c>
      <c r="M44" s="444">
        <f>'MEMORIAL DE CALCULO 06'!K388</f>
        <v>15.64</v>
      </c>
      <c r="N44" s="387"/>
      <c r="O44" s="387"/>
      <c r="P44" s="444"/>
      <c r="Q44" s="444"/>
      <c r="R44" s="444">
        <v>0</v>
      </c>
      <c r="S44" s="444">
        <v>0</v>
      </c>
      <c r="T44" s="444">
        <v>0</v>
      </c>
      <c r="U44" s="444">
        <f>VLOOKUP(B44,'MEMÓRIA MEDIÇÃO 14'!$A$8:$F$202,6,FALSE)</f>
        <v>0</v>
      </c>
      <c r="V44" s="387">
        <f t="shared" si="12"/>
        <v>39.1</v>
      </c>
      <c r="W44" s="387">
        <f t="shared" si="21"/>
        <v>0</v>
      </c>
      <c r="X44" s="387">
        <f t="shared" si="22"/>
        <v>563.04000000000008</v>
      </c>
      <c r="Y44" s="346">
        <f t="shared" si="1"/>
        <v>0</v>
      </c>
      <c r="Z44" s="346">
        <f t="shared" si="2"/>
        <v>0</v>
      </c>
      <c r="AA44" s="346">
        <f t="shared" si="20"/>
        <v>0</v>
      </c>
      <c r="AB44" s="346">
        <f t="shared" si="3"/>
        <v>0</v>
      </c>
      <c r="AC44" s="346">
        <f t="shared" si="4"/>
        <v>337.82</v>
      </c>
      <c r="AD44" s="346">
        <f t="shared" si="5"/>
        <v>225.21600000000001</v>
      </c>
      <c r="AE44" s="346">
        <f t="shared" si="14"/>
        <v>0</v>
      </c>
      <c r="AF44" s="346">
        <f t="shared" si="6"/>
        <v>0</v>
      </c>
      <c r="AG44" s="346">
        <f t="shared" si="7"/>
        <v>0</v>
      </c>
      <c r="AH44" s="346">
        <f t="shared" si="8"/>
        <v>0</v>
      </c>
      <c r="AI44" s="346">
        <f t="shared" si="9"/>
        <v>0</v>
      </c>
      <c r="AJ44" s="346">
        <f t="shared" si="10"/>
        <v>0</v>
      </c>
      <c r="AK44" s="346">
        <f t="shared" si="15"/>
        <v>0</v>
      </c>
      <c r="AL44" s="346">
        <f t="shared" si="11"/>
        <v>0</v>
      </c>
      <c r="AM44" s="445">
        <f t="shared" si="16"/>
        <v>563.03600000000006</v>
      </c>
      <c r="AN44" s="446">
        <f t="shared" si="17"/>
        <v>4.0000000000190994E-3</v>
      </c>
    </row>
    <row r="45" spans="2:43" s="167" customFormat="1" ht="33.75" x14ac:dyDescent="0.25">
      <c r="B45" s="384" t="s">
        <v>107</v>
      </c>
      <c r="C45" s="385">
        <v>92761</v>
      </c>
      <c r="D45" s="386" t="s">
        <v>109</v>
      </c>
      <c r="E45" s="387" t="s">
        <v>62</v>
      </c>
      <c r="F45" s="387">
        <v>14.25</v>
      </c>
      <c r="G45" s="387">
        <v>1021.28</v>
      </c>
      <c r="H45" s="444"/>
      <c r="I45" s="443"/>
      <c r="J45" s="443"/>
      <c r="K45" s="444"/>
      <c r="L45" s="444">
        <f>'MEMORIAL DE CALCULO 05'!K395</f>
        <v>415.67999999999995</v>
      </c>
      <c r="M45" s="444">
        <f>'MEMORIAL DE CALCULO 06'!K390</f>
        <v>415.67999999999995</v>
      </c>
      <c r="N45" s="387"/>
      <c r="O45" s="387"/>
      <c r="P45" s="444">
        <f>'MEMORIAL DE CALCULO 09)'!K396</f>
        <v>168.64</v>
      </c>
      <c r="Q45" s="444">
        <v>21.279999999999973</v>
      </c>
      <c r="R45" s="444">
        <v>0</v>
      </c>
      <c r="S45" s="444">
        <v>0</v>
      </c>
      <c r="T45" s="444">
        <v>0</v>
      </c>
      <c r="U45" s="444">
        <f>VLOOKUP(B45,'MEMÓRIA MEDIÇÃO 14'!$A$8:$F$202,6,FALSE)</f>
        <v>0</v>
      </c>
      <c r="V45" s="387">
        <f t="shared" si="12"/>
        <v>1021.2799999999999</v>
      </c>
      <c r="W45" s="387">
        <f t="shared" si="21"/>
        <v>0</v>
      </c>
      <c r="X45" s="387">
        <f t="shared" si="22"/>
        <v>14553.24</v>
      </c>
      <c r="Y45" s="346">
        <f t="shared" si="1"/>
        <v>0</v>
      </c>
      <c r="Z45" s="346">
        <f t="shared" si="2"/>
        <v>0</v>
      </c>
      <c r="AA45" s="346">
        <f t="shared" si="20"/>
        <v>0</v>
      </c>
      <c r="AB45" s="346">
        <f t="shared" si="3"/>
        <v>0</v>
      </c>
      <c r="AC45" s="346">
        <f t="shared" si="4"/>
        <v>5923.44</v>
      </c>
      <c r="AD45" s="346">
        <f t="shared" si="5"/>
        <v>5923.44</v>
      </c>
      <c r="AE45" s="346">
        <f t="shared" si="14"/>
        <v>0</v>
      </c>
      <c r="AF45" s="346">
        <f t="shared" si="6"/>
        <v>0</v>
      </c>
      <c r="AG45" s="346">
        <f t="shared" si="7"/>
        <v>2403.12</v>
      </c>
      <c r="AH45" s="346">
        <f t="shared" si="8"/>
        <v>303.24</v>
      </c>
      <c r="AI45" s="346">
        <f t="shared" si="9"/>
        <v>0</v>
      </c>
      <c r="AJ45" s="346">
        <f t="shared" si="10"/>
        <v>0</v>
      </c>
      <c r="AK45" s="346">
        <f t="shared" si="15"/>
        <v>0</v>
      </c>
      <c r="AL45" s="346">
        <f t="shared" si="11"/>
        <v>0</v>
      </c>
      <c r="AM45" s="445">
        <f t="shared" si="16"/>
        <v>14553.24</v>
      </c>
      <c r="AN45" s="446">
        <f t="shared" si="17"/>
        <v>0</v>
      </c>
    </row>
    <row r="46" spans="2:43" s="169" customFormat="1" ht="33.75" x14ac:dyDescent="0.25">
      <c r="B46" s="384" t="s">
        <v>110</v>
      </c>
      <c r="C46" s="385">
        <v>92762</v>
      </c>
      <c r="D46" s="386" t="s">
        <v>112</v>
      </c>
      <c r="E46" s="387" t="s">
        <v>62</v>
      </c>
      <c r="F46" s="387">
        <v>12.94</v>
      </c>
      <c r="G46" s="387">
        <v>1315.58</v>
      </c>
      <c r="H46" s="444"/>
      <c r="I46" s="443"/>
      <c r="J46" s="443"/>
      <c r="K46" s="444">
        <f>'MEMORIAL DE CALCULO 04'!K393</f>
        <v>601.83000000000004</v>
      </c>
      <c r="L46" s="444">
        <f>'MEMORIAL DE CALCULO 05'!K397</f>
        <v>635.56999999999994</v>
      </c>
      <c r="M46" s="444">
        <f>'MEMORIAL DE CALCULO 06'!K392</f>
        <v>57</v>
      </c>
      <c r="N46" s="387"/>
      <c r="O46" s="387"/>
      <c r="P46" s="444">
        <f>'MEMORIAL DE CALCULO 09)'!K398</f>
        <v>11.700799999999999</v>
      </c>
      <c r="Q46" s="444">
        <v>9.4771200000000135</v>
      </c>
      <c r="R46" s="444">
        <v>0</v>
      </c>
      <c r="S46" s="444">
        <v>0</v>
      </c>
      <c r="T46" s="444">
        <v>0</v>
      </c>
      <c r="U46" s="444">
        <f>VLOOKUP(B46,'MEMÓRIA MEDIÇÃO 14'!$A$8:$F$202,6,FALSE)</f>
        <v>0</v>
      </c>
      <c r="V46" s="387">
        <f t="shared" si="12"/>
        <v>1315.5779200000002</v>
      </c>
      <c r="W46" s="387">
        <f t="shared" si="21"/>
        <v>2.0799999997507257E-3</v>
      </c>
      <c r="X46" s="387">
        <f t="shared" si="22"/>
        <v>17023.605199999998</v>
      </c>
      <c r="Y46" s="346">
        <f t="shared" ref="Y46:Y77" si="23">F46*H46</f>
        <v>0</v>
      </c>
      <c r="Z46" s="346">
        <f t="shared" ref="Z46:Z77" si="24">F46*I46</f>
        <v>0</v>
      </c>
      <c r="AA46" s="346">
        <f t="shared" si="20"/>
        <v>0</v>
      </c>
      <c r="AB46" s="346">
        <f t="shared" ref="AB46:AB77" si="25">TRUNC(F46*K46,2)</f>
        <v>7787.68</v>
      </c>
      <c r="AC46" s="346">
        <f t="shared" ref="AC46:AC77" si="26">TRUNC(F46*L46,2)</f>
        <v>8224.27</v>
      </c>
      <c r="AD46" s="346">
        <f t="shared" si="5"/>
        <v>737.57999999999993</v>
      </c>
      <c r="AE46" s="346">
        <f t="shared" si="14"/>
        <v>0</v>
      </c>
      <c r="AF46" s="346">
        <f t="shared" ref="AF46:AF77" si="27">TRUNC(F46*O46,2)</f>
        <v>0</v>
      </c>
      <c r="AG46" s="346">
        <f t="shared" ref="AG46:AG77" si="28">TRUNC(F46*P46,2)</f>
        <v>151.4</v>
      </c>
      <c r="AH46" s="346">
        <f t="shared" ref="AH46:AH77" si="29">TRUNC(F46*Q46,2)</f>
        <v>122.63</v>
      </c>
      <c r="AI46" s="346">
        <f t="shared" ref="AI46:AI77" si="30">ROUND(R46*F46,2)</f>
        <v>0</v>
      </c>
      <c r="AJ46" s="346">
        <f t="shared" ref="AJ46:AJ77" si="31">ROUND(S46*F46,2)</f>
        <v>0</v>
      </c>
      <c r="AK46" s="346">
        <f t="shared" si="15"/>
        <v>0</v>
      </c>
      <c r="AL46" s="346">
        <f t="shared" ref="AL46:AL77" si="32">ROUND(U46*F46,2)</f>
        <v>0</v>
      </c>
      <c r="AM46" s="445">
        <f t="shared" si="16"/>
        <v>17023.560000000001</v>
      </c>
      <c r="AN46" s="446">
        <f t="shared" si="17"/>
        <v>4.5199999996839324E-2</v>
      </c>
    </row>
    <row r="47" spans="2:43" s="169" customFormat="1" ht="33.75" x14ac:dyDescent="0.25">
      <c r="B47" s="384" t="s">
        <v>113</v>
      </c>
      <c r="C47" s="385">
        <v>92763</v>
      </c>
      <c r="D47" s="386" t="s">
        <v>115</v>
      </c>
      <c r="E47" s="387" t="s">
        <v>62</v>
      </c>
      <c r="F47" s="387">
        <v>10.71</v>
      </c>
      <c r="G47" s="387">
        <v>168.2</v>
      </c>
      <c r="H47" s="444"/>
      <c r="I47" s="443"/>
      <c r="J47" s="443"/>
      <c r="K47" s="444">
        <f>'MEMORIAL DE CALCULO 04'!K396</f>
        <v>100.42</v>
      </c>
      <c r="L47" s="444">
        <f>'MEMORIAL DE CALCULO 05'!K401</f>
        <v>61.18</v>
      </c>
      <c r="M47" s="444"/>
      <c r="N47" s="387"/>
      <c r="O47" s="387"/>
      <c r="P47" s="444">
        <f>'MEMORIAL DE CALCULO 09)'!K400</f>
        <v>6.6020000000000003</v>
      </c>
      <c r="Q47" s="444"/>
      <c r="R47" s="444">
        <v>0</v>
      </c>
      <c r="S47" s="444">
        <v>0</v>
      </c>
      <c r="T47" s="444">
        <v>0</v>
      </c>
      <c r="U47" s="444">
        <f>VLOOKUP(B47,'MEMÓRIA MEDIÇÃO 14'!$A$8:$F$202,6,FALSE)</f>
        <v>0</v>
      </c>
      <c r="V47" s="387">
        <f t="shared" si="12"/>
        <v>168.202</v>
      </c>
      <c r="W47" s="387">
        <f t="shared" si="21"/>
        <v>-2.0000000000095497E-3</v>
      </c>
      <c r="X47" s="387">
        <f t="shared" si="22"/>
        <v>1801.422</v>
      </c>
      <c r="Y47" s="346">
        <f t="shared" si="23"/>
        <v>0</v>
      </c>
      <c r="Z47" s="346">
        <f t="shared" si="24"/>
        <v>0</v>
      </c>
      <c r="AA47" s="346">
        <f t="shared" si="20"/>
        <v>0</v>
      </c>
      <c r="AB47" s="346">
        <f t="shared" si="25"/>
        <v>1075.49</v>
      </c>
      <c r="AC47" s="346">
        <f t="shared" si="26"/>
        <v>655.23</v>
      </c>
      <c r="AD47" s="346">
        <f t="shared" si="5"/>
        <v>0</v>
      </c>
      <c r="AE47" s="346">
        <f t="shared" ref="AE47:AE78" si="33">F47*N47</f>
        <v>0</v>
      </c>
      <c r="AF47" s="346">
        <f t="shared" si="27"/>
        <v>0</v>
      </c>
      <c r="AG47" s="346">
        <f t="shared" si="28"/>
        <v>70.7</v>
      </c>
      <c r="AH47" s="346">
        <f t="shared" si="29"/>
        <v>0</v>
      </c>
      <c r="AI47" s="346">
        <f t="shared" si="30"/>
        <v>0</v>
      </c>
      <c r="AJ47" s="346">
        <f t="shared" si="31"/>
        <v>0</v>
      </c>
      <c r="AK47" s="346">
        <f t="shared" si="15"/>
        <v>0</v>
      </c>
      <c r="AL47" s="346">
        <f t="shared" si="32"/>
        <v>0</v>
      </c>
      <c r="AM47" s="445">
        <f t="shared" si="16"/>
        <v>1801.42</v>
      </c>
      <c r="AN47" s="446">
        <f t="shared" si="17"/>
        <v>1.9999999999527063E-3</v>
      </c>
    </row>
    <row r="48" spans="2:43" s="167" customFormat="1" ht="33.75" x14ac:dyDescent="0.25">
      <c r="B48" s="384" t="s">
        <v>116</v>
      </c>
      <c r="C48" s="385">
        <v>92768</v>
      </c>
      <c r="D48" s="386" t="s">
        <v>118</v>
      </c>
      <c r="E48" s="387" t="s">
        <v>62</v>
      </c>
      <c r="F48" s="387">
        <v>14.31</v>
      </c>
      <c r="G48" s="387">
        <v>205.38</v>
      </c>
      <c r="H48" s="444"/>
      <c r="I48" s="443"/>
      <c r="J48" s="443"/>
      <c r="K48" s="444"/>
      <c r="L48" s="444"/>
      <c r="M48" s="444">
        <f>'MEMORIAL DE CALCULO 06'!K394</f>
        <v>130.5</v>
      </c>
      <c r="N48" s="444"/>
      <c r="O48" s="444"/>
      <c r="P48" s="444">
        <f>'MEMORIAL DE CALCULO 09)'!K402</f>
        <v>28.2</v>
      </c>
      <c r="Q48" s="444">
        <v>46.679999999999978</v>
      </c>
      <c r="R48" s="444">
        <v>0</v>
      </c>
      <c r="S48" s="444">
        <v>0</v>
      </c>
      <c r="T48" s="444">
        <v>0</v>
      </c>
      <c r="U48" s="444">
        <f>VLOOKUP(B48,'MEMÓRIA MEDIÇÃO 14'!$A$8:$F$202,6,FALSE)</f>
        <v>0</v>
      </c>
      <c r="V48" s="387">
        <f t="shared" si="12"/>
        <v>205.37999999999997</v>
      </c>
      <c r="W48" s="387">
        <f t="shared" si="21"/>
        <v>0</v>
      </c>
      <c r="X48" s="387">
        <f t="shared" si="22"/>
        <v>2938.9877999999999</v>
      </c>
      <c r="Y48" s="346">
        <f t="shared" si="23"/>
        <v>0</v>
      </c>
      <c r="Z48" s="346">
        <f t="shared" si="24"/>
        <v>0</v>
      </c>
      <c r="AA48" s="346">
        <f t="shared" si="20"/>
        <v>0</v>
      </c>
      <c r="AB48" s="346">
        <f t="shared" si="25"/>
        <v>0</v>
      </c>
      <c r="AC48" s="346">
        <f t="shared" si="26"/>
        <v>0</v>
      </c>
      <c r="AD48" s="346">
        <f t="shared" si="5"/>
        <v>1867.4550000000002</v>
      </c>
      <c r="AE48" s="346">
        <f t="shared" si="33"/>
        <v>0</v>
      </c>
      <c r="AF48" s="346">
        <f t="shared" si="27"/>
        <v>0</v>
      </c>
      <c r="AG48" s="346">
        <f t="shared" si="28"/>
        <v>403.54</v>
      </c>
      <c r="AH48" s="346">
        <f t="shared" si="29"/>
        <v>667.99</v>
      </c>
      <c r="AI48" s="346">
        <f t="shared" si="30"/>
        <v>0</v>
      </c>
      <c r="AJ48" s="346">
        <f t="shared" si="31"/>
        <v>0</v>
      </c>
      <c r="AK48" s="346">
        <f t="shared" si="15"/>
        <v>0</v>
      </c>
      <c r="AL48" s="346">
        <f t="shared" si="32"/>
        <v>0</v>
      </c>
      <c r="AM48" s="445">
        <f t="shared" si="16"/>
        <v>2938.9850000000006</v>
      </c>
      <c r="AN48" s="446">
        <f t="shared" si="17"/>
        <v>2.7999999992971425E-3</v>
      </c>
    </row>
    <row r="49" spans="2:40" s="167" customFormat="1" ht="33.75" x14ac:dyDescent="0.25">
      <c r="B49" s="384" t="s">
        <v>119</v>
      </c>
      <c r="C49" s="385">
        <v>92769</v>
      </c>
      <c r="D49" s="386" t="s">
        <v>121</v>
      </c>
      <c r="E49" s="387" t="s">
        <v>62</v>
      </c>
      <c r="F49" s="387">
        <v>14.01</v>
      </c>
      <c r="G49" s="387">
        <v>178.73</v>
      </c>
      <c r="H49" s="444"/>
      <c r="I49" s="443"/>
      <c r="J49" s="443"/>
      <c r="K49" s="444"/>
      <c r="L49" s="444"/>
      <c r="M49" s="444">
        <f>'MEMORIAL DE CALCULO 06'!K396</f>
        <v>157.6</v>
      </c>
      <c r="N49" s="444"/>
      <c r="O49" s="444"/>
      <c r="P49" s="444">
        <f>'MEMORIAL DE CALCULO 09)'!K404</f>
        <v>12.9002</v>
      </c>
      <c r="Q49" s="444">
        <v>8.2319999999999993</v>
      </c>
      <c r="R49" s="444">
        <v>0</v>
      </c>
      <c r="S49" s="444">
        <v>0</v>
      </c>
      <c r="T49" s="444">
        <v>0</v>
      </c>
      <c r="U49" s="444">
        <f>VLOOKUP(B49,'MEMÓRIA MEDIÇÃO 14'!$A$8:$F$202,6,FALSE)</f>
        <v>0</v>
      </c>
      <c r="V49" s="387">
        <f t="shared" si="12"/>
        <v>178.73220000000001</v>
      </c>
      <c r="W49" s="387">
        <f t="shared" si="21"/>
        <v>-2.200000000016189E-3</v>
      </c>
      <c r="X49" s="387">
        <f t="shared" si="22"/>
        <v>2504.0072999999998</v>
      </c>
      <c r="Y49" s="346">
        <f t="shared" si="23"/>
        <v>0</v>
      </c>
      <c r="Z49" s="346">
        <f t="shared" si="24"/>
        <v>0</v>
      </c>
      <c r="AA49" s="346">
        <f t="shared" si="20"/>
        <v>0</v>
      </c>
      <c r="AB49" s="346">
        <f t="shared" si="25"/>
        <v>0</v>
      </c>
      <c r="AC49" s="346">
        <f t="shared" si="26"/>
        <v>0</v>
      </c>
      <c r="AD49" s="346">
        <f t="shared" si="5"/>
        <v>2207.9760000000001</v>
      </c>
      <c r="AE49" s="346">
        <f t="shared" si="33"/>
        <v>0</v>
      </c>
      <c r="AF49" s="346">
        <f t="shared" si="27"/>
        <v>0</v>
      </c>
      <c r="AG49" s="346">
        <f t="shared" si="28"/>
        <v>180.73</v>
      </c>
      <c r="AH49" s="346">
        <f t="shared" si="29"/>
        <v>115.33</v>
      </c>
      <c r="AI49" s="346">
        <f t="shared" si="30"/>
        <v>0</v>
      </c>
      <c r="AJ49" s="346">
        <f t="shared" si="31"/>
        <v>0</v>
      </c>
      <c r="AK49" s="346">
        <f t="shared" si="15"/>
        <v>0</v>
      </c>
      <c r="AL49" s="346">
        <f t="shared" si="32"/>
        <v>0</v>
      </c>
      <c r="AM49" s="445">
        <f t="shared" si="16"/>
        <v>2504.0360000000001</v>
      </c>
      <c r="AN49" s="446">
        <f t="shared" si="17"/>
        <v>-2.8700000000299042E-2</v>
      </c>
    </row>
    <row r="50" spans="2:40" s="167" customFormat="1" ht="33.75" x14ac:dyDescent="0.25">
      <c r="B50" s="384" t="s">
        <v>122</v>
      </c>
      <c r="C50" s="385">
        <v>92770</v>
      </c>
      <c r="D50" s="386" t="s">
        <v>124</v>
      </c>
      <c r="E50" s="387" t="s">
        <v>62</v>
      </c>
      <c r="F50" s="387">
        <v>13.86</v>
      </c>
      <c r="G50" s="387">
        <v>279.10000000000002</v>
      </c>
      <c r="H50" s="444"/>
      <c r="I50" s="443"/>
      <c r="J50" s="443"/>
      <c r="K50" s="444"/>
      <c r="L50" s="444"/>
      <c r="M50" s="444">
        <f>'MEMORIAL DE CALCULO 06'!K398</f>
        <v>259</v>
      </c>
      <c r="N50" s="444"/>
      <c r="O50" s="444"/>
      <c r="P50" s="444">
        <f>'MEMORIAL DE CALCULO 09)'!K406</f>
        <v>20.100899999999999</v>
      </c>
      <c r="Q50" s="444"/>
      <c r="R50" s="444">
        <v>0</v>
      </c>
      <c r="S50" s="444">
        <v>0</v>
      </c>
      <c r="T50" s="444">
        <v>0</v>
      </c>
      <c r="U50" s="444">
        <f>VLOOKUP(B50,'MEMÓRIA MEDIÇÃO 14'!$A$8:$F$202,6,FALSE)</f>
        <v>0</v>
      </c>
      <c r="V50" s="387">
        <f t="shared" si="12"/>
        <v>279.10090000000002</v>
      </c>
      <c r="W50" s="387">
        <f t="shared" si="21"/>
        <v>-9.0000000000145519E-4</v>
      </c>
      <c r="X50" s="387">
        <f t="shared" si="22"/>
        <v>3868.326</v>
      </c>
      <c r="Y50" s="346">
        <f t="shared" si="23"/>
        <v>0</v>
      </c>
      <c r="Z50" s="346">
        <f t="shared" si="24"/>
        <v>0</v>
      </c>
      <c r="AA50" s="346">
        <f t="shared" si="20"/>
        <v>0</v>
      </c>
      <c r="AB50" s="346">
        <f t="shared" si="25"/>
        <v>0</v>
      </c>
      <c r="AC50" s="346">
        <f t="shared" si="26"/>
        <v>0</v>
      </c>
      <c r="AD50" s="346">
        <f t="shared" si="5"/>
        <v>3589.74</v>
      </c>
      <c r="AE50" s="346">
        <f t="shared" si="33"/>
        <v>0</v>
      </c>
      <c r="AF50" s="346">
        <f t="shared" si="27"/>
        <v>0</v>
      </c>
      <c r="AG50" s="346">
        <f t="shared" si="28"/>
        <v>278.58999999999997</v>
      </c>
      <c r="AH50" s="346">
        <f t="shared" si="29"/>
        <v>0</v>
      </c>
      <c r="AI50" s="346">
        <f t="shared" si="30"/>
        <v>0</v>
      </c>
      <c r="AJ50" s="346">
        <f t="shared" si="31"/>
        <v>0</v>
      </c>
      <c r="AK50" s="346">
        <f t="shared" si="15"/>
        <v>0</v>
      </c>
      <c r="AL50" s="346">
        <f t="shared" si="32"/>
        <v>0</v>
      </c>
      <c r="AM50" s="445">
        <f t="shared" si="16"/>
        <v>3868.33</v>
      </c>
      <c r="AN50" s="446">
        <f t="shared" si="17"/>
        <v>-3.9999999999054126E-3</v>
      </c>
    </row>
    <row r="51" spans="2:40" s="164" customFormat="1" ht="33.75" x14ac:dyDescent="0.25">
      <c r="B51" s="384" t="s">
        <v>125</v>
      </c>
      <c r="C51" s="385">
        <v>94966</v>
      </c>
      <c r="D51" s="386" t="s">
        <v>65</v>
      </c>
      <c r="E51" s="387" t="s">
        <v>41</v>
      </c>
      <c r="F51" s="387">
        <v>530.88</v>
      </c>
      <c r="G51" s="387">
        <v>81.650000000000006</v>
      </c>
      <c r="H51" s="444"/>
      <c r="I51" s="443"/>
      <c r="J51" s="443"/>
      <c r="K51" s="444">
        <f>'MEMORIAL DE CALCULO 04'!K402</f>
        <v>10.245999999999999</v>
      </c>
      <c r="L51" s="444">
        <f>'MEMORIAL DE CALCULO 05'!K406</f>
        <v>9.1839999999999993</v>
      </c>
      <c r="M51" s="444">
        <f>'MEMORIAL DE CALCULO 06'!K400</f>
        <v>19.399999999999999</v>
      </c>
      <c r="N51" s="444">
        <f>'MEMORIAL DE CALCULO 07'!K403</f>
        <v>4.84</v>
      </c>
      <c r="O51" s="444">
        <f>'MEMORIAL DE CALCULO 08'!K402</f>
        <v>7.87</v>
      </c>
      <c r="P51" s="444">
        <f>'MEMORIAL DE CALCULO 09)'!K408</f>
        <v>10.02003</v>
      </c>
      <c r="Q51" s="444">
        <v>20.088424999999987</v>
      </c>
      <c r="R51" s="444">
        <v>0</v>
      </c>
      <c r="S51" s="444">
        <v>0</v>
      </c>
      <c r="T51" s="444">
        <v>0</v>
      </c>
      <c r="U51" s="444">
        <f>VLOOKUP(B51,'MEMÓRIA MEDIÇÃO 14'!$A$8:$F$202,6,FALSE)</f>
        <v>0</v>
      </c>
      <c r="V51" s="387">
        <f t="shared" si="12"/>
        <v>81.648454999999984</v>
      </c>
      <c r="W51" s="387">
        <f t="shared" si="21"/>
        <v>1.5450000000214459E-3</v>
      </c>
      <c r="X51" s="387">
        <f t="shared" si="22"/>
        <v>43346.352000000006</v>
      </c>
      <c r="Y51" s="346">
        <f t="shared" si="23"/>
        <v>0</v>
      </c>
      <c r="Z51" s="346">
        <f t="shared" si="24"/>
        <v>0</v>
      </c>
      <c r="AA51" s="346">
        <f t="shared" si="20"/>
        <v>0</v>
      </c>
      <c r="AB51" s="346">
        <f t="shared" si="25"/>
        <v>5439.39</v>
      </c>
      <c r="AC51" s="346">
        <f t="shared" si="26"/>
        <v>4875.6000000000004</v>
      </c>
      <c r="AD51" s="346">
        <f t="shared" si="5"/>
        <v>10299.071999999998</v>
      </c>
      <c r="AE51" s="346">
        <f t="shared" si="33"/>
        <v>2569.4591999999998</v>
      </c>
      <c r="AF51" s="346">
        <f t="shared" si="27"/>
        <v>4178.0200000000004</v>
      </c>
      <c r="AG51" s="346">
        <f t="shared" si="28"/>
        <v>5319.43</v>
      </c>
      <c r="AH51" s="346">
        <f t="shared" si="29"/>
        <v>10664.54</v>
      </c>
      <c r="AI51" s="346">
        <f t="shared" si="30"/>
        <v>0</v>
      </c>
      <c r="AJ51" s="346">
        <f t="shared" si="31"/>
        <v>0</v>
      </c>
      <c r="AK51" s="346">
        <f t="shared" si="15"/>
        <v>0</v>
      </c>
      <c r="AL51" s="346">
        <f t="shared" si="32"/>
        <v>0</v>
      </c>
      <c r="AM51" s="445">
        <f t="shared" si="16"/>
        <v>43345.511200000001</v>
      </c>
      <c r="AN51" s="446">
        <f t="shared" si="17"/>
        <v>0.84080000000540167</v>
      </c>
    </row>
    <row r="52" spans="2:40" s="167" customFormat="1" ht="22.5" x14ac:dyDescent="0.25">
      <c r="B52" s="384" t="s">
        <v>126</v>
      </c>
      <c r="C52" s="385">
        <v>103670</v>
      </c>
      <c r="D52" s="391" t="s">
        <v>71</v>
      </c>
      <c r="E52" s="387" t="s">
        <v>41</v>
      </c>
      <c r="F52" s="387">
        <v>230.55</v>
      </c>
      <c r="G52" s="387">
        <v>81.650000000000006</v>
      </c>
      <c r="H52" s="278"/>
      <c r="I52" s="278"/>
      <c r="J52" s="443"/>
      <c r="K52" s="443">
        <f>'MEMORIAL DE CALCULO 04'!K405</f>
        <v>10.245999999999999</v>
      </c>
      <c r="L52" s="443">
        <f>'MEMORIAL DE CALCULO 05'!K406</f>
        <v>9.1839999999999993</v>
      </c>
      <c r="M52" s="443">
        <f>'MEMORIAL DE CALCULO 06'!K403</f>
        <v>19.399999999999999</v>
      </c>
      <c r="N52" s="443">
        <f>'MEMORIAL DE CALCULO 07'!K407</f>
        <v>4.84</v>
      </c>
      <c r="O52" s="443">
        <f>'MEMORIAL DE CALCULO 08'!K406</f>
        <v>7.87</v>
      </c>
      <c r="P52" s="443">
        <f>'MEMORIAL DE CALCULO 09)'!K410</f>
        <v>10.02009999</v>
      </c>
      <c r="Q52" s="443">
        <v>20.088424999999987</v>
      </c>
      <c r="R52" s="444">
        <v>0</v>
      </c>
      <c r="S52" s="444">
        <v>0</v>
      </c>
      <c r="T52" s="444">
        <v>0</v>
      </c>
      <c r="U52" s="444">
        <f>VLOOKUP(B52,'MEMÓRIA MEDIÇÃO 14'!$A$8:$F$202,6,FALSE)</f>
        <v>0</v>
      </c>
      <c r="V52" s="387">
        <f t="shared" si="12"/>
        <v>81.648524989999984</v>
      </c>
      <c r="W52" s="387">
        <f t="shared" si="21"/>
        <v>1.4750100000213706E-3</v>
      </c>
      <c r="X52" s="387">
        <f t="shared" si="22"/>
        <v>18824.407500000001</v>
      </c>
      <c r="Y52" s="346">
        <f t="shared" si="23"/>
        <v>0</v>
      </c>
      <c r="Z52" s="346">
        <f t="shared" si="24"/>
        <v>0</v>
      </c>
      <c r="AA52" s="346">
        <f t="shared" si="20"/>
        <v>0</v>
      </c>
      <c r="AB52" s="346">
        <f t="shared" si="25"/>
        <v>2362.21</v>
      </c>
      <c r="AC52" s="346">
        <f t="shared" si="26"/>
        <v>2117.37</v>
      </c>
      <c r="AD52" s="346">
        <f t="shared" si="5"/>
        <v>4472.67</v>
      </c>
      <c r="AE52" s="346">
        <f t="shared" si="33"/>
        <v>1115.8620000000001</v>
      </c>
      <c r="AF52" s="346">
        <f t="shared" si="27"/>
        <v>1814.42</v>
      </c>
      <c r="AG52" s="346">
        <f t="shared" si="28"/>
        <v>2310.13</v>
      </c>
      <c r="AH52" s="346">
        <f t="shared" si="29"/>
        <v>4631.38</v>
      </c>
      <c r="AI52" s="346">
        <f t="shared" si="30"/>
        <v>0</v>
      </c>
      <c r="AJ52" s="346">
        <f t="shared" si="31"/>
        <v>0</v>
      </c>
      <c r="AK52" s="346">
        <f t="shared" si="15"/>
        <v>0</v>
      </c>
      <c r="AL52" s="346">
        <f t="shared" si="32"/>
        <v>0</v>
      </c>
      <c r="AM52" s="445">
        <f t="shared" si="16"/>
        <v>18824.042000000001</v>
      </c>
      <c r="AN52" s="446">
        <f t="shared" si="17"/>
        <v>0.36549999999988358</v>
      </c>
    </row>
    <row r="53" spans="2:40" s="167" customFormat="1" ht="33.75" x14ac:dyDescent="0.25">
      <c r="B53" s="384" t="s">
        <v>127</v>
      </c>
      <c r="C53" s="385">
        <v>92771</v>
      </c>
      <c r="D53" s="391" t="s">
        <v>129</v>
      </c>
      <c r="E53" s="387" t="s">
        <v>62</v>
      </c>
      <c r="F53" s="387">
        <v>12.55</v>
      </c>
      <c r="G53" s="387">
        <v>406.9</v>
      </c>
      <c r="H53" s="278"/>
      <c r="I53" s="278"/>
      <c r="J53" s="443"/>
      <c r="K53" s="278"/>
      <c r="L53" s="278"/>
      <c r="M53" s="443">
        <f>'MEMORIAL DE CALCULO 06'!K405</f>
        <v>217.7</v>
      </c>
      <c r="N53" s="278"/>
      <c r="O53" s="278"/>
      <c r="P53" s="443">
        <f>'MEMORIAL DE CALCULO 09)'!K412</f>
        <v>94.6</v>
      </c>
      <c r="Q53" s="443">
        <v>94.599999999999966</v>
      </c>
      <c r="R53" s="444">
        <v>0</v>
      </c>
      <c r="S53" s="444">
        <v>0</v>
      </c>
      <c r="T53" s="444">
        <v>0</v>
      </c>
      <c r="U53" s="444">
        <f>VLOOKUP(B53,'MEMÓRIA MEDIÇÃO 14'!$A$8:$F$202,6,FALSE)</f>
        <v>0</v>
      </c>
      <c r="V53" s="387">
        <f t="shared" si="12"/>
        <v>406.89999999999992</v>
      </c>
      <c r="W53" s="387">
        <f t="shared" si="21"/>
        <v>0</v>
      </c>
      <c r="X53" s="387">
        <f t="shared" si="22"/>
        <v>5106.5950000000003</v>
      </c>
      <c r="Y53" s="346">
        <f t="shared" si="23"/>
        <v>0</v>
      </c>
      <c r="Z53" s="346">
        <f t="shared" si="24"/>
        <v>0</v>
      </c>
      <c r="AA53" s="346">
        <f t="shared" si="20"/>
        <v>0</v>
      </c>
      <c r="AB53" s="346">
        <f t="shared" si="25"/>
        <v>0</v>
      </c>
      <c r="AC53" s="346">
        <f t="shared" si="26"/>
        <v>0</v>
      </c>
      <c r="AD53" s="346">
        <f t="shared" si="5"/>
        <v>2732.1350000000002</v>
      </c>
      <c r="AE53" s="346">
        <f t="shared" si="33"/>
        <v>0</v>
      </c>
      <c r="AF53" s="346">
        <f t="shared" si="27"/>
        <v>0</v>
      </c>
      <c r="AG53" s="346">
        <f t="shared" si="28"/>
        <v>1187.23</v>
      </c>
      <c r="AH53" s="346">
        <f t="shared" si="29"/>
        <v>1187.23</v>
      </c>
      <c r="AI53" s="346">
        <f t="shared" si="30"/>
        <v>0</v>
      </c>
      <c r="AJ53" s="346">
        <f t="shared" si="31"/>
        <v>0</v>
      </c>
      <c r="AK53" s="346">
        <f t="shared" si="15"/>
        <v>0</v>
      </c>
      <c r="AL53" s="346">
        <f t="shared" si="32"/>
        <v>0</v>
      </c>
      <c r="AM53" s="445">
        <f t="shared" si="16"/>
        <v>5106.5950000000003</v>
      </c>
      <c r="AN53" s="446">
        <f t="shared" si="17"/>
        <v>0</v>
      </c>
    </row>
    <row r="54" spans="2:40" s="167" customFormat="1" ht="33.75" x14ac:dyDescent="0.25">
      <c r="B54" s="384" t="s">
        <v>130</v>
      </c>
      <c r="C54" s="385">
        <v>92772</v>
      </c>
      <c r="D54" s="386" t="s">
        <v>132</v>
      </c>
      <c r="E54" s="387" t="s">
        <v>62</v>
      </c>
      <c r="F54" s="387">
        <v>10.39</v>
      </c>
      <c r="G54" s="387">
        <v>154.80000000000001</v>
      </c>
      <c r="H54" s="444"/>
      <c r="I54" s="443"/>
      <c r="J54" s="443"/>
      <c r="K54" s="444"/>
      <c r="L54" s="444"/>
      <c r="M54" s="444">
        <f>'MEMORIAL DE CALCULO 06'!K407</f>
        <v>154.80000000000001</v>
      </c>
      <c r="N54" s="387"/>
      <c r="O54" s="387"/>
      <c r="P54" s="444"/>
      <c r="Q54" s="444"/>
      <c r="R54" s="444">
        <v>0</v>
      </c>
      <c r="S54" s="444">
        <v>0</v>
      </c>
      <c r="T54" s="444">
        <v>0</v>
      </c>
      <c r="U54" s="444">
        <f>VLOOKUP(B54,'MEMÓRIA MEDIÇÃO 14'!$A$8:$F$202,6,FALSE)</f>
        <v>0</v>
      </c>
      <c r="V54" s="387">
        <f t="shared" si="12"/>
        <v>154.80000000000001</v>
      </c>
      <c r="W54" s="387">
        <f t="shared" si="21"/>
        <v>0</v>
      </c>
      <c r="X54" s="387">
        <f t="shared" si="22"/>
        <v>1608.3720000000003</v>
      </c>
      <c r="Y54" s="346">
        <f t="shared" si="23"/>
        <v>0</v>
      </c>
      <c r="Z54" s="346">
        <f t="shared" si="24"/>
        <v>0</v>
      </c>
      <c r="AA54" s="346">
        <f t="shared" si="20"/>
        <v>0</v>
      </c>
      <c r="AB54" s="346">
        <f t="shared" si="25"/>
        <v>0</v>
      </c>
      <c r="AC54" s="346">
        <f t="shared" si="26"/>
        <v>0</v>
      </c>
      <c r="AD54" s="346">
        <f t="shared" si="5"/>
        <v>1608.3720000000003</v>
      </c>
      <c r="AE54" s="346">
        <f t="shared" si="33"/>
        <v>0</v>
      </c>
      <c r="AF54" s="346">
        <f t="shared" si="27"/>
        <v>0</v>
      </c>
      <c r="AG54" s="346">
        <f t="shared" si="28"/>
        <v>0</v>
      </c>
      <c r="AH54" s="346">
        <f t="shared" si="29"/>
        <v>0</v>
      </c>
      <c r="AI54" s="346">
        <f t="shared" si="30"/>
        <v>0</v>
      </c>
      <c r="AJ54" s="346">
        <f t="shared" si="31"/>
        <v>0</v>
      </c>
      <c r="AK54" s="346">
        <f t="shared" si="15"/>
        <v>0</v>
      </c>
      <c r="AL54" s="346">
        <f t="shared" si="32"/>
        <v>0</v>
      </c>
      <c r="AM54" s="445">
        <f t="shared" si="16"/>
        <v>1608.3720000000003</v>
      </c>
      <c r="AN54" s="446">
        <f t="shared" si="17"/>
        <v>0</v>
      </c>
    </row>
    <row r="55" spans="2:40" s="167" customFormat="1" x14ac:dyDescent="0.25">
      <c r="B55" s="347">
        <v>1.5</v>
      </c>
      <c r="C55" s="348" t="s">
        <v>134</v>
      </c>
      <c r="D55" s="386"/>
      <c r="E55" s="387"/>
      <c r="F55" s="387"/>
      <c r="G55" s="387"/>
      <c r="H55" s="444"/>
      <c r="I55" s="443"/>
      <c r="J55" s="443"/>
      <c r="K55" s="444"/>
      <c r="L55" s="444"/>
      <c r="M55" s="444"/>
      <c r="N55" s="387"/>
      <c r="O55" s="387"/>
      <c r="P55" s="444"/>
      <c r="Q55" s="444"/>
      <c r="R55" s="444">
        <v>0</v>
      </c>
      <c r="S55" s="444">
        <v>0</v>
      </c>
      <c r="T55" s="444">
        <v>0</v>
      </c>
      <c r="U55" s="444">
        <f>VLOOKUP(B55,'MEMÓRIA MEDIÇÃO 14'!$A$8:$F$202,6,FALSE)</f>
        <v>0</v>
      </c>
      <c r="V55" s="387">
        <f t="shared" si="12"/>
        <v>0</v>
      </c>
      <c r="W55" s="387"/>
      <c r="X55" s="387"/>
      <c r="Y55" s="346">
        <f t="shared" si="23"/>
        <v>0</v>
      </c>
      <c r="Z55" s="346">
        <f t="shared" si="24"/>
        <v>0</v>
      </c>
      <c r="AA55" s="346">
        <f t="shared" si="20"/>
        <v>0</v>
      </c>
      <c r="AB55" s="346">
        <f t="shared" si="25"/>
        <v>0</v>
      </c>
      <c r="AC55" s="346">
        <f t="shared" si="26"/>
        <v>0</v>
      </c>
      <c r="AD55" s="346">
        <f t="shared" si="5"/>
        <v>0</v>
      </c>
      <c r="AE55" s="346">
        <f t="shared" si="33"/>
        <v>0</v>
      </c>
      <c r="AF55" s="346">
        <f t="shared" si="27"/>
        <v>0</v>
      </c>
      <c r="AG55" s="346">
        <f t="shared" si="28"/>
        <v>0</v>
      </c>
      <c r="AH55" s="346">
        <f t="shared" si="29"/>
        <v>0</v>
      </c>
      <c r="AI55" s="346">
        <f t="shared" si="30"/>
        <v>0</v>
      </c>
      <c r="AJ55" s="346">
        <f t="shared" si="31"/>
        <v>0</v>
      </c>
      <c r="AK55" s="346">
        <f t="shared" si="15"/>
        <v>0</v>
      </c>
      <c r="AL55" s="346">
        <f t="shared" si="32"/>
        <v>0</v>
      </c>
      <c r="AM55" s="445">
        <f t="shared" si="16"/>
        <v>0</v>
      </c>
      <c r="AN55" s="446">
        <f t="shared" si="17"/>
        <v>0</v>
      </c>
    </row>
    <row r="56" spans="2:40" ht="45" x14ac:dyDescent="0.25">
      <c r="B56" s="384" t="s">
        <v>135</v>
      </c>
      <c r="C56" s="385">
        <v>103356</v>
      </c>
      <c r="D56" s="386" t="s">
        <v>137</v>
      </c>
      <c r="E56" s="387" t="s">
        <v>17</v>
      </c>
      <c r="F56" s="387">
        <v>46.86</v>
      </c>
      <c r="G56" s="387">
        <v>1242.6199999999999</v>
      </c>
      <c r="H56" s="444"/>
      <c r="I56" s="443"/>
      <c r="J56" s="443"/>
      <c r="K56" s="444">
        <f>'MEMORIAL DE CALCULO 04'!K410</f>
        <v>354.68499999999995</v>
      </c>
      <c r="L56" s="444">
        <f>'MEMORIAL DE CALCULO 05'!K413</f>
        <v>492.16000000000014</v>
      </c>
      <c r="M56" s="444"/>
      <c r="N56" s="387"/>
      <c r="O56" s="444">
        <f>'MEMORIAL DE CALCULO 08'!K414</f>
        <v>238.84</v>
      </c>
      <c r="P56" s="444">
        <f>'MEMORIAL DE CALCULO 09)'!K418</f>
        <v>46.31</v>
      </c>
      <c r="Q56" s="444">
        <v>110.62549999999987</v>
      </c>
      <c r="R56" s="444">
        <v>0</v>
      </c>
      <c r="S56" s="444">
        <v>0</v>
      </c>
      <c r="T56" s="444">
        <v>0</v>
      </c>
      <c r="U56" s="444">
        <f>VLOOKUP(B56,'MEMÓRIA MEDIÇÃO 14'!$A$8:$F$202,6,FALSE)</f>
        <v>0</v>
      </c>
      <c r="V56" s="387">
        <f t="shared" si="12"/>
        <v>1242.6204999999998</v>
      </c>
      <c r="W56" s="387">
        <f>G56-V56</f>
        <v>-4.9999999987448973E-4</v>
      </c>
      <c r="X56" s="387">
        <f>F56*G56</f>
        <v>58229.173199999997</v>
      </c>
      <c r="Y56" s="346">
        <f t="shared" si="23"/>
        <v>0</v>
      </c>
      <c r="Z56" s="346">
        <f t="shared" si="24"/>
        <v>0</v>
      </c>
      <c r="AA56" s="346">
        <f t="shared" si="20"/>
        <v>0</v>
      </c>
      <c r="AB56" s="346">
        <f t="shared" si="25"/>
        <v>16620.53</v>
      </c>
      <c r="AC56" s="346">
        <f t="shared" si="26"/>
        <v>23062.61</v>
      </c>
      <c r="AD56" s="346">
        <f t="shared" si="5"/>
        <v>0</v>
      </c>
      <c r="AE56" s="346">
        <f t="shared" si="33"/>
        <v>0</v>
      </c>
      <c r="AF56" s="346">
        <f t="shared" si="27"/>
        <v>11192.04</v>
      </c>
      <c r="AG56" s="346">
        <f t="shared" si="28"/>
        <v>2170.08</v>
      </c>
      <c r="AH56" s="346">
        <f t="shared" si="29"/>
        <v>5183.91</v>
      </c>
      <c r="AI56" s="346">
        <f t="shared" si="30"/>
        <v>0</v>
      </c>
      <c r="AJ56" s="346">
        <f t="shared" si="31"/>
        <v>0</v>
      </c>
      <c r="AK56" s="346">
        <f t="shared" si="15"/>
        <v>0</v>
      </c>
      <c r="AL56" s="346">
        <f t="shared" si="32"/>
        <v>0</v>
      </c>
      <c r="AM56" s="445">
        <f t="shared" si="16"/>
        <v>58229.17</v>
      </c>
      <c r="AN56" s="446">
        <f t="shared" si="17"/>
        <v>3.1999999991967343E-3</v>
      </c>
    </row>
    <row r="57" spans="2:40" s="167" customFormat="1" ht="22.5" x14ac:dyDescent="0.25">
      <c r="B57" s="384" t="s">
        <v>138</v>
      </c>
      <c r="C57" s="385">
        <v>93189</v>
      </c>
      <c r="D57" s="391" t="s">
        <v>140</v>
      </c>
      <c r="E57" s="387" t="s">
        <v>37</v>
      </c>
      <c r="F57" s="387">
        <v>99.36</v>
      </c>
      <c r="G57" s="387">
        <v>64.099999999999994</v>
      </c>
      <c r="H57" s="278"/>
      <c r="I57" s="443"/>
      <c r="J57" s="443"/>
      <c r="K57" s="443">
        <f>'MEMORIAL DE CALCULO 04'!K484</f>
        <v>10.199999999999999</v>
      </c>
      <c r="L57" s="443">
        <f>'MEMORIAL DE CALCULO 05'!K479</f>
        <v>53.900000000000006</v>
      </c>
      <c r="M57" s="278"/>
      <c r="N57" s="278"/>
      <c r="O57" s="278"/>
      <c r="P57" s="278"/>
      <c r="Q57" s="278"/>
      <c r="R57" s="444">
        <v>0</v>
      </c>
      <c r="S57" s="444">
        <v>0</v>
      </c>
      <c r="T57" s="444">
        <v>0</v>
      </c>
      <c r="U57" s="444">
        <f>VLOOKUP(B57,'MEMÓRIA MEDIÇÃO 14'!$A$8:$F$202,6,FALSE)</f>
        <v>0</v>
      </c>
      <c r="V57" s="387">
        <f t="shared" si="12"/>
        <v>64.100000000000009</v>
      </c>
      <c r="W57" s="387">
        <f>G57-V57</f>
        <v>0</v>
      </c>
      <c r="X57" s="387">
        <f>F57*G57</f>
        <v>6368.9759999999997</v>
      </c>
      <c r="Y57" s="346">
        <f t="shared" si="23"/>
        <v>0</v>
      </c>
      <c r="Z57" s="346">
        <f t="shared" si="24"/>
        <v>0</v>
      </c>
      <c r="AA57" s="346">
        <f t="shared" si="20"/>
        <v>0</v>
      </c>
      <c r="AB57" s="346">
        <f t="shared" si="25"/>
        <v>1013.47</v>
      </c>
      <c r="AC57" s="346">
        <f t="shared" si="26"/>
        <v>5355.5</v>
      </c>
      <c r="AD57" s="346">
        <f t="shared" si="5"/>
        <v>0</v>
      </c>
      <c r="AE57" s="346">
        <f t="shared" si="33"/>
        <v>0</v>
      </c>
      <c r="AF57" s="346">
        <f t="shared" si="27"/>
        <v>0</v>
      </c>
      <c r="AG57" s="346">
        <f t="shared" si="28"/>
        <v>0</v>
      </c>
      <c r="AH57" s="346">
        <f t="shared" si="29"/>
        <v>0</v>
      </c>
      <c r="AI57" s="346">
        <f t="shared" si="30"/>
        <v>0</v>
      </c>
      <c r="AJ57" s="346">
        <f t="shared" si="31"/>
        <v>0</v>
      </c>
      <c r="AK57" s="346">
        <f t="shared" si="15"/>
        <v>0</v>
      </c>
      <c r="AL57" s="346">
        <f t="shared" si="32"/>
        <v>0</v>
      </c>
      <c r="AM57" s="445">
        <f t="shared" si="16"/>
        <v>6368.97</v>
      </c>
      <c r="AN57" s="446">
        <f t="shared" si="17"/>
        <v>5.9999999994033715E-3</v>
      </c>
    </row>
    <row r="58" spans="2:40" s="167" customFormat="1" ht="33.75" x14ac:dyDescent="0.25">
      <c r="B58" s="384" t="s">
        <v>141</v>
      </c>
      <c r="C58" s="385">
        <v>93191</v>
      </c>
      <c r="D58" s="386" t="s">
        <v>143</v>
      </c>
      <c r="E58" s="387" t="s">
        <v>37</v>
      </c>
      <c r="F58" s="387">
        <v>50.71</v>
      </c>
      <c r="G58" s="387">
        <v>73.3</v>
      </c>
      <c r="H58" s="444"/>
      <c r="I58" s="443"/>
      <c r="J58" s="443"/>
      <c r="K58" s="444">
        <f>'MEMORIAL DE CALCULO 04'!K488</f>
        <v>11.6</v>
      </c>
      <c r="L58" s="444">
        <f>'MEMORIAL DE CALCULO 05'!K486</f>
        <v>60.600000000000009</v>
      </c>
      <c r="M58" s="444"/>
      <c r="N58" s="387"/>
      <c r="O58" s="387"/>
      <c r="P58" s="444"/>
      <c r="Q58" s="444">
        <v>1.0999999999999943</v>
      </c>
      <c r="R58" s="444">
        <v>0</v>
      </c>
      <c r="S58" s="444">
        <v>0</v>
      </c>
      <c r="T58" s="444">
        <v>0</v>
      </c>
      <c r="U58" s="444">
        <f>VLOOKUP(B58,'MEMÓRIA MEDIÇÃO 14'!$A$8:$F$202,6,FALSE)</f>
        <v>0</v>
      </c>
      <c r="V58" s="387">
        <f t="shared" si="12"/>
        <v>73.3</v>
      </c>
      <c r="W58" s="387">
        <f>G58-V58</f>
        <v>0</v>
      </c>
      <c r="X58" s="387">
        <f>F58*G58</f>
        <v>3717.0430000000001</v>
      </c>
      <c r="Y58" s="346">
        <f t="shared" si="23"/>
        <v>0</v>
      </c>
      <c r="Z58" s="346">
        <f t="shared" si="24"/>
        <v>0</v>
      </c>
      <c r="AA58" s="346">
        <f t="shared" si="20"/>
        <v>0</v>
      </c>
      <c r="AB58" s="346">
        <f t="shared" si="25"/>
        <v>588.23</v>
      </c>
      <c r="AC58" s="346">
        <f t="shared" si="26"/>
        <v>3073.02</v>
      </c>
      <c r="AD58" s="346">
        <f t="shared" si="5"/>
        <v>0</v>
      </c>
      <c r="AE58" s="346">
        <f t="shared" si="33"/>
        <v>0</v>
      </c>
      <c r="AF58" s="346">
        <f t="shared" si="27"/>
        <v>0</v>
      </c>
      <c r="AG58" s="346">
        <f t="shared" si="28"/>
        <v>0</v>
      </c>
      <c r="AH58" s="346">
        <f t="shared" si="29"/>
        <v>55.78</v>
      </c>
      <c r="AI58" s="346">
        <f t="shared" si="30"/>
        <v>0</v>
      </c>
      <c r="AJ58" s="346">
        <f t="shared" si="31"/>
        <v>0</v>
      </c>
      <c r="AK58" s="346">
        <f t="shared" si="15"/>
        <v>0</v>
      </c>
      <c r="AL58" s="346">
        <f t="shared" si="32"/>
        <v>0</v>
      </c>
      <c r="AM58" s="445">
        <f t="shared" si="16"/>
        <v>3717.03</v>
      </c>
      <c r="AN58" s="446">
        <f t="shared" si="17"/>
        <v>1.2999999999919964E-2</v>
      </c>
    </row>
    <row r="59" spans="2:40" s="167" customFormat="1" ht="22.5" x14ac:dyDescent="0.25">
      <c r="B59" s="384" t="s">
        <v>144</v>
      </c>
      <c r="C59" s="385">
        <v>93197</v>
      </c>
      <c r="D59" s="386" t="s">
        <v>146</v>
      </c>
      <c r="E59" s="387" t="s">
        <v>37</v>
      </c>
      <c r="F59" s="387">
        <v>90.23</v>
      </c>
      <c r="G59" s="387">
        <v>73.3</v>
      </c>
      <c r="H59" s="444"/>
      <c r="I59" s="443"/>
      <c r="J59" s="443"/>
      <c r="K59" s="444">
        <f>'MEMORIAL DE CALCULO 04'!K492</f>
        <v>11.6</v>
      </c>
      <c r="L59" s="444">
        <f>'MEMORIAL DE CALCULO 05'!K493</f>
        <v>60.600000000000009</v>
      </c>
      <c r="M59" s="444"/>
      <c r="N59" s="387"/>
      <c r="O59" s="387"/>
      <c r="P59" s="444"/>
      <c r="Q59" s="444">
        <v>1.0999999999999943</v>
      </c>
      <c r="R59" s="444">
        <v>0</v>
      </c>
      <c r="S59" s="444">
        <v>0</v>
      </c>
      <c r="T59" s="444">
        <v>0</v>
      </c>
      <c r="U59" s="444">
        <f>VLOOKUP(B59,'MEMÓRIA MEDIÇÃO 14'!$A$8:$F$202,6,FALSE)</f>
        <v>0</v>
      </c>
      <c r="V59" s="387">
        <f t="shared" si="12"/>
        <v>73.3</v>
      </c>
      <c r="W59" s="387">
        <f>G59-V59</f>
        <v>0</v>
      </c>
      <c r="X59" s="387">
        <f>F59*G59</f>
        <v>6613.8590000000004</v>
      </c>
      <c r="Y59" s="346">
        <f t="shared" si="23"/>
        <v>0</v>
      </c>
      <c r="Z59" s="346">
        <f t="shared" si="24"/>
        <v>0</v>
      </c>
      <c r="AA59" s="346">
        <f t="shared" ref="AA59:AA90" si="34">F59*J59</f>
        <v>0</v>
      </c>
      <c r="AB59" s="346">
        <f t="shared" si="25"/>
        <v>1046.6600000000001</v>
      </c>
      <c r="AC59" s="346">
        <f t="shared" si="26"/>
        <v>5467.93</v>
      </c>
      <c r="AD59" s="346">
        <f t="shared" si="5"/>
        <v>0</v>
      </c>
      <c r="AE59" s="346">
        <f t="shared" si="33"/>
        <v>0</v>
      </c>
      <c r="AF59" s="346">
        <f t="shared" si="27"/>
        <v>0</v>
      </c>
      <c r="AG59" s="346">
        <f t="shared" si="28"/>
        <v>0</v>
      </c>
      <c r="AH59" s="346">
        <f t="shared" si="29"/>
        <v>99.25</v>
      </c>
      <c r="AI59" s="346">
        <f t="shared" si="30"/>
        <v>0</v>
      </c>
      <c r="AJ59" s="346">
        <f t="shared" si="31"/>
        <v>0</v>
      </c>
      <c r="AK59" s="346">
        <f t="shared" si="15"/>
        <v>0</v>
      </c>
      <c r="AL59" s="346">
        <f t="shared" si="32"/>
        <v>0</v>
      </c>
      <c r="AM59" s="445">
        <f t="shared" si="16"/>
        <v>6613.84</v>
      </c>
      <c r="AN59" s="446">
        <f t="shared" si="17"/>
        <v>1.9000000000232831E-2</v>
      </c>
    </row>
    <row r="60" spans="2:40" s="167" customFormat="1" ht="14.45" customHeight="1" x14ac:dyDescent="0.25">
      <c r="B60" s="347">
        <v>1.6</v>
      </c>
      <c r="C60" s="348" t="s">
        <v>148</v>
      </c>
      <c r="D60" s="386"/>
      <c r="E60" s="387"/>
      <c r="F60" s="387"/>
      <c r="G60" s="387"/>
      <c r="H60" s="444"/>
      <c r="I60" s="443"/>
      <c r="J60" s="443"/>
      <c r="K60" s="444"/>
      <c r="L60" s="444"/>
      <c r="M60" s="444"/>
      <c r="N60" s="387"/>
      <c r="O60" s="387"/>
      <c r="P60" s="444"/>
      <c r="Q60" s="444"/>
      <c r="R60" s="444">
        <v>0</v>
      </c>
      <c r="S60" s="444">
        <v>0</v>
      </c>
      <c r="T60" s="444">
        <v>0</v>
      </c>
      <c r="U60" s="444">
        <f>VLOOKUP(B60,'MEMÓRIA MEDIÇÃO 14'!$A$8:$F$202,6,FALSE)</f>
        <v>0</v>
      </c>
      <c r="V60" s="387">
        <f t="shared" si="12"/>
        <v>0</v>
      </c>
      <c r="W60" s="387"/>
      <c r="X60" s="387"/>
      <c r="Y60" s="346">
        <f t="shared" si="23"/>
        <v>0</v>
      </c>
      <c r="Z60" s="346">
        <f t="shared" si="24"/>
        <v>0</v>
      </c>
      <c r="AA60" s="346">
        <f t="shared" si="34"/>
        <v>0</v>
      </c>
      <c r="AB60" s="346">
        <f t="shared" si="25"/>
        <v>0</v>
      </c>
      <c r="AC60" s="346">
        <f t="shared" si="26"/>
        <v>0</v>
      </c>
      <c r="AD60" s="346"/>
      <c r="AE60" s="346">
        <f t="shared" si="33"/>
        <v>0</v>
      </c>
      <c r="AF60" s="346">
        <f t="shared" si="27"/>
        <v>0</v>
      </c>
      <c r="AG60" s="346">
        <f t="shared" si="28"/>
        <v>0</v>
      </c>
      <c r="AH60" s="346">
        <f t="shared" si="29"/>
        <v>0</v>
      </c>
      <c r="AI60" s="346">
        <f t="shared" si="30"/>
        <v>0</v>
      </c>
      <c r="AJ60" s="346">
        <f t="shared" si="31"/>
        <v>0</v>
      </c>
      <c r="AK60" s="346">
        <f t="shared" si="15"/>
        <v>0</v>
      </c>
      <c r="AL60" s="346">
        <f t="shared" si="32"/>
        <v>0</v>
      </c>
      <c r="AM60" s="445">
        <f t="shared" si="16"/>
        <v>0</v>
      </c>
      <c r="AN60" s="446"/>
    </row>
    <row r="61" spans="2:40" s="167" customFormat="1" ht="45" x14ac:dyDescent="0.25">
      <c r="B61" s="384" t="s">
        <v>149</v>
      </c>
      <c r="C61" s="385">
        <v>87893</v>
      </c>
      <c r="D61" s="386" t="s">
        <v>151</v>
      </c>
      <c r="E61" s="387" t="s">
        <v>17</v>
      </c>
      <c r="F61" s="387">
        <v>6.08</v>
      </c>
      <c r="G61" s="387">
        <v>2029.19</v>
      </c>
      <c r="H61" s="444"/>
      <c r="I61" s="443"/>
      <c r="J61" s="443"/>
      <c r="K61" s="444"/>
      <c r="L61" s="444">
        <v>1348.98</v>
      </c>
      <c r="M61" s="444"/>
      <c r="N61" s="387"/>
      <c r="O61" s="387"/>
      <c r="P61" s="444"/>
      <c r="Q61" s="444">
        <v>380</v>
      </c>
      <c r="R61" s="444">
        <v>0</v>
      </c>
      <c r="S61" s="444">
        <v>0</v>
      </c>
      <c r="T61" s="444">
        <v>40.589999999999996</v>
      </c>
      <c r="U61" s="444">
        <f>VLOOKUP(B61,'MEMÓRIA MEDIÇÃO 14'!$A$8:$F$202,6,FALSE)</f>
        <v>0</v>
      </c>
      <c r="V61" s="387">
        <f t="shared" si="12"/>
        <v>1769.57</v>
      </c>
      <c r="W61" s="387">
        <f>G61-V61</f>
        <v>259.62000000000012</v>
      </c>
      <c r="X61" s="387">
        <f>F61*G61</f>
        <v>12337.475200000001</v>
      </c>
      <c r="Y61" s="346">
        <f t="shared" si="23"/>
        <v>0</v>
      </c>
      <c r="Z61" s="346">
        <f t="shared" si="24"/>
        <v>0</v>
      </c>
      <c r="AA61" s="346">
        <f t="shared" si="34"/>
        <v>0</v>
      </c>
      <c r="AB61" s="346">
        <f t="shared" si="25"/>
        <v>0</v>
      </c>
      <c r="AC61" s="346">
        <f t="shared" si="26"/>
        <v>8201.7900000000009</v>
      </c>
      <c r="AD61" s="346">
        <f>M61*F61</f>
        <v>0</v>
      </c>
      <c r="AE61" s="346">
        <f t="shared" si="33"/>
        <v>0</v>
      </c>
      <c r="AF61" s="346">
        <f t="shared" si="27"/>
        <v>0</v>
      </c>
      <c r="AG61" s="346">
        <f t="shared" si="28"/>
        <v>0</v>
      </c>
      <c r="AH61" s="346">
        <f t="shared" si="29"/>
        <v>2310.4</v>
      </c>
      <c r="AI61" s="346">
        <f t="shared" si="30"/>
        <v>0</v>
      </c>
      <c r="AJ61" s="346">
        <f t="shared" si="31"/>
        <v>0</v>
      </c>
      <c r="AK61" s="346">
        <f t="shared" si="15"/>
        <v>246.79</v>
      </c>
      <c r="AL61" s="346">
        <f t="shared" si="32"/>
        <v>0</v>
      </c>
      <c r="AM61" s="445">
        <f t="shared" si="16"/>
        <v>10758.980000000001</v>
      </c>
      <c r="AN61" s="446">
        <f t="shared" si="17"/>
        <v>1578.4951999999994</v>
      </c>
    </row>
    <row r="62" spans="2:40" s="167" customFormat="1" ht="56.25" x14ac:dyDescent="0.25">
      <c r="B62" s="384" t="s">
        <v>152</v>
      </c>
      <c r="C62" s="385">
        <v>87548</v>
      </c>
      <c r="D62" s="386" t="s">
        <v>154</v>
      </c>
      <c r="E62" s="387" t="s">
        <v>17</v>
      </c>
      <c r="F62" s="387">
        <v>22.4</v>
      </c>
      <c r="G62" s="387">
        <v>1666.99</v>
      </c>
      <c r="H62" s="444"/>
      <c r="I62" s="443"/>
      <c r="J62" s="443"/>
      <c r="K62" s="444"/>
      <c r="L62" s="444"/>
      <c r="M62" s="444">
        <f>'MEMORIAL DE CALCULO 06'!K410</f>
        <v>299.13299999999998</v>
      </c>
      <c r="N62" s="444">
        <v>697.97678599999995</v>
      </c>
      <c r="O62" s="444"/>
      <c r="P62" s="444"/>
      <c r="Q62" s="444">
        <v>480</v>
      </c>
      <c r="R62" s="444">
        <v>0</v>
      </c>
      <c r="S62" s="444">
        <v>0</v>
      </c>
      <c r="T62" s="444">
        <v>40.589999999999996</v>
      </c>
      <c r="U62" s="444">
        <f>VLOOKUP(B62,'MEMÓRIA MEDIÇÃO 14'!$A$8:$F$202,6,FALSE)</f>
        <v>0</v>
      </c>
      <c r="V62" s="387">
        <f t="shared" si="12"/>
        <v>1517.6997859999999</v>
      </c>
      <c r="W62" s="387">
        <f>G62-V62</f>
        <v>149.29021400000011</v>
      </c>
      <c r="X62" s="387">
        <f>F62*G62</f>
        <v>37340.576000000001</v>
      </c>
      <c r="Y62" s="346">
        <f t="shared" si="23"/>
        <v>0</v>
      </c>
      <c r="Z62" s="346">
        <f t="shared" si="24"/>
        <v>0</v>
      </c>
      <c r="AA62" s="346">
        <f t="shared" si="34"/>
        <v>0</v>
      </c>
      <c r="AB62" s="346">
        <f t="shared" si="25"/>
        <v>0</v>
      </c>
      <c r="AC62" s="346">
        <f t="shared" si="26"/>
        <v>0</v>
      </c>
      <c r="AD62" s="346">
        <f>M62*F62</f>
        <v>6700.5791999999992</v>
      </c>
      <c r="AE62" s="346">
        <f t="shared" si="33"/>
        <v>15634.680006399998</v>
      </c>
      <c r="AF62" s="346">
        <f t="shared" si="27"/>
        <v>0</v>
      </c>
      <c r="AG62" s="346">
        <f t="shared" si="28"/>
        <v>0</v>
      </c>
      <c r="AH62" s="346">
        <f t="shared" si="29"/>
        <v>10752</v>
      </c>
      <c r="AI62" s="346">
        <f t="shared" si="30"/>
        <v>0</v>
      </c>
      <c r="AJ62" s="346">
        <f t="shared" si="31"/>
        <v>0</v>
      </c>
      <c r="AK62" s="346">
        <f t="shared" si="15"/>
        <v>909.22</v>
      </c>
      <c r="AL62" s="346">
        <f t="shared" si="32"/>
        <v>0</v>
      </c>
      <c r="AM62" s="445">
        <f t="shared" si="16"/>
        <v>33996.479206399999</v>
      </c>
      <c r="AN62" s="446">
        <f t="shared" si="17"/>
        <v>3344.0967936000015</v>
      </c>
    </row>
    <row r="63" spans="2:40" s="167" customFormat="1" ht="56.25" x14ac:dyDescent="0.25">
      <c r="B63" s="384" t="s">
        <v>155</v>
      </c>
      <c r="C63" s="385">
        <v>87536</v>
      </c>
      <c r="D63" s="386" t="s">
        <v>157</v>
      </c>
      <c r="E63" s="387" t="s">
        <v>17</v>
      </c>
      <c r="F63" s="387">
        <v>31.26</v>
      </c>
      <c r="G63" s="387">
        <v>351.87</v>
      </c>
      <c r="H63" s="444"/>
      <c r="I63" s="443"/>
      <c r="J63" s="443"/>
      <c r="K63" s="444"/>
      <c r="L63" s="444"/>
      <c r="M63" s="444"/>
      <c r="N63" s="444">
        <f>'MEMORIAL DE CALCULO 07'!K417</f>
        <v>351.87</v>
      </c>
      <c r="O63" s="444"/>
      <c r="P63" s="444"/>
      <c r="Q63" s="444"/>
      <c r="R63" s="444">
        <v>0</v>
      </c>
      <c r="S63" s="444">
        <v>0</v>
      </c>
      <c r="T63" s="444">
        <v>0</v>
      </c>
      <c r="U63" s="444">
        <f>VLOOKUP(B63,'MEMÓRIA MEDIÇÃO 14'!$A$8:$F$202,6,FALSE)</f>
        <v>0</v>
      </c>
      <c r="V63" s="387">
        <f t="shared" si="12"/>
        <v>351.87</v>
      </c>
      <c r="W63" s="387">
        <f>G63-V63</f>
        <v>0</v>
      </c>
      <c r="X63" s="387">
        <f>F63*G63</f>
        <v>10999.456200000001</v>
      </c>
      <c r="Y63" s="346">
        <f t="shared" si="23"/>
        <v>0</v>
      </c>
      <c r="Z63" s="346">
        <f t="shared" si="24"/>
        <v>0</v>
      </c>
      <c r="AA63" s="346">
        <f t="shared" si="34"/>
        <v>0</v>
      </c>
      <c r="AB63" s="346">
        <f t="shared" si="25"/>
        <v>0</v>
      </c>
      <c r="AC63" s="346">
        <f t="shared" si="26"/>
        <v>0</v>
      </c>
      <c r="AD63" s="346">
        <f>M63*F63</f>
        <v>0</v>
      </c>
      <c r="AE63" s="346">
        <f t="shared" si="33"/>
        <v>10999.456200000001</v>
      </c>
      <c r="AF63" s="346">
        <f t="shared" si="27"/>
        <v>0</v>
      </c>
      <c r="AG63" s="346">
        <f t="shared" si="28"/>
        <v>0</v>
      </c>
      <c r="AH63" s="346">
        <f t="shared" si="29"/>
        <v>0</v>
      </c>
      <c r="AI63" s="346">
        <f t="shared" si="30"/>
        <v>0</v>
      </c>
      <c r="AJ63" s="346">
        <f t="shared" si="31"/>
        <v>0</v>
      </c>
      <c r="AK63" s="346">
        <f t="shared" si="15"/>
        <v>0</v>
      </c>
      <c r="AL63" s="346">
        <f t="shared" si="32"/>
        <v>0</v>
      </c>
      <c r="AM63" s="445">
        <f t="shared" si="16"/>
        <v>10999.456200000001</v>
      </c>
      <c r="AN63" s="446">
        <f t="shared" si="17"/>
        <v>0</v>
      </c>
    </row>
    <row r="64" spans="2:40" s="167" customFormat="1" ht="33.75" x14ac:dyDescent="0.25">
      <c r="B64" s="384" t="s">
        <v>158</v>
      </c>
      <c r="C64" s="385">
        <v>87275</v>
      </c>
      <c r="D64" s="386" t="s">
        <v>160</v>
      </c>
      <c r="E64" s="387" t="s">
        <v>17</v>
      </c>
      <c r="F64" s="387">
        <v>75.14</v>
      </c>
      <c r="G64" s="387">
        <v>351.87</v>
      </c>
      <c r="H64" s="444"/>
      <c r="I64" s="443"/>
      <c r="J64" s="443"/>
      <c r="K64" s="444"/>
      <c r="L64" s="444"/>
      <c r="M64" s="444"/>
      <c r="N64" s="387"/>
      <c r="O64" s="387"/>
      <c r="P64" s="444"/>
      <c r="Q64" s="444"/>
      <c r="R64" s="444">
        <v>0</v>
      </c>
      <c r="S64" s="444">
        <v>0</v>
      </c>
      <c r="T64" s="444">
        <v>343.66360000000009</v>
      </c>
      <c r="U64" s="444">
        <f>VLOOKUP(B64,'MEMÓRIA MEDIÇÃO 14'!$A$8:$F$202,6,FALSE)</f>
        <v>0</v>
      </c>
      <c r="V64" s="387">
        <f t="shared" si="12"/>
        <v>343.66360000000009</v>
      </c>
      <c r="W64" s="387">
        <f>G64-V64</f>
        <v>8.2063999999999169</v>
      </c>
      <c r="X64" s="387">
        <f>F64*G64</f>
        <v>26439.5118</v>
      </c>
      <c r="Y64" s="346">
        <f t="shared" si="23"/>
        <v>0</v>
      </c>
      <c r="Z64" s="346">
        <f t="shared" si="24"/>
        <v>0</v>
      </c>
      <c r="AA64" s="346">
        <f t="shared" si="34"/>
        <v>0</v>
      </c>
      <c r="AB64" s="346">
        <f t="shared" si="25"/>
        <v>0</v>
      </c>
      <c r="AC64" s="346">
        <f t="shared" si="26"/>
        <v>0</v>
      </c>
      <c r="AD64" s="346">
        <f>M64*F64</f>
        <v>0</v>
      </c>
      <c r="AE64" s="346">
        <f t="shared" si="33"/>
        <v>0</v>
      </c>
      <c r="AF64" s="346">
        <f t="shared" si="27"/>
        <v>0</v>
      </c>
      <c r="AG64" s="346">
        <f t="shared" si="28"/>
        <v>0</v>
      </c>
      <c r="AH64" s="346">
        <f t="shared" si="29"/>
        <v>0</v>
      </c>
      <c r="AI64" s="346">
        <f t="shared" si="30"/>
        <v>0</v>
      </c>
      <c r="AJ64" s="346">
        <f t="shared" si="31"/>
        <v>0</v>
      </c>
      <c r="AK64" s="346">
        <f t="shared" si="15"/>
        <v>25822.880000000001</v>
      </c>
      <c r="AL64" s="346">
        <f t="shared" si="32"/>
        <v>0</v>
      </c>
      <c r="AM64" s="445">
        <f t="shared" si="16"/>
        <v>25822.880000000001</v>
      </c>
      <c r="AN64" s="446">
        <f t="shared" si="17"/>
        <v>616.6317999999992</v>
      </c>
    </row>
    <row r="65" spans="2:40" s="167" customFormat="1" x14ac:dyDescent="0.25">
      <c r="B65" s="347">
        <v>1.7</v>
      </c>
      <c r="C65" s="348" t="s">
        <v>162</v>
      </c>
      <c r="D65" s="386"/>
      <c r="E65" s="387"/>
      <c r="F65" s="387"/>
      <c r="G65" s="387"/>
      <c r="H65" s="444"/>
      <c r="I65" s="443"/>
      <c r="J65" s="443"/>
      <c r="K65" s="444"/>
      <c r="L65" s="444"/>
      <c r="M65" s="444"/>
      <c r="N65" s="387"/>
      <c r="O65" s="387"/>
      <c r="P65" s="444"/>
      <c r="Q65" s="444"/>
      <c r="R65" s="444">
        <v>0</v>
      </c>
      <c r="S65" s="444">
        <v>0</v>
      </c>
      <c r="T65" s="444">
        <v>0</v>
      </c>
      <c r="U65" s="444">
        <f>VLOOKUP(B65,'MEMÓRIA MEDIÇÃO 14'!$A$8:$F$202,6,FALSE)</f>
        <v>0</v>
      </c>
      <c r="V65" s="387">
        <f t="shared" si="12"/>
        <v>0</v>
      </c>
      <c r="W65" s="387"/>
      <c r="X65" s="387"/>
      <c r="Y65" s="346">
        <f t="shared" si="23"/>
        <v>0</v>
      </c>
      <c r="Z65" s="346">
        <f t="shared" si="24"/>
        <v>0</v>
      </c>
      <c r="AA65" s="346">
        <f t="shared" si="34"/>
        <v>0</v>
      </c>
      <c r="AB65" s="346">
        <f t="shared" si="25"/>
        <v>0</v>
      </c>
      <c r="AC65" s="346">
        <f t="shared" si="26"/>
        <v>0</v>
      </c>
      <c r="AD65" s="346"/>
      <c r="AE65" s="346">
        <f t="shared" si="33"/>
        <v>0</v>
      </c>
      <c r="AF65" s="346">
        <f t="shared" si="27"/>
        <v>0</v>
      </c>
      <c r="AG65" s="346">
        <f t="shared" si="28"/>
        <v>0</v>
      </c>
      <c r="AH65" s="346">
        <f t="shared" si="29"/>
        <v>0</v>
      </c>
      <c r="AI65" s="346">
        <f t="shared" si="30"/>
        <v>0</v>
      </c>
      <c r="AJ65" s="346">
        <f t="shared" si="31"/>
        <v>0</v>
      </c>
      <c r="AK65" s="346">
        <f t="shared" si="15"/>
        <v>0</v>
      </c>
      <c r="AL65" s="346">
        <f t="shared" si="32"/>
        <v>0</v>
      </c>
      <c r="AM65" s="445">
        <f t="shared" si="16"/>
        <v>0</v>
      </c>
      <c r="AN65" s="446"/>
    </row>
    <row r="66" spans="2:40" s="167" customFormat="1" ht="56.25" x14ac:dyDescent="0.25">
      <c r="B66" s="384" t="s">
        <v>163</v>
      </c>
      <c r="C66" s="385">
        <v>91315</v>
      </c>
      <c r="D66" s="391" t="s">
        <v>165</v>
      </c>
      <c r="E66" s="387" t="s">
        <v>166</v>
      </c>
      <c r="F66" s="387">
        <v>919.01</v>
      </c>
      <c r="G66" s="387">
        <v>18</v>
      </c>
      <c r="H66" s="278"/>
      <c r="I66" s="443"/>
      <c r="J66" s="443"/>
      <c r="K66" s="278"/>
      <c r="L66" s="278"/>
      <c r="M66" s="278"/>
      <c r="N66" s="278"/>
      <c r="O66" s="278"/>
      <c r="P66" s="278"/>
      <c r="Q66" s="278"/>
      <c r="R66" s="444">
        <v>0</v>
      </c>
      <c r="S66" s="444">
        <v>0</v>
      </c>
      <c r="T66" s="444">
        <v>0</v>
      </c>
      <c r="U66" s="444">
        <f>VLOOKUP(B66,'MEMÓRIA MEDIÇÃO 14'!$A$8:$F$202,6,FALSE)</f>
        <v>0</v>
      </c>
      <c r="V66" s="387">
        <f t="shared" si="12"/>
        <v>0</v>
      </c>
      <c r="W66" s="387">
        <f t="shared" ref="W66:W73" si="35">G66-V66</f>
        <v>18</v>
      </c>
      <c r="X66" s="387">
        <f t="shared" ref="X66:X73" si="36">F66*G66</f>
        <v>16542.18</v>
      </c>
      <c r="Y66" s="346">
        <f t="shared" si="23"/>
        <v>0</v>
      </c>
      <c r="Z66" s="346">
        <f t="shared" si="24"/>
        <v>0</v>
      </c>
      <c r="AA66" s="346">
        <f t="shared" si="34"/>
        <v>0</v>
      </c>
      <c r="AB66" s="346">
        <f t="shared" si="25"/>
        <v>0</v>
      </c>
      <c r="AC66" s="346">
        <f t="shared" si="26"/>
        <v>0</v>
      </c>
      <c r="AD66" s="346">
        <f t="shared" ref="AD66:AD97" si="37">M66*F66</f>
        <v>0</v>
      </c>
      <c r="AE66" s="346">
        <f t="shared" si="33"/>
        <v>0</v>
      </c>
      <c r="AF66" s="346">
        <f t="shared" si="27"/>
        <v>0</v>
      </c>
      <c r="AG66" s="346">
        <f t="shared" si="28"/>
        <v>0</v>
      </c>
      <c r="AH66" s="346">
        <f t="shared" si="29"/>
        <v>0</v>
      </c>
      <c r="AI66" s="346">
        <f t="shared" si="30"/>
        <v>0</v>
      </c>
      <c r="AJ66" s="346">
        <f t="shared" si="31"/>
        <v>0</v>
      </c>
      <c r="AK66" s="346">
        <f t="shared" si="15"/>
        <v>0</v>
      </c>
      <c r="AL66" s="346">
        <f t="shared" si="32"/>
        <v>0</v>
      </c>
      <c r="AM66" s="445">
        <f t="shared" si="16"/>
        <v>0</v>
      </c>
      <c r="AN66" s="446">
        <f t="shared" si="17"/>
        <v>16542.18</v>
      </c>
    </row>
    <row r="67" spans="2:40" s="167" customFormat="1" ht="45" x14ac:dyDescent="0.25">
      <c r="B67" s="384" t="s">
        <v>167</v>
      </c>
      <c r="C67" s="385">
        <v>94570</v>
      </c>
      <c r="D67" s="386" t="s">
        <v>169</v>
      </c>
      <c r="E67" s="387" t="s">
        <v>17</v>
      </c>
      <c r="F67" s="387">
        <v>960.32</v>
      </c>
      <c r="G67" s="387">
        <v>50.8</v>
      </c>
      <c r="H67" s="444"/>
      <c r="I67" s="443"/>
      <c r="J67" s="443"/>
      <c r="K67" s="444"/>
      <c r="L67" s="444"/>
      <c r="M67" s="444"/>
      <c r="N67" s="387"/>
      <c r="O67" s="387"/>
      <c r="P67" s="444"/>
      <c r="Q67" s="444"/>
      <c r="R67" s="444">
        <v>0</v>
      </c>
      <c r="S67" s="444">
        <v>0</v>
      </c>
      <c r="T67" s="444">
        <v>49.393499999999996</v>
      </c>
      <c r="U67" s="444">
        <f>VLOOKUP(B67,'MEMÓRIA MEDIÇÃO 14'!$A$8:$F$202,6,FALSE)</f>
        <v>0</v>
      </c>
      <c r="V67" s="387">
        <f t="shared" si="12"/>
        <v>49.393499999999996</v>
      </c>
      <c r="W67" s="387">
        <f t="shared" si="35"/>
        <v>1.4065000000000012</v>
      </c>
      <c r="X67" s="387">
        <f t="shared" si="36"/>
        <v>48784.256000000001</v>
      </c>
      <c r="Y67" s="346">
        <f t="shared" si="23"/>
        <v>0</v>
      </c>
      <c r="Z67" s="346">
        <f t="shared" si="24"/>
        <v>0</v>
      </c>
      <c r="AA67" s="346">
        <f t="shared" si="34"/>
        <v>0</v>
      </c>
      <c r="AB67" s="346">
        <f t="shared" si="25"/>
        <v>0</v>
      </c>
      <c r="AC67" s="346">
        <f t="shared" si="26"/>
        <v>0</v>
      </c>
      <c r="AD67" s="346">
        <f t="shared" si="37"/>
        <v>0</v>
      </c>
      <c r="AE67" s="346">
        <f t="shared" si="33"/>
        <v>0</v>
      </c>
      <c r="AF67" s="346">
        <f t="shared" si="27"/>
        <v>0</v>
      </c>
      <c r="AG67" s="346">
        <f t="shared" si="28"/>
        <v>0</v>
      </c>
      <c r="AH67" s="346">
        <f t="shared" si="29"/>
        <v>0</v>
      </c>
      <c r="AI67" s="346">
        <f t="shared" si="30"/>
        <v>0</v>
      </c>
      <c r="AJ67" s="346">
        <f t="shared" si="31"/>
        <v>0</v>
      </c>
      <c r="AK67" s="346">
        <f t="shared" si="15"/>
        <v>47433.57</v>
      </c>
      <c r="AL67" s="346">
        <f t="shared" si="32"/>
        <v>0</v>
      </c>
      <c r="AM67" s="445">
        <f t="shared" si="16"/>
        <v>47433.57</v>
      </c>
      <c r="AN67" s="446">
        <f t="shared" si="17"/>
        <v>1350.6860000000015</v>
      </c>
    </row>
    <row r="68" spans="2:40" s="167" customFormat="1" ht="56.25" x14ac:dyDescent="0.25">
      <c r="B68" s="384" t="s">
        <v>170</v>
      </c>
      <c r="C68" s="385">
        <v>100689</v>
      </c>
      <c r="D68" s="386" t="s">
        <v>172</v>
      </c>
      <c r="E68" s="387" t="s">
        <v>166</v>
      </c>
      <c r="F68" s="387">
        <v>1069.74</v>
      </c>
      <c r="G68" s="387">
        <v>5</v>
      </c>
      <c r="H68" s="444"/>
      <c r="I68" s="443"/>
      <c r="J68" s="443"/>
      <c r="K68" s="444"/>
      <c r="L68" s="444"/>
      <c r="M68" s="444"/>
      <c r="N68" s="387"/>
      <c r="O68" s="387"/>
      <c r="P68" s="444"/>
      <c r="Q68" s="444"/>
      <c r="R68" s="444">
        <v>0</v>
      </c>
      <c r="S68" s="444">
        <v>0</v>
      </c>
      <c r="T68" s="444">
        <v>0</v>
      </c>
      <c r="U68" s="444">
        <f>VLOOKUP(B68,'MEMÓRIA MEDIÇÃO 14'!$A$8:$F$202,6,FALSE)</f>
        <v>0</v>
      </c>
      <c r="V68" s="387">
        <f t="shared" si="12"/>
        <v>0</v>
      </c>
      <c r="W68" s="387">
        <f t="shared" si="35"/>
        <v>5</v>
      </c>
      <c r="X68" s="387">
        <f t="shared" si="36"/>
        <v>5348.7</v>
      </c>
      <c r="Y68" s="346">
        <f t="shared" si="23"/>
        <v>0</v>
      </c>
      <c r="Z68" s="346">
        <f t="shared" si="24"/>
        <v>0</v>
      </c>
      <c r="AA68" s="346">
        <f t="shared" si="34"/>
        <v>0</v>
      </c>
      <c r="AB68" s="346">
        <f t="shared" si="25"/>
        <v>0</v>
      </c>
      <c r="AC68" s="346">
        <f t="shared" si="26"/>
        <v>0</v>
      </c>
      <c r="AD68" s="346">
        <f t="shared" si="37"/>
        <v>0</v>
      </c>
      <c r="AE68" s="346">
        <f t="shared" si="33"/>
        <v>0</v>
      </c>
      <c r="AF68" s="346">
        <f t="shared" si="27"/>
        <v>0</v>
      </c>
      <c r="AG68" s="346">
        <f t="shared" si="28"/>
        <v>0</v>
      </c>
      <c r="AH68" s="346">
        <f t="shared" si="29"/>
        <v>0</v>
      </c>
      <c r="AI68" s="346">
        <f t="shared" si="30"/>
        <v>0</v>
      </c>
      <c r="AJ68" s="346">
        <f t="shared" si="31"/>
        <v>0</v>
      </c>
      <c r="AK68" s="346">
        <f t="shared" si="15"/>
        <v>0</v>
      </c>
      <c r="AL68" s="346">
        <f t="shared" si="32"/>
        <v>0</v>
      </c>
      <c r="AM68" s="445">
        <f t="shared" si="16"/>
        <v>0</v>
      </c>
      <c r="AN68" s="446">
        <f t="shared" si="17"/>
        <v>5348.7</v>
      </c>
    </row>
    <row r="69" spans="2:40" s="167" customFormat="1" ht="33.75" x14ac:dyDescent="0.25">
      <c r="B69" s="384" t="s">
        <v>173</v>
      </c>
      <c r="C69" s="442" t="s">
        <v>174</v>
      </c>
      <c r="D69" s="386" t="s">
        <v>175</v>
      </c>
      <c r="E69" s="387" t="s">
        <v>5</v>
      </c>
      <c r="F69" s="387">
        <v>2030.34</v>
      </c>
      <c r="G69" s="387">
        <v>1</v>
      </c>
      <c r="H69" s="444"/>
      <c r="I69" s="443"/>
      <c r="J69" s="443"/>
      <c r="K69" s="444"/>
      <c r="L69" s="444"/>
      <c r="M69" s="444"/>
      <c r="N69" s="387"/>
      <c r="O69" s="387"/>
      <c r="P69" s="444"/>
      <c r="Q69" s="444"/>
      <c r="R69" s="444">
        <v>0</v>
      </c>
      <c r="S69" s="444">
        <v>0</v>
      </c>
      <c r="T69" s="444">
        <v>0</v>
      </c>
      <c r="U69" s="444">
        <f>VLOOKUP(B69,'MEMÓRIA MEDIÇÃO 14'!$A$8:$F$202,6,FALSE)</f>
        <v>0</v>
      </c>
      <c r="V69" s="387">
        <f t="shared" si="12"/>
        <v>0</v>
      </c>
      <c r="W69" s="387">
        <f t="shared" si="35"/>
        <v>1</v>
      </c>
      <c r="X69" s="387">
        <f t="shared" si="36"/>
        <v>2030.34</v>
      </c>
      <c r="Y69" s="346">
        <f t="shared" si="23"/>
        <v>0</v>
      </c>
      <c r="Z69" s="346">
        <f t="shared" si="24"/>
        <v>0</v>
      </c>
      <c r="AA69" s="346">
        <f t="shared" si="34"/>
        <v>0</v>
      </c>
      <c r="AB69" s="346">
        <f t="shared" si="25"/>
        <v>0</v>
      </c>
      <c r="AC69" s="346">
        <f t="shared" si="26"/>
        <v>0</v>
      </c>
      <c r="AD69" s="346">
        <f t="shared" si="37"/>
        <v>0</v>
      </c>
      <c r="AE69" s="346">
        <f t="shared" si="33"/>
        <v>0</v>
      </c>
      <c r="AF69" s="346">
        <f t="shared" si="27"/>
        <v>0</v>
      </c>
      <c r="AG69" s="346">
        <f t="shared" si="28"/>
        <v>0</v>
      </c>
      <c r="AH69" s="346">
        <f t="shared" si="29"/>
        <v>0</v>
      </c>
      <c r="AI69" s="346">
        <f t="shared" si="30"/>
        <v>0</v>
      </c>
      <c r="AJ69" s="346">
        <f t="shared" si="31"/>
        <v>0</v>
      </c>
      <c r="AK69" s="346">
        <f t="shared" si="15"/>
        <v>0</v>
      </c>
      <c r="AL69" s="346">
        <f t="shared" si="32"/>
        <v>0</v>
      </c>
      <c r="AM69" s="445">
        <f t="shared" si="16"/>
        <v>0</v>
      </c>
      <c r="AN69" s="446">
        <f t="shared" si="17"/>
        <v>2030.34</v>
      </c>
    </row>
    <row r="70" spans="2:40" s="167" customFormat="1" ht="33.75" x14ac:dyDescent="0.25">
      <c r="B70" s="384" t="s">
        <v>176</v>
      </c>
      <c r="C70" s="442" t="s">
        <v>177</v>
      </c>
      <c r="D70" s="386" t="s">
        <v>178</v>
      </c>
      <c r="E70" s="387" t="s">
        <v>5</v>
      </c>
      <c r="F70" s="387">
        <v>4697.45</v>
      </c>
      <c r="G70" s="387">
        <v>3</v>
      </c>
      <c r="H70" s="444"/>
      <c r="I70" s="443"/>
      <c r="J70" s="443"/>
      <c r="K70" s="444"/>
      <c r="L70" s="444"/>
      <c r="M70" s="444"/>
      <c r="N70" s="387"/>
      <c r="O70" s="387"/>
      <c r="P70" s="444"/>
      <c r="Q70" s="444"/>
      <c r="R70" s="444">
        <v>0</v>
      </c>
      <c r="S70" s="444">
        <v>0</v>
      </c>
      <c r="T70" s="444">
        <v>1</v>
      </c>
      <c r="U70" s="444">
        <f>VLOOKUP(B70,'MEMÓRIA MEDIÇÃO 14'!$A$8:$F$202,6,FALSE)</f>
        <v>0</v>
      </c>
      <c r="V70" s="387">
        <f t="shared" si="12"/>
        <v>1</v>
      </c>
      <c r="W70" s="387">
        <f t="shared" si="35"/>
        <v>2</v>
      </c>
      <c r="X70" s="387">
        <f t="shared" si="36"/>
        <v>14092.349999999999</v>
      </c>
      <c r="Y70" s="346">
        <f t="shared" si="23"/>
        <v>0</v>
      </c>
      <c r="Z70" s="346">
        <f t="shared" si="24"/>
        <v>0</v>
      </c>
      <c r="AA70" s="346">
        <f t="shared" si="34"/>
        <v>0</v>
      </c>
      <c r="AB70" s="346">
        <f t="shared" si="25"/>
        <v>0</v>
      </c>
      <c r="AC70" s="346">
        <f t="shared" si="26"/>
        <v>0</v>
      </c>
      <c r="AD70" s="346">
        <f t="shared" si="37"/>
        <v>0</v>
      </c>
      <c r="AE70" s="346">
        <f t="shared" si="33"/>
        <v>0</v>
      </c>
      <c r="AF70" s="346">
        <f t="shared" si="27"/>
        <v>0</v>
      </c>
      <c r="AG70" s="346">
        <f t="shared" si="28"/>
        <v>0</v>
      </c>
      <c r="AH70" s="346">
        <f t="shared" si="29"/>
        <v>0</v>
      </c>
      <c r="AI70" s="346">
        <f t="shared" si="30"/>
        <v>0</v>
      </c>
      <c r="AJ70" s="346">
        <f t="shared" si="31"/>
        <v>0</v>
      </c>
      <c r="AK70" s="346">
        <f t="shared" si="15"/>
        <v>4697.45</v>
      </c>
      <c r="AL70" s="346">
        <f t="shared" si="32"/>
        <v>0</v>
      </c>
      <c r="AM70" s="445">
        <f t="shared" si="16"/>
        <v>4697.45</v>
      </c>
      <c r="AN70" s="446">
        <f t="shared" si="17"/>
        <v>9394.8999999999978</v>
      </c>
    </row>
    <row r="71" spans="2:40" s="167" customFormat="1" ht="33.75" x14ac:dyDescent="0.25">
      <c r="B71" s="384" t="s">
        <v>179</v>
      </c>
      <c r="C71" s="385">
        <v>91341</v>
      </c>
      <c r="D71" s="386" t="s">
        <v>181</v>
      </c>
      <c r="E71" s="387" t="s">
        <v>17</v>
      </c>
      <c r="F71" s="387">
        <v>976.37</v>
      </c>
      <c r="G71" s="387">
        <v>12.96</v>
      </c>
      <c r="H71" s="444"/>
      <c r="I71" s="443"/>
      <c r="J71" s="443"/>
      <c r="K71" s="444"/>
      <c r="L71" s="444"/>
      <c r="M71" s="444"/>
      <c r="N71" s="387"/>
      <c r="O71" s="387"/>
      <c r="P71" s="444"/>
      <c r="Q71" s="444"/>
      <c r="R71" s="444">
        <v>0</v>
      </c>
      <c r="S71" s="444">
        <v>0</v>
      </c>
      <c r="T71" s="444">
        <v>2.016</v>
      </c>
      <c r="U71" s="444">
        <f>VLOOKUP(B71,'MEMÓRIA MEDIÇÃO 14'!$A$8:$F$202,6,FALSE)</f>
        <v>0</v>
      </c>
      <c r="V71" s="387">
        <f t="shared" si="12"/>
        <v>2.016</v>
      </c>
      <c r="W71" s="387">
        <f t="shared" si="35"/>
        <v>10.944000000000001</v>
      </c>
      <c r="X71" s="387">
        <f t="shared" si="36"/>
        <v>12653.755200000001</v>
      </c>
      <c r="Y71" s="346">
        <f t="shared" si="23"/>
        <v>0</v>
      </c>
      <c r="Z71" s="346">
        <f t="shared" si="24"/>
        <v>0</v>
      </c>
      <c r="AA71" s="346">
        <f t="shared" si="34"/>
        <v>0</v>
      </c>
      <c r="AB71" s="346">
        <f t="shared" si="25"/>
        <v>0</v>
      </c>
      <c r="AC71" s="346">
        <f t="shared" si="26"/>
        <v>0</v>
      </c>
      <c r="AD71" s="346">
        <f t="shared" si="37"/>
        <v>0</v>
      </c>
      <c r="AE71" s="346">
        <f t="shared" si="33"/>
        <v>0</v>
      </c>
      <c r="AF71" s="346">
        <f t="shared" si="27"/>
        <v>0</v>
      </c>
      <c r="AG71" s="346">
        <f t="shared" si="28"/>
        <v>0</v>
      </c>
      <c r="AH71" s="346">
        <f t="shared" si="29"/>
        <v>0</v>
      </c>
      <c r="AI71" s="346">
        <f t="shared" si="30"/>
        <v>0</v>
      </c>
      <c r="AJ71" s="346">
        <f t="shared" si="31"/>
        <v>0</v>
      </c>
      <c r="AK71" s="346">
        <f t="shared" si="15"/>
        <v>1968.36</v>
      </c>
      <c r="AL71" s="346">
        <f t="shared" si="32"/>
        <v>0</v>
      </c>
      <c r="AM71" s="445">
        <f t="shared" si="16"/>
        <v>1968.36</v>
      </c>
      <c r="AN71" s="446">
        <f t="shared" si="17"/>
        <v>10685.395200000001</v>
      </c>
    </row>
    <row r="72" spans="2:40" s="167" customFormat="1" ht="33.75" x14ac:dyDescent="0.25">
      <c r="B72" s="384" t="s">
        <v>182</v>
      </c>
      <c r="C72" s="385">
        <v>100702</v>
      </c>
      <c r="D72" s="386" t="s">
        <v>184</v>
      </c>
      <c r="E72" s="387" t="s">
        <v>17</v>
      </c>
      <c r="F72" s="387">
        <v>579.9</v>
      </c>
      <c r="G72" s="387">
        <v>19.96</v>
      </c>
      <c r="H72" s="444"/>
      <c r="I72" s="443"/>
      <c r="J72" s="443"/>
      <c r="K72" s="444"/>
      <c r="L72" s="444"/>
      <c r="M72" s="444"/>
      <c r="N72" s="387"/>
      <c r="O72" s="387"/>
      <c r="P72" s="444"/>
      <c r="Q72" s="444"/>
      <c r="R72" s="444">
        <v>0</v>
      </c>
      <c r="S72" s="444">
        <v>0</v>
      </c>
      <c r="T72" s="444">
        <v>19.725999999999999</v>
      </c>
      <c r="U72" s="444">
        <f>VLOOKUP(B72,'MEMÓRIA MEDIÇÃO 14'!$A$8:$F$202,6,FALSE)</f>
        <v>0</v>
      </c>
      <c r="V72" s="387">
        <f t="shared" si="12"/>
        <v>19.725999999999999</v>
      </c>
      <c r="W72" s="387">
        <f t="shared" si="35"/>
        <v>0.23400000000000176</v>
      </c>
      <c r="X72" s="387">
        <f t="shared" si="36"/>
        <v>11574.804</v>
      </c>
      <c r="Y72" s="346">
        <f t="shared" si="23"/>
        <v>0</v>
      </c>
      <c r="Z72" s="346">
        <f t="shared" si="24"/>
        <v>0</v>
      </c>
      <c r="AA72" s="346">
        <f t="shared" si="34"/>
        <v>0</v>
      </c>
      <c r="AB72" s="346">
        <f t="shared" si="25"/>
        <v>0</v>
      </c>
      <c r="AC72" s="346">
        <f t="shared" si="26"/>
        <v>0</v>
      </c>
      <c r="AD72" s="346">
        <f t="shared" si="37"/>
        <v>0</v>
      </c>
      <c r="AE72" s="346">
        <f t="shared" si="33"/>
        <v>0</v>
      </c>
      <c r="AF72" s="346">
        <f t="shared" si="27"/>
        <v>0</v>
      </c>
      <c r="AG72" s="346">
        <f t="shared" si="28"/>
        <v>0</v>
      </c>
      <c r="AH72" s="346">
        <f t="shared" si="29"/>
        <v>0</v>
      </c>
      <c r="AI72" s="346">
        <f t="shared" si="30"/>
        <v>0</v>
      </c>
      <c r="AJ72" s="346">
        <f t="shared" si="31"/>
        <v>0</v>
      </c>
      <c r="AK72" s="346">
        <f t="shared" si="15"/>
        <v>11439.11</v>
      </c>
      <c r="AL72" s="346">
        <f t="shared" si="32"/>
        <v>0</v>
      </c>
      <c r="AM72" s="445">
        <f t="shared" si="16"/>
        <v>11439.11</v>
      </c>
      <c r="AN72" s="446">
        <f t="shared" si="17"/>
        <v>135.69399999999951</v>
      </c>
    </row>
    <row r="73" spans="2:40" s="167" customFormat="1" ht="45" x14ac:dyDescent="0.25">
      <c r="B73" s="384" t="s">
        <v>185</v>
      </c>
      <c r="C73" s="385">
        <v>90831</v>
      </c>
      <c r="D73" s="386" t="s">
        <v>187</v>
      </c>
      <c r="E73" s="387" t="s">
        <v>166</v>
      </c>
      <c r="F73" s="387">
        <v>137.30000000000001</v>
      </c>
      <c r="G73" s="387">
        <v>8</v>
      </c>
      <c r="H73" s="444"/>
      <c r="I73" s="443"/>
      <c r="J73" s="443"/>
      <c r="K73" s="444"/>
      <c r="L73" s="444"/>
      <c r="M73" s="444"/>
      <c r="N73" s="387"/>
      <c r="O73" s="387"/>
      <c r="P73" s="444"/>
      <c r="Q73" s="444"/>
      <c r="R73" s="444">
        <v>0</v>
      </c>
      <c r="S73" s="444">
        <v>0</v>
      </c>
      <c r="T73" s="444">
        <v>0</v>
      </c>
      <c r="U73" s="444">
        <f>VLOOKUP(B73,'MEMÓRIA MEDIÇÃO 14'!$A$8:$F$202,6,FALSE)</f>
        <v>0</v>
      </c>
      <c r="V73" s="387">
        <f t="shared" si="12"/>
        <v>0</v>
      </c>
      <c r="W73" s="387">
        <f t="shared" si="35"/>
        <v>8</v>
      </c>
      <c r="X73" s="387">
        <f t="shared" si="36"/>
        <v>1098.4000000000001</v>
      </c>
      <c r="Y73" s="346">
        <f t="shared" si="23"/>
        <v>0</v>
      </c>
      <c r="Z73" s="346">
        <f t="shared" si="24"/>
        <v>0</v>
      </c>
      <c r="AA73" s="346">
        <f t="shared" si="34"/>
        <v>0</v>
      </c>
      <c r="AB73" s="346">
        <f t="shared" si="25"/>
        <v>0</v>
      </c>
      <c r="AC73" s="346">
        <f t="shared" si="26"/>
        <v>0</v>
      </c>
      <c r="AD73" s="346">
        <f t="shared" si="37"/>
        <v>0</v>
      </c>
      <c r="AE73" s="346">
        <f t="shared" si="33"/>
        <v>0</v>
      </c>
      <c r="AF73" s="346">
        <f t="shared" si="27"/>
        <v>0</v>
      </c>
      <c r="AG73" s="346">
        <f t="shared" si="28"/>
        <v>0</v>
      </c>
      <c r="AH73" s="346">
        <f t="shared" si="29"/>
        <v>0</v>
      </c>
      <c r="AI73" s="346">
        <f t="shared" si="30"/>
        <v>0</v>
      </c>
      <c r="AJ73" s="346">
        <f t="shared" si="31"/>
        <v>0</v>
      </c>
      <c r="AK73" s="346">
        <f t="shared" si="15"/>
        <v>0</v>
      </c>
      <c r="AL73" s="346">
        <f t="shared" si="32"/>
        <v>0</v>
      </c>
      <c r="AM73" s="445">
        <f t="shared" si="16"/>
        <v>0</v>
      </c>
      <c r="AN73" s="446">
        <f t="shared" si="17"/>
        <v>1098.4000000000001</v>
      </c>
    </row>
    <row r="74" spans="2:40" s="167" customFormat="1" x14ac:dyDescent="0.25">
      <c r="B74" s="347">
        <v>1.8</v>
      </c>
      <c r="C74" s="348" t="s">
        <v>189</v>
      </c>
      <c r="D74" s="386"/>
      <c r="E74" s="277"/>
      <c r="F74" s="387"/>
      <c r="G74" s="387"/>
      <c r="H74" s="444"/>
      <c r="I74" s="443"/>
      <c r="J74" s="443"/>
      <c r="K74" s="444"/>
      <c r="L74" s="444"/>
      <c r="M74" s="444"/>
      <c r="N74" s="387"/>
      <c r="O74" s="387"/>
      <c r="P74" s="444"/>
      <c r="Q74" s="444"/>
      <c r="R74" s="444">
        <v>0</v>
      </c>
      <c r="S74" s="444">
        <v>0</v>
      </c>
      <c r="T74" s="444">
        <v>0</v>
      </c>
      <c r="U74" s="444">
        <f>VLOOKUP(B74,'MEMÓRIA MEDIÇÃO 14'!$A$8:$F$202,6,FALSE)</f>
        <v>0</v>
      </c>
      <c r="V74" s="387">
        <f t="shared" si="12"/>
        <v>0</v>
      </c>
      <c r="W74" s="387"/>
      <c r="X74" s="387"/>
      <c r="Y74" s="346">
        <f t="shared" si="23"/>
        <v>0</v>
      </c>
      <c r="Z74" s="346">
        <f t="shared" si="24"/>
        <v>0</v>
      </c>
      <c r="AA74" s="346">
        <f t="shared" si="34"/>
        <v>0</v>
      </c>
      <c r="AB74" s="346">
        <f t="shared" si="25"/>
        <v>0</v>
      </c>
      <c r="AC74" s="346">
        <f t="shared" si="26"/>
        <v>0</v>
      </c>
      <c r="AD74" s="346">
        <f t="shared" si="37"/>
        <v>0</v>
      </c>
      <c r="AE74" s="346">
        <f t="shared" si="33"/>
        <v>0</v>
      </c>
      <c r="AF74" s="346">
        <f t="shared" si="27"/>
        <v>0</v>
      </c>
      <c r="AG74" s="346">
        <f t="shared" si="28"/>
        <v>0</v>
      </c>
      <c r="AH74" s="346">
        <f t="shared" si="29"/>
        <v>0</v>
      </c>
      <c r="AI74" s="346">
        <f t="shared" si="30"/>
        <v>0</v>
      </c>
      <c r="AJ74" s="346">
        <f t="shared" si="31"/>
        <v>0</v>
      </c>
      <c r="AK74" s="346">
        <f t="shared" si="15"/>
        <v>0</v>
      </c>
      <c r="AL74" s="346">
        <f t="shared" si="32"/>
        <v>0</v>
      </c>
      <c r="AM74" s="445">
        <f t="shared" si="16"/>
        <v>0</v>
      </c>
      <c r="AN74" s="446">
        <f t="shared" si="17"/>
        <v>0</v>
      </c>
    </row>
    <row r="75" spans="2:40" s="167" customFormat="1" ht="22.5" x14ac:dyDescent="0.25">
      <c r="B75" s="384" t="s">
        <v>190</v>
      </c>
      <c r="C75" s="385">
        <v>88485</v>
      </c>
      <c r="D75" s="386" t="s">
        <v>192</v>
      </c>
      <c r="E75" s="277" t="s">
        <v>17</v>
      </c>
      <c r="F75" s="387">
        <v>2.74</v>
      </c>
      <c r="G75" s="387">
        <v>1666.99</v>
      </c>
      <c r="H75" s="444"/>
      <c r="I75" s="443"/>
      <c r="J75" s="443"/>
      <c r="K75" s="444"/>
      <c r="L75" s="444"/>
      <c r="M75" s="444"/>
      <c r="N75" s="387"/>
      <c r="O75" s="387"/>
      <c r="P75" s="444"/>
      <c r="Q75" s="444"/>
      <c r="R75" s="444">
        <v>0</v>
      </c>
      <c r="S75" s="444">
        <v>642</v>
      </c>
      <c r="T75" s="444">
        <v>0</v>
      </c>
      <c r="U75" s="444">
        <f>VLOOKUP(B75,'MEMÓRIA MEDIÇÃO 14'!$A$8:$F$202,6,FALSE)</f>
        <v>819.6543999999999</v>
      </c>
      <c r="V75" s="387">
        <f t="shared" si="12"/>
        <v>1461.6543999999999</v>
      </c>
      <c r="W75" s="387">
        <f t="shared" ref="W75:W80" si="38">G75-V75</f>
        <v>205.33560000000011</v>
      </c>
      <c r="X75" s="387">
        <f t="shared" ref="X75:X80" si="39">F75*G75</f>
        <v>4567.5526</v>
      </c>
      <c r="Y75" s="346">
        <f t="shared" si="23"/>
        <v>0</v>
      </c>
      <c r="Z75" s="346">
        <f t="shared" si="24"/>
        <v>0</v>
      </c>
      <c r="AA75" s="346">
        <f t="shared" si="34"/>
        <v>0</v>
      </c>
      <c r="AB75" s="346">
        <f t="shared" si="25"/>
        <v>0</v>
      </c>
      <c r="AC75" s="346">
        <f t="shared" si="26"/>
        <v>0</v>
      </c>
      <c r="AD75" s="346">
        <f t="shared" si="37"/>
        <v>0</v>
      </c>
      <c r="AE75" s="346">
        <f t="shared" si="33"/>
        <v>0</v>
      </c>
      <c r="AF75" s="346">
        <f t="shared" si="27"/>
        <v>0</v>
      </c>
      <c r="AG75" s="346">
        <f t="shared" si="28"/>
        <v>0</v>
      </c>
      <c r="AH75" s="346">
        <f t="shared" si="29"/>
        <v>0</v>
      </c>
      <c r="AI75" s="346">
        <f t="shared" si="30"/>
        <v>0</v>
      </c>
      <c r="AJ75" s="346">
        <f t="shared" si="31"/>
        <v>1759.08</v>
      </c>
      <c r="AK75" s="346">
        <f t="shared" si="15"/>
        <v>0</v>
      </c>
      <c r="AL75" s="346">
        <f t="shared" si="32"/>
        <v>2245.85</v>
      </c>
      <c r="AM75" s="445">
        <f t="shared" si="16"/>
        <v>4004.93</v>
      </c>
      <c r="AN75" s="446">
        <f t="shared" si="17"/>
        <v>562.62260000000015</v>
      </c>
    </row>
    <row r="76" spans="2:40" s="167" customFormat="1" ht="22.5" x14ac:dyDescent="0.25">
      <c r="B76" s="384" t="s">
        <v>193</v>
      </c>
      <c r="C76" s="385">
        <v>88495</v>
      </c>
      <c r="D76" s="386" t="s">
        <v>195</v>
      </c>
      <c r="E76" s="277" t="s">
        <v>17</v>
      </c>
      <c r="F76" s="387">
        <v>9.86</v>
      </c>
      <c r="G76" s="387">
        <v>1666.99</v>
      </c>
      <c r="H76" s="444"/>
      <c r="I76" s="443"/>
      <c r="J76" s="443"/>
      <c r="K76" s="444"/>
      <c r="L76" s="444"/>
      <c r="M76" s="444"/>
      <c r="N76" s="387"/>
      <c r="O76" s="387"/>
      <c r="P76" s="444"/>
      <c r="Q76" s="444"/>
      <c r="R76" s="444">
        <v>0</v>
      </c>
      <c r="S76" s="444">
        <v>0</v>
      </c>
      <c r="T76" s="444">
        <v>0</v>
      </c>
      <c r="U76" s="444">
        <f>VLOOKUP(B76,'MEMÓRIA MEDIÇÃO 14'!$A$8:$F$202,6,FALSE)</f>
        <v>0</v>
      </c>
      <c r="V76" s="387">
        <f t="shared" si="12"/>
        <v>0</v>
      </c>
      <c r="W76" s="387">
        <f t="shared" si="38"/>
        <v>1666.99</v>
      </c>
      <c r="X76" s="387">
        <f t="shared" si="39"/>
        <v>16436.521399999998</v>
      </c>
      <c r="Y76" s="346">
        <f t="shared" si="23"/>
        <v>0</v>
      </c>
      <c r="Z76" s="346">
        <f t="shared" si="24"/>
        <v>0</v>
      </c>
      <c r="AA76" s="346">
        <f t="shared" si="34"/>
        <v>0</v>
      </c>
      <c r="AB76" s="346">
        <f t="shared" si="25"/>
        <v>0</v>
      </c>
      <c r="AC76" s="346">
        <f t="shared" si="26"/>
        <v>0</v>
      </c>
      <c r="AD76" s="346">
        <f t="shared" si="37"/>
        <v>0</v>
      </c>
      <c r="AE76" s="346">
        <f t="shared" si="33"/>
        <v>0</v>
      </c>
      <c r="AF76" s="346">
        <f t="shared" si="27"/>
        <v>0</v>
      </c>
      <c r="AG76" s="346">
        <f t="shared" si="28"/>
        <v>0</v>
      </c>
      <c r="AH76" s="346">
        <f t="shared" si="29"/>
        <v>0</v>
      </c>
      <c r="AI76" s="346">
        <f t="shared" si="30"/>
        <v>0</v>
      </c>
      <c r="AJ76" s="346">
        <f t="shared" si="31"/>
        <v>0</v>
      </c>
      <c r="AK76" s="346">
        <f t="shared" si="15"/>
        <v>0</v>
      </c>
      <c r="AL76" s="346">
        <f t="shared" si="32"/>
        <v>0</v>
      </c>
      <c r="AM76" s="445">
        <f t="shared" si="16"/>
        <v>0</v>
      </c>
      <c r="AN76" s="446">
        <f t="shared" si="17"/>
        <v>16436.521399999998</v>
      </c>
    </row>
    <row r="77" spans="2:40" s="167" customFormat="1" ht="22.5" x14ac:dyDescent="0.25">
      <c r="B77" s="384" t="s">
        <v>196</v>
      </c>
      <c r="C77" s="385">
        <v>88489</v>
      </c>
      <c r="D77" s="386" t="s">
        <v>198</v>
      </c>
      <c r="E77" s="277" t="s">
        <v>17</v>
      </c>
      <c r="F77" s="387">
        <v>12.16</v>
      </c>
      <c r="G77" s="387">
        <v>1666.99</v>
      </c>
      <c r="H77" s="444"/>
      <c r="I77" s="443"/>
      <c r="J77" s="443"/>
      <c r="K77" s="444"/>
      <c r="L77" s="444"/>
      <c r="M77" s="444"/>
      <c r="N77" s="387"/>
      <c r="O77" s="387"/>
      <c r="P77" s="444"/>
      <c r="Q77" s="444"/>
      <c r="R77" s="444">
        <v>0</v>
      </c>
      <c r="S77" s="444">
        <v>0</v>
      </c>
      <c r="T77" s="444">
        <v>0</v>
      </c>
      <c r="U77" s="444">
        <f>VLOOKUP(B77,'MEMÓRIA MEDIÇÃO 14'!$A$8:$F$202,6,FALSE)</f>
        <v>0</v>
      </c>
      <c r="V77" s="387">
        <f t="shared" si="12"/>
        <v>0</v>
      </c>
      <c r="W77" s="387">
        <f t="shared" si="38"/>
        <v>1666.99</v>
      </c>
      <c r="X77" s="387">
        <f t="shared" si="39"/>
        <v>20270.598399999999</v>
      </c>
      <c r="Y77" s="346">
        <f t="shared" si="23"/>
        <v>0</v>
      </c>
      <c r="Z77" s="346">
        <f t="shared" si="24"/>
        <v>0</v>
      </c>
      <c r="AA77" s="346">
        <f t="shared" si="34"/>
        <v>0</v>
      </c>
      <c r="AB77" s="346">
        <f t="shared" si="25"/>
        <v>0</v>
      </c>
      <c r="AC77" s="346">
        <f t="shared" si="26"/>
        <v>0</v>
      </c>
      <c r="AD77" s="346">
        <f t="shared" si="37"/>
        <v>0</v>
      </c>
      <c r="AE77" s="346">
        <f t="shared" si="33"/>
        <v>0</v>
      </c>
      <c r="AF77" s="346">
        <f t="shared" si="27"/>
        <v>0</v>
      </c>
      <c r="AG77" s="346">
        <f t="shared" si="28"/>
        <v>0</v>
      </c>
      <c r="AH77" s="346">
        <f t="shared" si="29"/>
        <v>0</v>
      </c>
      <c r="AI77" s="346">
        <f t="shared" si="30"/>
        <v>0</v>
      </c>
      <c r="AJ77" s="346">
        <f t="shared" si="31"/>
        <v>0</v>
      </c>
      <c r="AK77" s="346">
        <f t="shared" si="15"/>
        <v>0</v>
      </c>
      <c r="AL77" s="346">
        <f t="shared" si="32"/>
        <v>0</v>
      </c>
      <c r="AM77" s="445">
        <f t="shared" si="16"/>
        <v>0</v>
      </c>
      <c r="AN77" s="446">
        <f t="shared" si="17"/>
        <v>20270.598399999999</v>
      </c>
    </row>
    <row r="78" spans="2:40" s="167" customFormat="1" ht="22.5" x14ac:dyDescent="0.25">
      <c r="B78" s="384" t="s">
        <v>199</v>
      </c>
      <c r="C78" s="385">
        <v>88484</v>
      </c>
      <c r="D78" s="386" t="s">
        <v>201</v>
      </c>
      <c r="E78" s="277" t="s">
        <v>17</v>
      </c>
      <c r="F78" s="387">
        <v>3.1</v>
      </c>
      <c r="G78" s="387">
        <v>634.5</v>
      </c>
      <c r="H78" s="444"/>
      <c r="I78" s="443"/>
      <c r="J78" s="443"/>
      <c r="K78" s="444"/>
      <c r="L78" s="444"/>
      <c r="M78" s="444"/>
      <c r="N78" s="387"/>
      <c r="O78" s="387"/>
      <c r="P78" s="444"/>
      <c r="Q78" s="444"/>
      <c r="R78" s="444">
        <v>0</v>
      </c>
      <c r="S78" s="444">
        <v>0</v>
      </c>
      <c r="T78" s="444">
        <v>0</v>
      </c>
      <c r="U78" s="444">
        <f>VLOOKUP(B78,'MEMÓRIA MEDIÇÃO 14'!$A$8:$F$202,6,FALSE)</f>
        <v>0</v>
      </c>
      <c r="V78" s="387">
        <f t="shared" si="12"/>
        <v>0</v>
      </c>
      <c r="W78" s="387">
        <f t="shared" si="38"/>
        <v>634.5</v>
      </c>
      <c r="X78" s="387">
        <f t="shared" si="39"/>
        <v>1966.95</v>
      </c>
      <c r="Y78" s="346">
        <f t="shared" ref="Y78:Y109" si="40">F78*H78</f>
        <v>0</v>
      </c>
      <c r="Z78" s="346">
        <f t="shared" ref="Z78:Z109" si="41">F78*I78</f>
        <v>0</v>
      </c>
      <c r="AA78" s="346">
        <f t="shared" si="34"/>
        <v>0</v>
      </c>
      <c r="AB78" s="346">
        <f t="shared" ref="AB78:AB109" si="42">TRUNC(F78*K78,2)</f>
        <v>0</v>
      </c>
      <c r="AC78" s="346">
        <f t="shared" ref="AC78:AC109" si="43">TRUNC(F78*L78,2)</f>
        <v>0</v>
      </c>
      <c r="AD78" s="346">
        <f t="shared" si="37"/>
        <v>0</v>
      </c>
      <c r="AE78" s="346">
        <f t="shared" si="33"/>
        <v>0</v>
      </c>
      <c r="AF78" s="346">
        <f t="shared" ref="AF78:AF109" si="44">TRUNC(F78*O78,2)</f>
        <v>0</v>
      </c>
      <c r="AG78" s="346">
        <f t="shared" ref="AG78:AG109" si="45">TRUNC(F78*P78,2)</f>
        <v>0</v>
      </c>
      <c r="AH78" s="346">
        <f t="shared" ref="AH78:AH109" si="46">TRUNC(F78*Q78,2)</f>
        <v>0</v>
      </c>
      <c r="AI78" s="346">
        <f t="shared" ref="AI78:AI109" si="47">ROUND(R78*F78,2)</f>
        <v>0</v>
      </c>
      <c r="AJ78" s="346">
        <f t="shared" ref="AJ78:AJ109" si="48">ROUND(S78*F78,2)</f>
        <v>0</v>
      </c>
      <c r="AK78" s="346">
        <f t="shared" si="15"/>
        <v>0</v>
      </c>
      <c r="AL78" s="346">
        <f t="shared" ref="AL78:AL109" si="49">ROUND(U78*F78,2)</f>
        <v>0</v>
      </c>
      <c r="AM78" s="445">
        <f t="shared" si="16"/>
        <v>0</v>
      </c>
      <c r="AN78" s="446">
        <f t="shared" si="17"/>
        <v>1966.95</v>
      </c>
    </row>
    <row r="79" spans="2:40" s="167" customFormat="1" ht="22.5" x14ac:dyDescent="0.25">
      <c r="B79" s="384" t="s">
        <v>202</v>
      </c>
      <c r="C79" s="385">
        <v>88494</v>
      </c>
      <c r="D79" s="386" t="s">
        <v>204</v>
      </c>
      <c r="E79" s="277" t="s">
        <v>17</v>
      </c>
      <c r="F79" s="387">
        <v>17.43</v>
      </c>
      <c r="G79" s="387">
        <v>634.5</v>
      </c>
      <c r="H79" s="444"/>
      <c r="I79" s="443"/>
      <c r="J79" s="443"/>
      <c r="K79" s="444"/>
      <c r="L79" s="444"/>
      <c r="M79" s="444"/>
      <c r="N79" s="387"/>
      <c r="O79" s="387"/>
      <c r="P79" s="444"/>
      <c r="Q79" s="444"/>
      <c r="R79" s="444">
        <v>0</v>
      </c>
      <c r="S79" s="444">
        <v>0</v>
      </c>
      <c r="T79" s="444">
        <v>0</v>
      </c>
      <c r="U79" s="444">
        <f>VLOOKUP(B79,'MEMÓRIA MEDIÇÃO 14'!$A$8:$F$202,6,FALSE)</f>
        <v>0</v>
      </c>
      <c r="V79" s="387">
        <f t="shared" ref="V79:V142" si="50">H79+I79+J79+K79+L79+M79+N79+O79+P79+Q79+R79+S79+T79+U79</f>
        <v>0</v>
      </c>
      <c r="W79" s="387">
        <f t="shared" si="38"/>
        <v>634.5</v>
      </c>
      <c r="X79" s="387">
        <f t="shared" si="39"/>
        <v>11059.334999999999</v>
      </c>
      <c r="Y79" s="346">
        <f t="shared" si="40"/>
        <v>0</v>
      </c>
      <c r="Z79" s="346">
        <f t="shared" si="41"/>
        <v>0</v>
      </c>
      <c r="AA79" s="346">
        <f t="shared" si="34"/>
        <v>0</v>
      </c>
      <c r="AB79" s="346">
        <f t="shared" si="42"/>
        <v>0</v>
      </c>
      <c r="AC79" s="346">
        <f t="shared" si="43"/>
        <v>0</v>
      </c>
      <c r="AD79" s="346">
        <f t="shared" si="37"/>
        <v>0</v>
      </c>
      <c r="AE79" s="346">
        <f t="shared" ref="AE79:AE110" si="51">F79*N79</f>
        <v>0</v>
      </c>
      <c r="AF79" s="346">
        <f t="shared" si="44"/>
        <v>0</v>
      </c>
      <c r="AG79" s="346">
        <f t="shared" si="45"/>
        <v>0</v>
      </c>
      <c r="AH79" s="346">
        <f t="shared" si="46"/>
        <v>0</v>
      </c>
      <c r="AI79" s="346">
        <f t="shared" si="47"/>
        <v>0</v>
      </c>
      <c r="AJ79" s="346">
        <f t="shared" si="48"/>
        <v>0</v>
      </c>
      <c r="AK79" s="346">
        <f t="shared" ref="AK79:AK142" si="52">ROUND(T79*F79,2)</f>
        <v>0</v>
      </c>
      <c r="AL79" s="346">
        <f t="shared" si="49"/>
        <v>0</v>
      </c>
      <c r="AM79" s="445">
        <f t="shared" ref="AM79:AM142" si="53">Y79+Z79+AA79+AB79+AC79+AD79+AE79+AF79+AG79+AH79+AI79+AJ79+AK79+AL79</f>
        <v>0</v>
      </c>
      <c r="AN79" s="446">
        <f t="shared" ref="AN79:AN142" si="54">X79-AM79</f>
        <v>11059.334999999999</v>
      </c>
    </row>
    <row r="80" spans="2:40" s="167" customFormat="1" ht="22.5" x14ac:dyDescent="0.25">
      <c r="B80" s="384" t="s">
        <v>205</v>
      </c>
      <c r="C80" s="385">
        <v>88488</v>
      </c>
      <c r="D80" s="386" t="s">
        <v>207</v>
      </c>
      <c r="E80" s="277" t="s">
        <v>17</v>
      </c>
      <c r="F80" s="387">
        <v>13.74</v>
      </c>
      <c r="G80" s="387">
        <v>634.5</v>
      </c>
      <c r="H80" s="444"/>
      <c r="I80" s="443"/>
      <c r="J80" s="443"/>
      <c r="K80" s="444"/>
      <c r="L80" s="444"/>
      <c r="M80" s="444"/>
      <c r="N80" s="387"/>
      <c r="O80" s="387"/>
      <c r="P80" s="444"/>
      <c r="Q80" s="444"/>
      <c r="R80" s="444">
        <v>0</v>
      </c>
      <c r="S80" s="444">
        <v>0</v>
      </c>
      <c r="T80" s="444">
        <v>0</v>
      </c>
      <c r="U80" s="444">
        <f>VLOOKUP(B80,'MEMÓRIA MEDIÇÃO 14'!$A$8:$F$202,6,FALSE)</f>
        <v>0</v>
      </c>
      <c r="V80" s="387">
        <f t="shared" si="50"/>
        <v>0</v>
      </c>
      <c r="W80" s="387">
        <f t="shared" si="38"/>
        <v>634.5</v>
      </c>
      <c r="X80" s="387">
        <f t="shared" si="39"/>
        <v>8718.0300000000007</v>
      </c>
      <c r="Y80" s="346">
        <f t="shared" si="40"/>
        <v>0</v>
      </c>
      <c r="Z80" s="346">
        <f t="shared" si="41"/>
        <v>0</v>
      </c>
      <c r="AA80" s="346">
        <f t="shared" si="34"/>
        <v>0</v>
      </c>
      <c r="AB80" s="346">
        <f t="shared" si="42"/>
        <v>0</v>
      </c>
      <c r="AC80" s="346">
        <f t="shared" si="43"/>
        <v>0</v>
      </c>
      <c r="AD80" s="346">
        <f t="shared" si="37"/>
        <v>0</v>
      </c>
      <c r="AE80" s="346">
        <f t="shared" si="51"/>
        <v>0</v>
      </c>
      <c r="AF80" s="346">
        <f t="shared" si="44"/>
        <v>0</v>
      </c>
      <c r="AG80" s="346">
        <f t="shared" si="45"/>
        <v>0</v>
      </c>
      <c r="AH80" s="346">
        <f t="shared" si="46"/>
        <v>0</v>
      </c>
      <c r="AI80" s="346">
        <f t="shared" si="47"/>
        <v>0</v>
      </c>
      <c r="AJ80" s="346">
        <f t="shared" si="48"/>
        <v>0</v>
      </c>
      <c r="AK80" s="346">
        <f t="shared" si="52"/>
        <v>0</v>
      </c>
      <c r="AL80" s="346">
        <f t="shared" si="49"/>
        <v>0</v>
      </c>
      <c r="AM80" s="445">
        <f t="shared" si="53"/>
        <v>0</v>
      </c>
      <c r="AN80" s="446">
        <f t="shared" si="54"/>
        <v>8718.0300000000007</v>
      </c>
    </row>
    <row r="81" spans="2:40" s="167" customFormat="1" ht="14.45" customHeight="1" x14ac:dyDescent="0.25">
      <c r="B81" s="347" t="s">
        <v>208</v>
      </c>
      <c r="C81" s="348" t="s">
        <v>209</v>
      </c>
      <c r="D81" s="386"/>
      <c r="E81" s="277"/>
      <c r="F81" s="387"/>
      <c r="G81" s="387"/>
      <c r="H81" s="444"/>
      <c r="I81" s="443"/>
      <c r="J81" s="443"/>
      <c r="K81" s="444"/>
      <c r="L81" s="444"/>
      <c r="M81" s="444"/>
      <c r="N81" s="387"/>
      <c r="O81" s="387"/>
      <c r="P81" s="444"/>
      <c r="Q81" s="444"/>
      <c r="R81" s="444">
        <v>0</v>
      </c>
      <c r="S81" s="444">
        <v>0</v>
      </c>
      <c r="T81" s="444">
        <v>0</v>
      </c>
      <c r="U81" s="444">
        <f>VLOOKUP(B81,'MEMÓRIA MEDIÇÃO 14'!$A$8:$F$202,6,FALSE)</f>
        <v>0</v>
      </c>
      <c r="V81" s="387">
        <f t="shared" si="50"/>
        <v>0</v>
      </c>
      <c r="W81" s="387"/>
      <c r="X81" s="387"/>
      <c r="Y81" s="346">
        <f t="shared" si="40"/>
        <v>0</v>
      </c>
      <c r="Z81" s="346">
        <f t="shared" si="41"/>
        <v>0</v>
      </c>
      <c r="AA81" s="346">
        <f t="shared" si="34"/>
        <v>0</v>
      </c>
      <c r="AB81" s="346">
        <f t="shared" si="42"/>
        <v>0</v>
      </c>
      <c r="AC81" s="346">
        <f t="shared" si="43"/>
        <v>0</v>
      </c>
      <c r="AD81" s="346">
        <f t="shared" si="37"/>
        <v>0</v>
      </c>
      <c r="AE81" s="346">
        <f t="shared" si="51"/>
        <v>0</v>
      </c>
      <c r="AF81" s="346">
        <f t="shared" si="44"/>
        <v>0</v>
      </c>
      <c r="AG81" s="346">
        <f t="shared" si="45"/>
        <v>0</v>
      </c>
      <c r="AH81" s="346">
        <f t="shared" si="46"/>
        <v>0</v>
      </c>
      <c r="AI81" s="346">
        <f t="shared" si="47"/>
        <v>0</v>
      </c>
      <c r="AJ81" s="346">
        <f t="shared" si="48"/>
        <v>0</v>
      </c>
      <c r="AK81" s="346">
        <f t="shared" si="52"/>
        <v>0</v>
      </c>
      <c r="AL81" s="346">
        <f t="shared" si="49"/>
        <v>0</v>
      </c>
      <c r="AM81" s="445">
        <f t="shared" si="53"/>
        <v>0</v>
      </c>
      <c r="AN81" s="446">
        <f t="shared" si="54"/>
        <v>0</v>
      </c>
    </row>
    <row r="82" spans="2:40" s="167" customFormat="1" ht="45" x14ac:dyDescent="0.25">
      <c r="B82" s="384" t="s">
        <v>210</v>
      </c>
      <c r="C82" s="385">
        <v>87894</v>
      </c>
      <c r="D82" s="386" t="s">
        <v>212</v>
      </c>
      <c r="E82" s="277" t="s">
        <v>17</v>
      </c>
      <c r="F82" s="387">
        <v>5.72</v>
      </c>
      <c r="G82" s="387">
        <v>495.11</v>
      </c>
      <c r="H82" s="444"/>
      <c r="I82" s="443"/>
      <c r="J82" s="443"/>
      <c r="K82" s="444"/>
      <c r="L82" s="444"/>
      <c r="M82" s="444"/>
      <c r="N82" s="444">
        <f>'MEMORIAL DE CALCULO 07'!K421</f>
        <v>320.44</v>
      </c>
      <c r="O82" s="444">
        <f>'MEMORIAL DE CALCULO 08'!K424</f>
        <v>100</v>
      </c>
      <c r="P82" s="444">
        <f>'MEMORIAL DE CALCULO 09)'!K428</f>
        <v>45.930999999999997</v>
      </c>
      <c r="Q82" s="444"/>
      <c r="R82" s="444">
        <v>0</v>
      </c>
      <c r="S82" s="444">
        <v>0</v>
      </c>
      <c r="T82" s="444">
        <v>0</v>
      </c>
      <c r="U82" s="444">
        <f>VLOOKUP(B82,'MEMÓRIA MEDIÇÃO 14'!$A$8:$F$202,6,FALSE)</f>
        <v>0</v>
      </c>
      <c r="V82" s="387">
        <f t="shared" si="50"/>
        <v>466.37099999999998</v>
      </c>
      <c r="W82" s="387">
        <f t="shared" ref="W82:W88" si="55">G82-V82</f>
        <v>28.739000000000033</v>
      </c>
      <c r="X82" s="387">
        <f t="shared" ref="X82:X88" si="56">F82*G82</f>
        <v>2832.0291999999999</v>
      </c>
      <c r="Y82" s="346">
        <f t="shared" si="40"/>
        <v>0</v>
      </c>
      <c r="Z82" s="346">
        <f t="shared" si="41"/>
        <v>0</v>
      </c>
      <c r="AA82" s="346">
        <f t="shared" si="34"/>
        <v>0</v>
      </c>
      <c r="AB82" s="346">
        <f t="shared" si="42"/>
        <v>0</v>
      </c>
      <c r="AC82" s="346">
        <f t="shared" si="43"/>
        <v>0</v>
      </c>
      <c r="AD82" s="346">
        <f t="shared" si="37"/>
        <v>0</v>
      </c>
      <c r="AE82" s="346">
        <f t="shared" si="51"/>
        <v>1832.9168</v>
      </c>
      <c r="AF82" s="346">
        <f t="shared" si="44"/>
        <v>572</v>
      </c>
      <c r="AG82" s="346">
        <f t="shared" si="45"/>
        <v>262.72000000000003</v>
      </c>
      <c r="AH82" s="346">
        <f t="shared" si="46"/>
        <v>0</v>
      </c>
      <c r="AI82" s="346">
        <f t="shared" si="47"/>
        <v>0</v>
      </c>
      <c r="AJ82" s="346">
        <f t="shared" si="48"/>
        <v>0</v>
      </c>
      <c r="AK82" s="346">
        <f t="shared" si="52"/>
        <v>0</v>
      </c>
      <c r="AL82" s="346">
        <f t="shared" si="49"/>
        <v>0</v>
      </c>
      <c r="AM82" s="445">
        <f t="shared" si="53"/>
        <v>2667.6368000000002</v>
      </c>
      <c r="AN82" s="446">
        <f t="shared" si="54"/>
        <v>164.39239999999972</v>
      </c>
    </row>
    <row r="83" spans="2:40" s="167" customFormat="1" ht="56.25" x14ac:dyDescent="0.25">
      <c r="B83" s="384" t="s">
        <v>213</v>
      </c>
      <c r="C83" s="385">
        <v>104233</v>
      </c>
      <c r="D83" s="386" t="s">
        <v>215</v>
      </c>
      <c r="E83" s="277" t="s">
        <v>17</v>
      </c>
      <c r="F83" s="387">
        <v>31.53</v>
      </c>
      <c r="G83" s="387">
        <v>466.37</v>
      </c>
      <c r="H83" s="444"/>
      <c r="I83" s="443"/>
      <c r="J83" s="443"/>
      <c r="K83" s="444"/>
      <c r="L83" s="444"/>
      <c r="M83" s="444"/>
      <c r="N83" s="444"/>
      <c r="O83" s="444">
        <f>'MEMORIAL DE CALCULO 08'!K427</f>
        <v>278.39999999999998</v>
      </c>
      <c r="P83" s="444">
        <f>'MEMORIAL DE CALCULO 09)'!K430</f>
        <v>187.97049999999999</v>
      </c>
      <c r="Q83" s="444"/>
      <c r="R83" s="444">
        <v>0</v>
      </c>
      <c r="S83" s="444">
        <v>0</v>
      </c>
      <c r="T83" s="444">
        <v>0</v>
      </c>
      <c r="U83" s="444">
        <f>VLOOKUP(B83,'MEMÓRIA MEDIÇÃO 14'!$A$8:$F$202,6,FALSE)</f>
        <v>0</v>
      </c>
      <c r="V83" s="387">
        <f t="shared" si="50"/>
        <v>466.37049999999999</v>
      </c>
      <c r="W83" s="387">
        <f t="shared" si="55"/>
        <v>-4.9999999998817657E-4</v>
      </c>
      <c r="X83" s="387">
        <f t="shared" si="56"/>
        <v>14704.6461</v>
      </c>
      <c r="Y83" s="346">
        <f t="shared" si="40"/>
        <v>0</v>
      </c>
      <c r="Z83" s="346">
        <f t="shared" si="41"/>
        <v>0</v>
      </c>
      <c r="AA83" s="346">
        <f t="shared" si="34"/>
        <v>0</v>
      </c>
      <c r="AB83" s="346">
        <f t="shared" si="42"/>
        <v>0</v>
      </c>
      <c r="AC83" s="346">
        <f t="shared" si="43"/>
        <v>0</v>
      </c>
      <c r="AD83" s="346">
        <f t="shared" si="37"/>
        <v>0</v>
      </c>
      <c r="AE83" s="346">
        <f t="shared" si="51"/>
        <v>0</v>
      </c>
      <c r="AF83" s="346">
        <f t="shared" si="44"/>
        <v>8777.9500000000007</v>
      </c>
      <c r="AG83" s="346">
        <f t="shared" si="45"/>
        <v>5926.7</v>
      </c>
      <c r="AH83" s="346">
        <f t="shared" si="46"/>
        <v>0</v>
      </c>
      <c r="AI83" s="346">
        <f t="shared" si="47"/>
        <v>0</v>
      </c>
      <c r="AJ83" s="346">
        <f t="shared" si="48"/>
        <v>0</v>
      </c>
      <c r="AK83" s="346">
        <f t="shared" si="52"/>
        <v>0</v>
      </c>
      <c r="AL83" s="346">
        <f t="shared" si="49"/>
        <v>0</v>
      </c>
      <c r="AM83" s="445">
        <f t="shared" si="53"/>
        <v>14704.650000000001</v>
      </c>
      <c r="AN83" s="446">
        <f t="shared" si="54"/>
        <v>-3.9000000015221303E-3</v>
      </c>
    </row>
    <row r="84" spans="2:40" s="167" customFormat="1" ht="33.75" x14ac:dyDescent="0.25">
      <c r="B84" s="384" t="s">
        <v>216</v>
      </c>
      <c r="C84" s="442" t="s">
        <v>217</v>
      </c>
      <c r="D84" s="391" t="s">
        <v>218</v>
      </c>
      <c r="E84" s="277" t="s">
        <v>17</v>
      </c>
      <c r="F84" s="277">
        <v>154.75</v>
      </c>
      <c r="G84" s="387">
        <v>32.5</v>
      </c>
      <c r="H84" s="278"/>
      <c r="I84" s="278"/>
      <c r="J84" s="443"/>
      <c r="K84" s="278"/>
      <c r="L84" s="278"/>
      <c r="M84" s="278"/>
      <c r="N84" s="444"/>
      <c r="O84" s="444"/>
      <c r="P84" s="444"/>
      <c r="Q84" s="444"/>
      <c r="R84" s="444">
        <v>0</v>
      </c>
      <c r="S84" s="444">
        <v>0</v>
      </c>
      <c r="T84" s="444">
        <v>0</v>
      </c>
      <c r="U84" s="444">
        <f>VLOOKUP(B84,'MEMÓRIA MEDIÇÃO 14'!$A$8:$F$202,6,FALSE)</f>
        <v>0</v>
      </c>
      <c r="V84" s="387">
        <f t="shared" si="50"/>
        <v>0</v>
      </c>
      <c r="W84" s="387">
        <f t="shared" si="55"/>
        <v>32.5</v>
      </c>
      <c r="X84" s="387">
        <f t="shared" si="56"/>
        <v>5029.375</v>
      </c>
      <c r="Y84" s="346">
        <f t="shared" si="40"/>
        <v>0</v>
      </c>
      <c r="Z84" s="346">
        <f t="shared" si="41"/>
        <v>0</v>
      </c>
      <c r="AA84" s="346">
        <f t="shared" si="34"/>
        <v>0</v>
      </c>
      <c r="AB84" s="346">
        <f t="shared" si="42"/>
        <v>0</v>
      </c>
      <c r="AC84" s="346">
        <f t="shared" si="43"/>
        <v>0</v>
      </c>
      <c r="AD84" s="346">
        <f t="shared" si="37"/>
        <v>0</v>
      </c>
      <c r="AE84" s="346">
        <f t="shared" si="51"/>
        <v>0</v>
      </c>
      <c r="AF84" s="346">
        <f t="shared" si="44"/>
        <v>0</v>
      </c>
      <c r="AG84" s="346">
        <f t="shared" si="45"/>
        <v>0</v>
      </c>
      <c r="AH84" s="346">
        <f t="shared" si="46"/>
        <v>0</v>
      </c>
      <c r="AI84" s="346">
        <f t="shared" si="47"/>
        <v>0</v>
      </c>
      <c r="AJ84" s="346">
        <f t="shared" si="48"/>
        <v>0</v>
      </c>
      <c r="AK84" s="346">
        <f t="shared" si="52"/>
        <v>0</v>
      </c>
      <c r="AL84" s="346">
        <f t="shared" si="49"/>
        <v>0</v>
      </c>
      <c r="AM84" s="445">
        <f t="shared" si="53"/>
        <v>0</v>
      </c>
      <c r="AN84" s="446">
        <f t="shared" si="54"/>
        <v>5029.375</v>
      </c>
    </row>
    <row r="85" spans="2:40" s="167" customFormat="1" ht="33.75" x14ac:dyDescent="0.25">
      <c r="B85" s="384" t="s">
        <v>219</v>
      </c>
      <c r="C85" s="442" t="s">
        <v>220</v>
      </c>
      <c r="D85" s="386" t="s">
        <v>221</v>
      </c>
      <c r="E85" s="277" t="s">
        <v>222</v>
      </c>
      <c r="F85" s="387">
        <v>228.6</v>
      </c>
      <c r="G85" s="387">
        <v>29.5</v>
      </c>
      <c r="H85" s="444"/>
      <c r="I85" s="444"/>
      <c r="J85" s="443"/>
      <c r="K85" s="444"/>
      <c r="L85" s="444"/>
      <c r="M85" s="444"/>
      <c r="N85" s="387"/>
      <c r="O85" s="387"/>
      <c r="P85" s="444"/>
      <c r="Q85" s="444"/>
      <c r="R85" s="444">
        <v>0</v>
      </c>
      <c r="S85" s="444">
        <v>0</v>
      </c>
      <c r="T85" s="444">
        <v>0</v>
      </c>
      <c r="U85" s="444">
        <f>VLOOKUP(B85,'MEMÓRIA MEDIÇÃO 14'!$A$8:$F$202,6,FALSE)</f>
        <v>0</v>
      </c>
      <c r="V85" s="387">
        <f t="shared" si="50"/>
        <v>0</v>
      </c>
      <c r="W85" s="387">
        <f t="shared" si="55"/>
        <v>29.5</v>
      </c>
      <c r="X85" s="387">
        <f t="shared" si="56"/>
        <v>6743.7</v>
      </c>
      <c r="Y85" s="346">
        <f t="shared" si="40"/>
        <v>0</v>
      </c>
      <c r="Z85" s="346">
        <f t="shared" si="41"/>
        <v>0</v>
      </c>
      <c r="AA85" s="346">
        <f t="shared" si="34"/>
        <v>0</v>
      </c>
      <c r="AB85" s="346">
        <f t="shared" si="42"/>
        <v>0</v>
      </c>
      <c r="AC85" s="346">
        <f t="shared" si="43"/>
        <v>0</v>
      </c>
      <c r="AD85" s="346">
        <f t="shared" si="37"/>
        <v>0</v>
      </c>
      <c r="AE85" s="346">
        <f t="shared" si="51"/>
        <v>0</v>
      </c>
      <c r="AF85" s="346">
        <f t="shared" si="44"/>
        <v>0</v>
      </c>
      <c r="AG85" s="346">
        <f t="shared" si="45"/>
        <v>0</v>
      </c>
      <c r="AH85" s="346">
        <f t="shared" si="46"/>
        <v>0</v>
      </c>
      <c r="AI85" s="346">
        <f t="shared" si="47"/>
        <v>0</v>
      </c>
      <c r="AJ85" s="346">
        <f t="shared" si="48"/>
        <v>0</v>
      </c>
      <c r="AK85" s="346">
        <f t="shared" si="52"/>
        <v>0</v>
      </c>
      <c r="AL85" s="346">
        <f t="shared" si="49"/>
        <v>0</v>
      </c>
      <c r="AM85" s="445">
        <f t="shared" si="53"/>
        <v>0</v>
      </c>
      <c r="AN85" s="446">
        <f t="shared" si="54"/>
        <v>6743.7</v>
      </c>
    </row>
    <row r="86" spans="2:40" s="167" customFormat="1" ht="22.5" x14ac:dyDescent="0.25">
      <c r="B86" s="384" t="s">
        <v>223</v>
      </c>
      <c r="C86" s="385">
        <v>88485</v>
      </c>
      <c r="D86" s="386" t="s">
        <v>192</v>
      </c>
      <c r="E86" s="277" t="s">
        <v>17</v>
      </c>
      <c r="F86" s="387">
        <v>2.74</v>
      </c>
      <c r="G86" s="387">
        <v>404.37</v>
      </c>
      <c r="H86" s="444"/>
      <c r="I86" s="444"/>
      <c r="J86" s="443"/>
      <c r="K86" s="444"/>
      <c r="L86" s="444"/>
      <c r="M86" s="444"/>
      <c r="N86" s="387"/>
      <c r="O86" s="387"/>
      <c r="P86" s="444"/>
      <c r="Q86" s="444"/>
      <c r="R86" s="444">
        <v>0</v>
      </c>
      <c r="S86" s="444">
        <v>0</v>
      </c>
      <c r="T86" s="444">
        <v>0</v>
      </c>
      <c r="U86" s="444">
        <f>VLOOKUP(B86,'MEMÓRIA MEDIÇÃO 14'!$A$8:$F$202,6,FALSE)</f>
        <v>404.37049999999999</v>
      </c>
      <c r="V86" s="387">
        <f t="shared" si="50"/>
        <v>404.37049999999999</v>
      </c>
      <c r="W86" s="387">
        <f t="shared" si="55"/>
        <v>-4.9999999998817657E-4</v>
      </c>
      <c r="X86" s="387">
        <f t="shared" si="56"/>
        <v>1107.9738000000002</v>
      </c>
      <c r="Y86" s="346">
        <f t="shared" si="40"/>
        <v>0</v>
      </c>
      <c r="Z86" s="346">
        <f t="shared" si="41"/>
        <v>0</v>
      </c>
      <c r="AA86" s="346">
        <f t="shared" si="34"/>
        <v>0</v>
      </c>
      <c r="AB86" s="346">
        <f t="shared" si="42"/>
        <v>0</v>
      </c>
      <c r="AC86" s="346">
        <f t="shared" si="43"/>
        <v>0</v>
      </c>
      <c r="AD86" s="346">
        <f t="shared" si="37"/>
        <v>0</v>
      </c>
      <c r="AE86" s="346">
        <f t="shared" si="51"/>
        <v>0</v>
      </c>
      <c r="AF86" s="346">
        <f t="shared" si="44"/>
        <v>0</v>
      </c>
      <c r="AG86" s="346">
        <f t="shared" si="45"/>
        <v>0</v>
      </c>
      <c r="AH86" s="346">
        <f t="shared" si="46"/>
        <v>0</v>
      </c>
      <c r="AI86" s="346">
        <f t="shared" si="47"/>
        <v>0</v>
      </c>
      <c r="AJ86" s="346">
        <f t="shared" si="48"/>
        <v>0</v>
      </c>
      <c r="AK86" s="346">
        <f t="shared" si="52"/>
        <v>0</v>
      </c>
      <c r="AL86" s="346">
        <f t="shared" si="49"/>
        <v>1107.98</v>
      </c>
      <c r="AM86" s="445">
        <f t="shared" si="53"/>
        <v>1107.98</v>
      </c>
      <c r="AN86" s="446">
        <f t="shared" si="54"/>
        <v>-6.1999999998079147E-3</v>
      </c>
    </row>
    <row r="87" spans="2:40" s="167" customFormat="1" ht="22.5" x14ac:dyDescent="0.25">
      <c r="B87" s="384" t="s">
        <v>224</v>
      </c>
      <c r="C87" s="385">
        <v>96130</v>
      </c>
      <c r="D87" s="386" t="s">
        <v>226</v>
      </c>
      <c r="E87" s="277" t="s">
        <v>17</v>
      </c>
      <c r="F87" s="387">
        <v>17.11</v>
      </c>
      <c r="G87" s="387">
        <v>404.37</v>
      </c>
      <c r="H87" s="444"/>
      <c r="I87" s="444"/>
      <c r="J87" s="443"/>
      <c r="K87" s="444"/>
      <c r="L87" s="444"/>
      <c r="M87" s="444"/>
      <c r="N87" s="387"/>
      <c r="O87" s="387"/>
      <c r="P87" s="444"/>
      <c r="Q87" s="444"/>
      <c r="R87" s="444">
        <v>0</v>
      </c>
      <c r="S87" s="444">
        <v>0</v>
      </c>
      <c r="T87" s="444">
        <v>0</v>
      </c>
      <c r="U87" s="444">
        <f>VLOOKUP(B87,'MEMÓRIA MEDIÇÃO 14'!$A$8:$F$202,6,FALSE)</f>
        <v>0</v>
      </c>
      <c r="V87" s="387">
        <f t="shared" si="50"/>
        <v>0</v>
      </c>
      <c r="W87" s="387">
        <f t="shared" si="55"/>
        <v>404.37</v>
      </c>
      <c r="X87" s="387">
        <f t="shared" si="56"/>
        <v>6918.7707</v>
      </c>
      <c r="Y87" s="346">
        <f t="shared" si="40"/>
        <v>0</v>
      </c>
      <c r="Z87" s="346">
        <f t="shared" si="41"/>
        <v>0</v>
      </c>
      <c r="AA87" s="346">
        <f t="shared" si="34"/>
        <v>0</v>
      </c>
      <c r="AB87" s="346">
        <f t="shared" si="42"/>
        <v>0</v>
      </c>
      <c r="AC87" s="346">
        <f t="shared" si="43"/>
        <v>0</v>
      </c>
      <c r="AD87" s="346">
        <f t="shared" si="37"/>
        <v>0</v>
      </c>
      <c r="AE87" s="346">
        <f t="shared" si="51"/>
        <v>0</v>
      </c>
      <c r="AF87" s="346">
        <f t="shared" si="44"/>
        <v>0</v>
      </c>
      <c r="AG87" s="346">
        <f t="shared" si="45"/>
        <v>0</v>
      </c>
      <c r="AH87" s="346">
        <f t="shared" si="46"/>
        <v>0</v>
      </c>
      <c r="AI87" s="346">
        <f t="shared" si="47"/>
        <v>0</v>
      </c>
      <c r="AJ87" s="346">
        <f t="shared" si="48"/>
        <v>0</v>
      </c>
      <c r="AK87" s="346">
        <f t="shared" si="52"/>
        <v>0</v>
      </c>
      <c r="AL87" s="346">
        <f t="shared" si="49"/>
        <v>0</v>
      </c>
      <c r="AM87" s="445">
        <f t="shared" si="53"/>
        <v>0</v>
      </c>
      <c r="AN87" s="446">
        <f t="shared" si="54"/>
        <v>6918.7707</v>
      </c>
    </row>
    <row r="88" spans="2:40" s="167" customFormat="1" ht="22.5" x14ac:dyDescent="0.25">
      <c r="B88" s="384" t="s">
        <v>227</v>
      </c>
      <c r="C88" s="385">
        <v>88489</v>
      </c>
      <c r="D88" s="386" t="s">
        <v>198</v>
      </c>
      <c r="E88" s="277" t="s">
        <v>17</v>
      </c>
      <c r="F88" s="387">
        <v>12.16</v>
      </c>
      <c r="G88" s="387">
        <v>404.37</v>
      </c>
      <c r="H88" s="444"/>
      <c r="I88" s="444"/>
      <c r="J88" s="443"/>
      <c r="K88" s="444"/>
      <c r="L88" s="444"/>
      <c r="M88" s="444"/>
      <c r="N88" s="387"/>
      <c r="O88" s="387"/>
      <c r="P88" s="444"/>
      <c r="Q88" s="444"/>
      <c r="R88" s="444">
        <v>0</v>
      </c>
      <c r="S88" s="444">
        <v>0</v>
      </c>
      <c r="T88" s="444">
        <v>0</v>
      </c>
      <c r="U88" s="444">
        <f>VLOOKUP(B88,'MEMÓRIA MEDIÇÃO 14'!$A$8:$F$202,6,FALSE)</f>
        <v>0</v>
      </c>
      <c r="V88" s="387">
        <f t="shared" si="50"/>
        <v>0</v>
      </c>
      <c r="W88" s="387">
        <f t="shared" si="55"/>
        <v>404.37</v>
      </c>
      <c r="X88" s="387">
        <f t="shared" si="56"/>
        <v>4917.1392000000005</v>
      </c>
      <c r="Y88" s="346">
        <f t="shared" si="40"/>
        <v>0</v>
      </c>
      <c r="Z88" s="346">
        <f t="shared" si="41"/>
        <v>0</v>
      </c>
      <c r="AA88" s="346">
        <f t="shared" si="34"/>
        <v>0</v>
      </c>
      <c r="AB88" s="346">
        <f t="shared" si="42"/>
        <v>0</v>
      </c>
      <c r="AC88" s="346">
        <f t="shared" si="43"/>
        <v>0</v>
      </c>
      <c r="AD88" s="346">
        <f t="shared" si="37"/>
        <v>0</v>
      </c>
      <c r="AE88" s="346">
        <f t="shared" si="51"/>
        <v>0</v>
      </c>
      <c r="AF88" s="346">
        <f t="shared" si="44"/>
        <v>0</v>
      </c>
      <c r="AG88" s="346">
        <f t="shared" si="45"/>
        <v>0</v>
      </c>
      <c r="AH88" s="346">
        <f t="shared" si="46"/>
        <v>0</v>
      </c>
      <c r="AI88" s="346">
        <f t="shared" si="47"/>
        <v>0</v>
      </c>
      <c r="AJ88" s="346">
        <f t="shared" si="48"/>
        <v>0</v>
      </c>
      <c r="AK88" s="346">
        <f t="shared" si="52"/>
        <v>0</v>
      </c>
      <c r="AL88" s="346">
        <f t="shared" si="49"/>
        <v>0</v>
      </c>
      <c r="AM88" s="445">
        <f t="shared" si="53"/>
        <v>0</v>
      </c>
      <c r="AN88" s="446">
        <f t="shared" si="54"/>
        <v>4917.1392000000005</v>
      </c>
    </row>
    <row r="89" spans="2:40" s="167" customFormat="1" ht="14.45" customHeight="1" x14ac:dyDescent="0.25">
      <c r="B89" s="348">
        <v>1.1000000000000001</v>
      </c>
      <c r="C89" s="348" t="s">
        <v>229</v>
      </c>
      <c r="D89" s="386"/>
      <c r="E89" s="277"/>
      <c r="F89" s="387"/>
      <c r="G89" s="387"/>
      <c r="H89" s="444"/>
      <c r="I89" s="444"/>
      <c r="J89" s="443"/>
      <c r="K89" s="444"/>
      <c r="L89" s="444"/>
      <c r="M89" s="444"/>
      <c r="N89" s="387"/>
      <c r="O89" s="387"/>
      <c r="P89" s="444"/>
      <c r="Q89" s="444"/>
      <c r="R89" s="444">
        <v>0</v>
      </c>
      <c r="S89" s="444">
        <v>0</v>
      </c>
      <c r="T89" s="444">
        <v>0</v>
      </c>
      <c r="U89" s="444">
        <f>VLOOKUP(B89,'MEMÓRIA MEDIÇÃO 14'!$A$8:$F$202,6,FALSE)</f>
        <v>0</v>
      </c>
      <c r="V89" s="387">
        <f t="shared" si="50"/>
        <v>0</v>
      </c>
      <c r="W89" s="387"/>
      <c r="X89" s="387"/>
      <c r="Y89" s="346">
        <f t="shared" si="40"/>
        <v>0</v>
      </c>
      <c r="Z89" s="346">
        <f t="shared" si="41"/>
        <v>0</v>
      </c>
      <c r="AA89" s="346">
        <f t="shared" si="34"/>
        <v>0</v>
      </c>
      <c r="AB89" s="346">
        <f t="shared" si="42"/>
        <v>0</v>
      </c>
      <c r="AC89" s="346">
        <f t="shared" si="43"/>
        <v>0</v>
      </c>
      <c r="AD89" s="346">
        <f t="shared" si="37"/>
        <v>0</v>
      </c>
      <c r="AE89" s="346">
        <f t="shared" si="51"/>
        <v>0</v>
      </c>
      <c r="AF89" s="346">
        <f t="shared" si="44"/>
        <v>0</v>
      </c>
      <c r="AG89" s="346">
        <f t="shared" si="45"/>
        <v>0</v>
      </c>
      <c r="AH89" s="346">
        <f t="shared" si="46"/>
        <v>0</v>
      </c>
      <c r="AI89" s="346">
        <f t="shared" si="47"/>
        <v>0</v>
      </c>
      <c r="AJ89" s="346">
        <f t="shared" si="48"/>
        <v>0</v>
      </c>
      <c r="AK89" s="346">
        <f t="shared" si="52"/>
        <v>0</v>
      </c>
      <c r="AL89" s="346">
        <f t="shared" si="49"/>
        <v>0</v>
      </c>
      <c r="AM89" s="445">
        <f t="shared" si="53"/>
        <v>0</v>
      </c>
      <c r="AN89" s="446">
        <f t="shared" si="54"/>
        <v>0</v>
      </c>
    </row>
    <row r="90" spans="2:40" s="167" customFormat="1" ht="33.75" x14ac:dyDescent="0.25">
      <c r="B90" s="384" t="s">
        <v>230</v>
      </c>
      <c r="C90" s="385">
        <v>92868</v>
      </c>
      <c r="D90" s="386" t="s">
        <v>232</v>
      </c>
      <c r="E90" s="245" t="s">
        <v>166</v>
      </c>
      <c r="F90" s="245">
        <v>13.45</v>
      </c>
      <c r="G90" s="387">
        <v>121</v>
      </c>
      <c r="H90" s="444"/>
      <c r="I90" s="444"/>
      <c r="J90" s="443"/>
      <c r="K90" s="444"/>
      <c r="L90" s="444"/>
      <c r="M90" s="444"/>
      <c r="N90" s="387"/>
      <c r="O90" s="387"/>
      <c r="P90" s="444"/>
      <c r="Q90" s="444">
        <v>121</v>
      </c>
      <c r="R90" s="444">
        <v>0</v>
      </c>
      <c r="S90" s="444">
        <v>0</v>
      </c>
      <c r="T90" s="444">
        <v>0</v>
      </c>
      <c r="U90" s="444">
        <f>VLOOKUP(B90,'MEMÓRIA MEDIÇÃO 14'!$A$8:$F$202,6,FALSE)</f>
        <v>0</v>
      </c>
      <c r="V90" s="387">
        <f t="shared" si="50"/>
        <v>121</v>
      </c>
      <c r="W90" s="387">
        <f t="shared" ref="W90:W117" si="57">G90-V90</f>
        <v>0</v>
      </c>
      <c r="X90" s="387">
        <f t="shared" ref="X90:X117" si="58">F90*G90</f>
        <v>1627.4499999999998</v>
      </c>
      <c r="Y90" s="346">
        <f t="shared" si="40"/>
        <v>0</v>
      </c>
      <c r="Z90" s="346">
        <f t="shared" si="41"/>
        <v>0</v>
      </c>
      <c r="AA90" s="346">
        <f t="shared" si="34"/>
        <v>0</v>
      </c>
      <c r="AB90" s="346">
        <f t="shared" si="42"/>
        <v>0</v>
      </c>
      <c r="AC90" s="346">
        <f t="shared" si="43"/>
        <v>0</v>
      </c>
      <c r="AD90" s="346">
        <f t="shared" si="37"/>
        <v>0</v>
      </c>
      <c r="AE90" s="346">
        <f t="shared" si="51"/>
        <v>0</v>
      </c>
      <c r="AF90" s="346">
        <f t="shared" si="44"/>
        <v>0</v>
      </c>
      <c r="AG90" s="346">
        <f t="shared" si="45"/>
        <v>0</v>
      </c>
      <c r="AH90" s="346">
        <f t="shared" si="46"/>
        <v>1627.45</v>
      </c>
      <c r="AI90" s="346">
        <f t="shared" si="47"/>
        <v>0</v>
      </c>
      <c r="AJ90" s="346">
        <f t="shared" si="48"/>
        <v>0</v>
      </c>
      <c r="AK90" s="346">
        <f t="shared" si="52"/>
        <v>0</v>
      </c>
      <c r="AL90" s="346">
        <f t="shared" si="49"/>
        <v>0</v>
      </c>
      <c r="AM90" s="445">
        <f t="shared" si="53"/>
        <v>1627.45</v>
      </c>
      <c r="AN90" s="446">
        <f t="shared" si="54"/>
        <v>0</v>
      </c>
    </row>
    <row r="91" spans="2:40" s="167" customFormat="1" ht="22.5" x14ac:dyDescent="0.25">
      <c r="B91" s="384" t="s">
        <v>233</v>
      </c>
      <c r="C91" s="385">
        <v>91937</v>
      </c>
      <c r="D91" s="386" t="s">
        <v>235</v>
      </c>
      <c r="E91" s="245" t="s">
        <v>166</v>
      </c>
      <c r="F91" s="245">
        <v>11.14</v>
      </c>
      <c r="G91" s="387">
        <v>76</v>
      </c>
      <c r="H91" s="444"/>
      <c r="I91" s="444"/>
      <c r="J91" s="443"/>
      <c r="K91" s="444"/>
      <c r="L91" s="444"/>
      <c r="M91" s="444"/>
      <c r="N91" s="387"/>
      <c r="O91" s="387"/>
      <c r="P91" s="444"/>
      <c r="Q91" s="444"/>
      <c r="R91" s="444">
        <v>0</v>
      </c>
      <c r="S91" s="444">
        <v>0</v>
      </c>
      <c r="T91" s="444">
        <v>0</v>
      </c>
      <c r="U91" s="444">
        <f>VLOOKUP(B91,'MEMÓRIA MEDIÇÃO 14'!$A$8:$F$202,6,FALSE)</f>
        <v>0</v>
      </c>
      <c r="V91" s="387">
        <f t="shared" si="50"/>
        <v>0</v>
      </c>
      <c r="W91" s="387">
        <f t="shared" si="57"/>
        <v>76</v>
      </c>
      <c r="X91" s="387">
        <f t="shared" si="58"/>
        <v>846.6400000000001</v>
      </c>
      <c r="Y91" s="346">
        <f t="shared" si="40"/>
        <v>0</v>
      </c>
      <c r="Z91" s="346">
        <f t="shared" si="41"/>
        <v>0</v>
      </c>
      <c r="AA91" s="346">
        <f t="shared" ref="AA91:AA122" si="59">F91*J91</f>
        <v>0</v>
      </c>
      <c r="AB91" s="346">
        <f t="shared" si="42"/>
        <v>0</v>
      </c>
      <c r="AC91" s="346">
        <f t="shared" si="43"/>
        <v>0</v>
      </c>
      <c r="AD91" s="346">
        <f t="shared" si="37"/>
        <v>0</v>
      </c>
      <c r="AE91" s="346">
        <f t="shared" si="51"/>
        <v>0</v>
      </c>
      <c r="AF91" s="346">
        <f t="shared" si="44"/>
        <v>0</v>
      </c>
      <c r="AG91" s="346">
        <f t="shared" si="45"/>
        <v>0</v>
      </c>
      <c r="AH91" s="346">
        <f t="shared" si="46"/>
        <v>0</v>
      </c>
      <c r="AI91" s="346">
        <f t="shared" si="47"/>
        <v>0</v>
      </c>
      <c r="AJ91" s="346">
        <f t="shared" si="48"/>
        <v>0</v>
      </c>
      <c r="AK91" s="346">
        <f t="shared" si="52"/>
        <v>0</v>
      </c>
      <c r="AL91" s="346">
        <f t="shared" si="49"/>
        <v>0</v>
      </c>
      <c r="AM91" s="445">
        <f t="shared" si="53"/>
        <v>0</v>
      </c>
      <c r="AN91" s="446">
        <f t="shared" si="54"/>
        <v>846.6400000000001</v>
      </c>
    </row>
    <row r="92" spans="2:40" s="167" customFormat="1" ht="33.75" x14ac:dyDescent="0.25">
      <c r="B92" s="384" t="s">
        <v>236</v>
      </c>
      <c r="C92" s="385">
        <v>91924</v>
      </c>
      <c r="D92" s="386" t="s">
        <v>238</v>
      </c>
      <c r="E92" s="245" t="s">
        <v>37</v>
      </c>
      <c r="F92" s="245">
        <v>2.7</v>
      </c>
      <c r="G92" s="387">
        <v>1253.8</v>
      </c>
      <c r="H92" s="444"/>
      <c r="I92" s="444"/>
      <c r="J92" s="443"/>
      <c r="K92" s="444"/>
      <c r="L92" s="444"/>
      <c r="M92" s="444"/>
      <c r="N92" s="387"/>
      <c r="O92" s="387"/>
      <c r="P92" s="444"/>
      <c r="Q92" s="444"/>
      <c r="R92" s="444">
        <v>0</v>
      </c>
      <c r="S92" s="444">
        <v>0</v>
      </c>
      <c r="T92" s="444">
        <v>0</v>
      </c>
      <c r="U92" s="444">
        <f>VLOOKUP(B92,'MEMÓRIA MEDIÇÃO 14'!$A$8:$F$202,6,FALSE)</f>
        <v>1252.0999999999999</v>
      </c>
      <c r="V92" s="387">
        <f t="shared" si="50"/>
        <v>1252.0999999999999</v>
      </c>
      <c r="W92" s="387">
        <f t="shared" si="57"/>
        <v>1.7000000000000455</v>
      </c>
      <c r="X92" s="387">
        <f t="shared" si="58"/>
        <v>3385.26</v>
      </c>
      <c r="Y92" s="346">
        <f t="shared" si="40"/>
        <v>0</v>
      </c>
      <c r="Z92" s="346">
        <f t="shared" si="41"/>
        <v>0</v>
      </c>
      <c r="AA92" s="346">
        <f t="shared" si="59"/>
        <v>0</v>
      </c>
      <c r="AB92" s="346">
        <f t="shared" si="42"/>
        <v>0</v>
      </c>
      <c r="AC92" s="346">
        <f t="shared" si="43"/>
        <v>0</v>
      </c>
      <c r="AD92" s="346">
        <f t="shared" si="37"/>
        <v>0</v>
      </c>
      <c r="AE92" s="346">
        <f t="shared" si="51"/>
        <v>0</v>
      </c>
      <c r="AF92" s="346">
        <f t="shared" si="44"/>
        <v>0</v>
      </c>
      <c r="AG92" s="346">
        <f t="shared" si="45"/>
        <v>0</v>
      </c>
      <c r="AH92" s="346">
        <f t="shared" si="46"/>
        <v>0</v>
      </c>
      <c r="AI92" s="346">
        <f t="shared" si="47"/>
        <v>0</v>
      </c>
      <c r="AJ92" s="346">
        <f t="shared" si="48"/>
        <v>0</v>
      </c>
      <c r="AK92" s="346">
        <f t="shared" si="52"/>
        <v>0</v>
      </c>
      <c r="AL92" s="346">
        <f t="shared" si="49"/>
        <v>3380.67</v>
      </c>
      <c r="AM92" s="445">
        <f t="shared" si="53"/>
        <v>3380.67</v>
      </c>
      <c r="AN92" s="446">
        <f t="shared" si="54"/>
        <v>4.5900000000001455</v>
      </c>
    </row>
    <row r="93" spans="2:40" s="167" customFormat="1" ht="33.75" x14ac:dyDescent="0.25">
      <c r="B93" s="384" t="s">
        <v>239</v>
      </c>
      <c r="C93" s="385">
        <v>91926</v>
      </c>
      <c r="D93" s="386" t="s">
        <v>241</v>
      </c>
      <c r="E93" s="245" t="s">
        <v>37</v>
      </c>
      <c r="F93" s="245">
        <v>3.98</v>
      </c>
      <c r="G93" s="387">
        <v>1496.3</v>
      </c>
      <c r="H93" s="444"/>
      <c r="I93" s="444"/>
      <c r="J93" s="443"/>
      <c r="K93" s="444"/>
      <c r="L93" s="444"/>
      <c r="M93" s="444"/>
      <c r="N93" s="387"/>
      <c r="O93" s="387"/>
      <c r="P93" s="444"/>
      <c r="Q93" s="444"/>
      <c r="R93" s="444">
        <v>0</v>
      </c>
      <c r="S93" s="444">
        <v>0</v>
      </c>
      <c r="T93" s="444">
        <v>0</v>
      </c>
      <c r="U93" s="444">
        <f>VLOOKUP(B93,'MEMÓRIA MEDIÇÃO 14'!$A$8:$F$202,6,FALSE)</f>
        <v>1496.3</v>
      </c>
      <c r="V93" s="387">
        <f t="shared" si="50"/>
        <v>1496.3</v>
      </c>
      <c r="W93" s="387">
        <f t="shared" si="57"/>
        <v>0</v>
      </c>
      <c r="X93" s="387">
        <f t="shared" si="58"/>
        <v>5955.2739999999994</v>
      </c>
      <c r="Y93" s="346">
        <f t="shared" si="40"/>
        <v>0</v>
      </c>
      <c r="Z93" s="346">
        <f t="shared" si="41"/>
        <v>0</v>
      </c>
      <c r="AA93" s="346">
        <f t="shared" si="59"/>
        <v>0</v>
      </c>
      <c r="AB93" s="346">
        <f t="shared" si="42"/>
        <v>0</v>
      </c>
      <c r="AC93" s="346">
        <f t="shared" si="43"/>
        <v>0</v>
      </c>
      <c r="AD93" s="346">
        <f t="shared" si="37"/>
        <v>0</v>
      </c>
      <c r="AE93" s="346">
        <f t="shared" si="51"/>
        <v>0</v>
      </c>
      <c r="AF93" s="346">
        <f t="shared" si="44"/>
        <v>0</v>
      </c>
      <c r="AG93" s="346">
        <f t="shared" si="45"/>
        <v>0</v>
      </c>
      <c r="AH93" s="346">
        <f t="shared" si="46"/>
        <v>0</v>
      </c>
      <c r="AI93" s="346">
        <f t="shared" si="47"/>
        <v>0</v>
      </c>
      <c r="AJ93" s="346">
        <f t="shared" si="48"/>
        <v>0</v>
      </c>
      <c r="AK93" s="346">
        <f t="shared" si="52"/>
        <v>0</v>
      </c>
      <c r="AL93" s="346">
        <f t="shared" si="49"/>
        <v>5955.27</v>
      </c>
      <c r="AM93" s="445">
        <f t="shared" si="53"/>
        <v>5955.27</v>
      </c>
      <c r="AN93" s="446">
        <f t="shared" si="54"/>
        <v>3.9999999989959178E-3</v>
      </c>
    </row>
    <row r="94" spans="2:40" s="167" customFormat="1" ht="33.75" x14ac:dyDescent="0.25">
      <c r="B94" s="384" t="s">
        <v>242</v>
      </c>
      <c r="C94" s="385">
        <v>91928</v>
      </c>
      <c r="D94" s="391" t="s">
        <v>244</v>
      </c>
      <c r="E94" s="245" t="s">
        <v>37</v>
      </c>
      <c r="F94" s="245">
        <v>6.23</v>
      </c>
      <c r="G94" s="387">
        <v>284.60000000000002</v>
      </c>
      <c r="H94" s="278"/>
      <c r="I94" s="278"/>
      <c r="J94" s="443"/>
      <c r="K94" s="278"/>
      <c r="L94" s="278"/>
      <c r="M94" s="278"/>
      <c r="N94" s="278"/>
      <c r="O94" s="278"/>
      <c r="P94" s="278"/>
      <c r="Q94" s="278"/>
      <c r="R94" s="444">
        <v>0</v>
      </c>
      <c r="S94" s="444">
        <v>0</v>
      </c>
      <c r="T94" s="444">
        <v>0</v>
      </c>
      <c r="U94" s="444">
        <f>VLOOKUP(B94,'MEMÓRIA MEDIÇÃO 14'!$A$8:$F$202,6,FALSE)</f>
        <v>284.60000000000002</v>
      </c>
      <c r="V94" s="387">
        <f t="shared" si="50"/>
        <v>284.60000000000002</v>
      </c>
      <c r="W94" s="387">
        <f t="shared" si="57"/>
        <v>0</v>
      </c>
      <c r="X94" s="387">
        <f t="shared" si="58"/>
        <v>1773.0580000000002</v>
      </c>
      <c r="Y94" s="346">
        <f t="shared" si="40"/>
        <v>0</v>
      </c>
      <c r="Z94" s="346">
        <f t="shared" si="41"/>
        <v>0</v>
      </c>
      <c r="AA94" s="346">
        <f t="shared" si="59"/>
        <v>0</v>
      </c>
      <c r="AB94" s="346">
        <f t="shared" si="42"/>
        <v>0</v>
      </c>
      <c r="AC94" s="346">
        <f t="shared" si="43"/>
        <v>0</v>
      </c>
      <c r="AD94" s="346">
        <f t="shared" si="37"/>
        <v>0</v>
      </c>
      <c r="AE94" s="346">
        <f t="shared" si="51"/>
        <v>0</v>
      </c>
      <c r="AF94" s="346">
        <f t="shared" si="44"/>
        <v>0</v>
      </c>
      <c r="AG94" s="346">
        <f t="shared" si="45"/>
        <v>0</v>
      </c>
      <c r="AH94" s="346">
        <f t="shared" si="46"/>
        <v>0</v>
      </c>
      <c r="AI94" s="346">
        <f t="shared" si="47"/>
        <v>0</v>
      </c>
      <c r="AJ94" s="346">
        <f t="shared" si="48"/>
        <v>0</v>
      </c>
      <c r="AK94" s="346">
        <f t="shared" si="52"/>
        <v>0</v>
      </c>
      <c r="AL94" s="346">
        <f t="shared" si="49"/>
        <v>1773.06</v>
      </c>
      <c r="AM94" s="445">
        <f t="shared" si="53"/>
        <v>1773.06</v>
      </c>
      <c r="AN94" s="446">
        <f t="shared" si="54"/>
        <v>-1.9999999997253326E-3</v>
      </c>
    </row>
    <row r="95" spans="2:40" s="167" customFormat="1" ht="33.75" x14ac:dyDescent="0.25">
      <c r="B95" s="384" t="s">
        <v>245</v>
      </c>
      <c r="C95" s="385">
        <v>91931</v>
      </c>
      <c r="D95" s="386" t="s">
        <v>247</v>
      </c>
      <c r="E95" s="245" t="s">
        <v>37</v>
      </c>
      <c r="F95" s="245">
        <v>9.51</v>
      </c>
      <c r="G95" s="387">
        <v>224</v>
      </c>
      <c r="H95" s="444"/>
      <c r="I95" s="444"/>
      <c r="J95" s="443"/>
      <c r="K95" s="444"/>
      <c r="L95" s="444"/>
      <c r="M95" s="444"/>
      <c r="N95" s="387"/>
      <c r="O95" s="387"/>
      <c r="P95" s="444"/>
      <c r="Q95" s="444"/>
      <c r="R95" s="444">
        <v>0</v>
      </c>
      <c r="S95" s="444">
        <v>0</v>
      </c>
      <c r="T95" s="444">
        <v>0</v>
      </c>
      <c r="U95" s="444">
        <f>VLOOKUP(B95,'MEMÓRIA MEDIÇÃO 14'!$A$8:$F$202,6,FALSE)</f>
        <v>223.6</v>
      </c>
      <c r="V95" s="387">
        <f t="shared" si="50"/>
        <v>223.6</v>
      </c>
      <c r="W95" s="387">
        <f t="shared" si="57"/>
        <v>0.40000000000000568</v>
      </c>
      <c r="X95" s="387">
        <f t="shared" si="58"/>
        <v>2130.2399999999998</v>
      </c>
      <c r="Y95" s="346">
        <f t="shared" si="40"/>
        <v>0</v>
      </c>
      <c r="Z95" s="346">
        <f t="shared" si="41"/>
        <v>0</v>
      </c>
      <c r="AA95" s="346">
        <f t="shared" si="59"/>
        <v>0</v>
      </c>
      <c r="AB95" s="346">
        <f t="shared" si="42"/>
        <v>0</v>
      </c>
      <c r="AC95" s="346">
        <f t="shared" si="43"/>
        <v>0</v>
      </c>
      <c r="AD95" s="346">
        <f t="shared" si="37"/>
        <v>0</v>
      </c>
      <c r="AE95" s="346">
        <f t="shared" si="51"/>
        <v>0</v>
      </c>
      <c r="AF95" s="346">
        <f t="shared" si="44"/>
        <v>0</v>
      </c>
      <c r="AG95" s="346">
        <f t="shared" si="45"/>
        <v>0</v>
      </c>
      <c r="AH95" s="346">
        <f t="shared" si="46"/>
        <v>0</v>
      </c>
      <c r="AI95" s="346">
        <f t="shared" si="47"/>
        <v>0</v>
      </c>
      <c r="AJ95" s="346">
        <f t="shared" si="48"/>
        <v>0</v>
      </c>
      <c r="AK95" s="346">
        <f t="shared" si="52"/>
        <v>0</v>
      </c>
      <c r="AL95" s="346">
        <f t="shared" si="49"/>
        <v>2126.44</v>
      </c>
      <c r="AM95" s="445">
        <f t="shared" si="53"/>
        <v>2126.44</v>
      </c>
      <c r="AN95" s="446">
        <f t="shared" si="54"/>
        <v>3.7999999999997272</v>
      </c>
    </row>
    <row r="96" spans="2:40" s="167" customFormat="1" ht="22.5" x14ac:dyDescent="0.25">
      <c r="B96" s="384" t="s">
        <v>248</v>
      </c>
      <c r="C96" s="385">
        <v>39773</v>
      </c>
      <c r="D96" s="386" t="s">
        <v>250</v>
      </c>
      <c r="E96" s="245" t="s">
        <v>166</v>
      </c>
      <c r="F96" s="245">
        <v>101.17</v>
      </c>
      <c r="G96" s="387">
        <v>2</v>
      </c>
      <c r="H96" s="444"/>
      <c r="I96" s="444"/>
      <c r="J96" s="443"/>
      <c r="K96" s="444"/>
      <c r="L96" s="444"/>
      <c r="M96" s="444"/>
      <c r="N96" s="387"/>
      <c r="O96" s="387"/>
      <c r="P96" s="444"/>
      <c r="Q96" s="444"/>
      <c r="R96" s="444">
        <v>0</v>
      </c>
      <c r="S96" s="444">
        <v>0</v>
      </c>
      <c r="T96" s="444">
        <v>0</v>
      </c>
      <c r="U96" s="444">
        <f>VLOOKUP(B96,'MEMÓRIA MEDIÇÃO 14'!$A$8:$F$202,6,FALSE)</f>
        <v>0</v>
      </c>
      <c r="V96" s="387">
        <f t="shared" si="50"/>
        <v>0</v>
      </c>
      <c r="W96" s="387">
        <f t="shared" si="57"/>
        <v>2</v>
      </c>
      <c r="X96" s="387">
        <f t="shared" si="58"/>
        <v>202.34</v>
      </c>
      <c r="Y96" s="346">
        <f t="shared" si="40"/>
        <v>0</v>
      </c>
      <c r="Z96" s="346">
        <f t="shared" si="41"/>
        <v>0</v>
      </c>
      <c r="AA96" s="346">
        <f t="shared" si="59"/>
        <v>0</v>
      </c>
      <c r="AB96" s="346">
        <f t="shared" si="42"/>
        <v>0</v>
      </c>
      <c r="AC96" s="346">
        <f t="shared" si="43"/>
        <v>0</v>
      </c>
      <c r="AD96" s="346">
        <f t="shared" si="37"/>
        <v>0</v>
      </c>
      <c r="AE96" s="346">
        <f t="shared" si="51"/>
        <v>0</v>
      </c>
      <c r="AF96" s="346">
        <f t="shared" si="44"/>
        <v>0</v>
      </c>
      <c r="AG96" s="346">
        <f t="shared" si="45"/>
        <v>0</v>
      </c>
      <c r="AH96" s="346">
        <f t="shared" si="46"/>
        <v>0</v>
      </c>
      <c r="AI96" s="346">
        <f t="shared" si="47"/>
        <v>0</v>
      </c>
      <c r="AJ96" s="346">
        <f t="shared" si="48"/>
        <v>0</v>
      </c>
      <c r="AK96" s="346">
        <f t="shared" si="52"/>
        <v>0</v>
      </c>
      <c r="AL96" s="346">
        <f t="shared" si="49"/>
        <v>0</v>
      </c>
      <c r="AM96" s="445">
        <f t="shared" si="53"/>
        <v>0</v>
      </c>
      <c r="AN96" s="446">
        <f t="shared" si="54"/>
        <v>202.34</v>
      </c>
    </row>
    <row r="97" spans="2:40" s="167" customFormat="1" ht="22.5" x14ac:dyDescent="0.25">
      <c r="B97" s="384" t="s">
        <v>251</v>
      </c>
      <c r="C97" s="385">
        <v>101890</v>
      </c>
      <c r="D97" s="386" t="s">
        <v>253</v>
      </c>
      <c r="E97" s="245" t="s">
        <v>166</v>
      </c>
      <c r="F97" s="245">
        <v>15.35</v>
      </c>
      <c r="G97" s="387">
        <v>19</v>
      </c>
      <c r="H97" s="444"/>
      <c r="I97" s="444"/>
      <c r="J97" s="443"/>
      <c r="K97" s="444"/>
      <c r="L97" s="444"/>
      <c r="M97" s="444"/>
      <c r="N97" s="387"/>
      <c r="O97" s="387"/>
      <c r="P97" s="444"/>
      <c r="Q97" s="444"/>
      <c r="R97" s="444">
        <v>0</v>
      </c>
      <c r="S97" s="444">
        <v>0</v>
      </c>
      <c r="T97" s="444">
        <v>0</v>
      </c>
      <c r="U97" s="444">
        <f>VLOOKUP(B97,'MEMÓRIA MEDIÇÃO 14'!$A$8:$F$202,6,FALSE)</f>
        <v>0</v>
      </c>
      <c r="V97" s="387">
        <f t="shared" si="50"/>
        <v>0</v>
      </c>
      <c r="W97" s="387">
        <f t="shared" si="57"/>
        <v>19</v>
      </c>
      <c r="X97" s="387">
        <f t="shared" si="58"/>
        <v>291.64999999999998</v>
      </c>
      <c r="Y97" s="346">
        <f t="shared" si="40"/>
        <v>0</v>
      </c>
      <c r="Z97" s="346">
        <f t="shared" si="41"/>
        <v>0</v>
      </c>
      <c r="AA97" s="346">
        <f t="shared" si="59"/>
        <v>0</v>
      </c>
      <c r="AB97" s="346">
        <f t="shared" si="42"/>
        <v>0</v>
      </c>
      <c r="AC97" s="346">
        <f t="shared" si="43"/>
        <v>0</v>
      </c>
      <c r="AD97" s="346">
        <f t="shared" si="37"/>
        <v>0</v>
      </c>
      <c r="AE97" s="346">
        <f t="shared" si="51"/>
        <v>0</v>
      </c>
      <c r="AF97" s="346">
        <f t="shared" si="44"/>
        <v>0</v>
      </c>
      <c r="AG97" s="346">
        <f t="shared" si="45"/>
        <v>0</v>
      </c>
      <c r="AH97" s="346">
        <f t="shared" si="46"/>
        <v>0</v>
      </c>
      <c r="AI97" s="346">
        <f t="shared" si="47"/>
        <v>0</v>
      </c>
      <c r="AJ97" s="346">
        <f t="shared" si="48"/>
        <v>0</v>
      </c>
      <c r="AK97" s="346">
        <f t="shared" si="52"/>
        <v>0</v>
      </c>
      <c r="AL97" s="346">
        <f t="shared" si="49"/>
        <v>0</v>
      </c>
      <c r="AM97" s="445">
        <f t="shared" si="53"/>
        <v>0</v>
      </c>
      <c r="AN97" s="446">
        <f t="shared" si="54"/>
        <v>291.64999999999998</v>
      </c>
    </row>
    <row r="98" spans="2:40" s="167" customFormat="1" ht="22.5" x14ac:dyDescent="0.25">
      <c r="B98" s="384" t="s">
        <v>254</v>
      </c>
      <c r="C98" s="385">
        <v>93670</v>
      </c>
      <c r="D98" s="386" t="s">
        <v>256</v>
      </c>
      <c r="E98" s="245" t="s">
        <v>166</v>
      </c>
      <c r="F98" s="245">
        <v>73.97</v>
      </c>
      <c r="G98" s="387">
        <v>1</v>
      </c>
      <c r="H98" s="444"/>
      <c r="I98" s="444"/>
      <c r="J98" s="443"/>
      <c r="K98" s="444"/>
      <c r="L98" s="444"/>
      <c r="M98" s="444"/>
      <c r="N98" s="387"/>
      <c r="O98" s="387"/>
      <c r="P98" s="444"/>
      <c r="Q98" s="444"/>
      <c r="R98" s="444">
        <v>0</v>
      </c>
      <c r="S98" s="444">
        <v>0</v>
      </c>
      <c r="T98" s="444">
        <v>0</v>
      </c>
      <c r="U98" s="444">
        <f>VLOOKUP(B98,'MEMÓRIA MEDIÇÃO 14'!$A$8:$F$202,6,FALSE)</f>
        <v>0</v>
      </c>
      <c r="V98" s="387">
        <f t="shared" si="50"/>
        <v>0</v>
      </c>
      <c r="W98" s="387">
        <f t="shared" si="57"/>
        <v>1</v>
      </c>
      <c r="X98" s="387">
        <f t="shared" si="58"/>
        <v>73.97</v>
      </c>
      <c r="Y98" s="346">
        <f t="shared" si="40"/>
        <v>0</v>
      </c>
      <c r="Z98" s="346">
        <f t="shared" si="41"/>
        <v>0</v>
      </c>
      <c r="AA98" s="346">
        <f t="shared" si="59"/>
        <v>0</v>
      </c>
      <c r="AB98" s="346">
        <f t="shared" si="42"/>
        <v>0</v>
      </c>
      <c r="AC98" s="346">
        <f t="shared" si="43"/>
        <v>0</v>
      </c>
      <c r="AD98" s="346">
        <f t="shared" ref="AD98:AD129" si="60">M98*F98</f>
        <v>0</v>
      </c>
      <c r="AE98" s="346">
        <f t="shared" si="51"/>
        <v>0</v>
      </c>
      <c r="AF98" s="346">
        <f t="shared" si="44"/>
        <v>0</v>
      </c>
      <c r="AG98" s="346">
        <f t="shared" si="45"/>
        <v>0</v>
      </c>
      <c r="AH98" s="346">
        <f t="shared" si="46"/>
        <v>0</v>
      </c>
      <c r="AI98" s="346">
        <f t="shared" si="47"/>
        <v>0</v>
      </c>
      <c r="AJ98" s="346">
        <f t="shared" si="48"/>
        <v>0</v>
      </c>
      <c r="AK98" s="346">
        <f t="shared" si="52"/>
        <v>0</v>
      </c>
      <c r="AL98" s="346">
        <f t="shared" si="49"/>
        <v>0</v>
      </c>
      <c r="AM98" s="445">
        <f t="shared" si="53"/>
        <v>0</v>
      </c>
      <c r="AN98" s="446">
        <f t="shared" si="54"/>
        <v>73.97</v>
      </c>
    </row>
    <row r="99" spans="2:40" s="167" customFormat="1" ht="22.5" x14ac:dyDescent="0.25">
      <c r="B99" s="384" t="s">
        <v>257</v>
      </c>
      <c r="C99" s="385">
        <v>93671</v>
      </c>
      <c r="D99" s="386" t="s">
        <v>259</v>
      </c>
      <c r="E99" s="245" t="s">
        <v>166</v>
      </c>
      <c r="F99" s="245">
        <v>77.569999999999993</v>
      </c>
      <c r="G99" s="387">
        <v>1</v>
      </c>
      <c r="H99" s="444"/>
      <c r="I99" s="444"/>
      <c r="J99" s="443"/>
      <c r="K99" s="444"/>
      <c r="L99" s="444"/>
      <c r="M99" s="444"/>
      <c r="N99" s="387"/>
      <c r="O99" s="387"/>
      <c r="P99" s="444"/>
      <c r="Q99" s="444"/>
      <c r="R99" s="444">
        <v>0</v>
      </c>
      <c r="S99" s="444">
        <v>0</v>
      </c>
      <c r="T99" s="444">
        <v>0</v>
      </c>
      <c r="U99" s="444">
        <f>VLOOKUP(B99,'MEMÓRIA MEDIÇÃO 14'!$A$8:$F$202,6,FALSE)</f>
        <v>0</v>
      </c>
      <c r="V99" s="387">
        <f t="shared" si="50"/>
        <v>0</v>
      </c>
      <c r="W99" s="387">
        <f t="shared" si="57"/>
        <v>1</v>
      </c>
      <c r="X99" s="387">
        <f t="shared" si="58"/>
        <v>77.569999999999993</v>
      </c>
      <c r="Y99" s="346">
        <f t="shared" si="40"/>
        <v>0</v>
      </c>
      <c r="Z99" s="346">
        <f t="shared" si="41"/>
        <v>0</v>
      </c>
      <c r="AA99" s="346">
        <f t="shared" si="59"/>
        <v>0</v>
      </c>
      <c r="AB99" s="346">
        <f t="shared" si="42"/>
        <v>0</v>
      </c>
      <c r="AC99" s="346">
        <f t="shared" si="43"/>
        <v>0</v>
      </c>
      <c r="AD99" s="346">
        <f t="shared" si="60"/>
        <v>0</v>
      </c>
      <c r="AE99" s="346">
        <f t="shared" si="51"/>
        <v>0</v>
      </c>
      <c r="AF99" s="346">
        <f t="shared" si="44"/>
        <v>0</v>
      </c>
      <c r="AG99" s="346">
        <f t="shared" si="45"/>
        <v>0</v>
      </c>
      <c r="AH99" s="346">
        <f t="shared" si="46"/>
        <v>0</v>
      </c>
      <c r="AI99" s="346">
        <f t="shared" si="47"/>
        <v>0</v>
      </c>
      <c r="AJ99" s="346">
        <f t="shared" si="48"/>
        <v>0</v>
      </c>
      <c r="AK99" s="346">
        <f t="shared" si="52"/>
        <v>0</v>
      </c>
      <c r="AL99" s="346">
        <f t="shared" si="49"/>
        <v>0</v>
      </c>
      <c r="AM99" s="445">
        <f t="shared" si="53"/>
        <v>0</v>
      </c>
      <c r="AN99" s="446">
        <f t="shared" si="54"/>
        <v>77.569999999999993</v>
      </c>
    </row>
    <row r="100" spans="2:40" s="167" customFormat="1" ht="22.5" x14ac:dyDescent="0.25">
      <c r="B100" s="384" t="s">
        <v>260</v>
      </c>
      <c r="C100" s="385">
        <v>39466</v>
      </c>
      <c r="D100" s="386" t="s">
        <v>262</v>
      </c>
      <c r="E100" s="245" t="s">
        <v>166</v>
      </c>
      <c r="F100" s="245">
        <v>74.81</v>
      </c>
      <c r="G100" s="387">
        <v>6</v>
      </c>
      <c r="H100" s="444"/>
      <c r="I100" s="444"/>
      <c r="J100" s="443"/>
      <c r="K100" s="444"/>
      <c r="L100" s="444"/>
      <c r="M100" s="444"/>
      <c r="N100" s="387"/>
      <c r="O100" s="387"/>
      <c r="P100" s="444"/>
      <c r="Q100" s="444"/>
      <c r="R100" s="444">
        <v>0</v>
      </c>
      <c r="S100" s="444">
        <v>0</v>
      </c>
      <c r="T100" s="444">
        <v>0</v>
      </c>
      <c r="U100" s="444">
        <f>VLOOKUP(B100,'MEMÓRIA MEDIÇÃO 14'!$A$8:$F$202,6,FALSE)</f>
        <v>0</v>
      </c>
      <c r="V100" s="387">
        <f t="shared" si="50"/>
        <v>0</v>
      </c>
      <c r="W100" s="387">
        <f t="shared" si="57"/>
        <v>6</v>
      </c>
      <c r="X100" s="387">
        <f t="shared" si="58"/>
        <v>448.86</v>
      </c>
      <c r="Y100" s="346">
        <f t="shared" si="40"/>
        <v>0</v>
      </c>
      <c r="Z100" s="346">
        <f t="shared" si="41"/>
        <v>0</v>
      </c>
      <c r="AA100" s="346">
        <f t="shared" si="59"/>
        <v>0</v>
      </c>
      <c r="AB100" s="346">
        <f t="shared" si="42"/>
        <v>0</v>
      </c>
      <c r="AC100" s="346">
        <f t="shared" si="43"/>
        <v>0</v>
      </c>
      <c r="AD100" s="346">
        <f t="shared" si="60"/>
        <v>0</v>
      </c>
      <c r="AE100" s="346">
        <f t="shared" si="51"/>
        <v>0</v>
      </c>
      <c r="AF100" s="346">
        <f t="shared" si="44"/>
        <v>0</v>
      </c>
      <c r="AG100" s="346">
        <f t="shared" si="45"/>
        <v>0</v>
      </c>
      <c r="AH100" s="346">
        <f t="shared" si="46"/>
        <v>0</v>
      </c>
      <c r="AI100" s="346">
        <f t="shared" si="47"/>
        <v>0</v>
      </c>
      <c r="AJ100" s="346">
        <f t="shared" si="48"/>
        <v>0</v>
      </c>
      <c r="AK100" s="346">
        <f t="shared" si="52"/>
        <v>0</v>
      </c>
      <c r="AL100" s="346">
        <f t="shared" si="49"/>
        <v>0</v>
      </c>
      <c r="AM100" s="445">
        <f t="shared" si="53"/>
        <v>0</v>
      </c>
      <c r="AN100" s="446">
        <f t="shared" si="54"/>
        <v>448.86</v>
      </c>
    </row>
    <row r="101" spans="2:40" s="167" customFormat="1" ht="22.5" x14ac:dyDescent="0.25">
      <c r="B101" s="384" t="s">
        <v>263</v>
      </c>
      <c r="C101" s="385">
        <v>39445</v>
      </c>
      <c r="D101" s="386" t="s">
        <v>265</v>
      </c>
      <c r="E101" s="245" t="s">
        <v>166</v>
      </c>
      <c r="F101" s="245">
        <v>136.80000000000001</v>
      </c>
      <c r="G101" s="387">
        <v>1</v>
      </c>
      <c r="H101" s="444"/>
      <c r="I101" s="444"/>
      <c r="J101" s="443"/>
      <c r="K101" s="444"/>
      <c r="L101" s="444"/>
      <c r="M101" s="444"/>
      <c r="N101" s="387"/>
      <c r="O101" s="387"/>
      <c r="P101" s="444"/>
      <c r="Q101" s="444"/>
      <c r="R101" s="444">
        <v>0</v>
      </c>
      <c r="S101" s="444">
        <v>0</v>
      </c>
      <c r="T101" s="444">
        <v>0</v>
      </c>
      <c r="U101" s="444">
        <f>VLOOKUP(B101,'MEMÓRIA MEDIÇÃO 14'!$A$8:$F$202,6,FALSE)</f>
        <v>0</v>
      </c>
      <c r="V101" s="387">
        <f t="shared" si="50"/>
        <v>0</v>
      </c>
      <c r="W101" s="387">
        <f t="shared" si="57"/>
        <v>1</v>
      </c>
      <c r="X101" s="387">
        <f t="shared" si="58"/>
        <v>136.80000000000001</v>
      </c>
      <c r="Y101" s="346">
        <f t="shared" si="40"/>
        <v>0</v>
      </c>
      <c r="Z101" s="346">
        <f t="shared" si="41"/>
        <v>0</v>
      </c>
      <c r="AA101" s="346">
        <f t="shared" si="59"/>
        <v>0</v>
      </c>
      <c r="AB101" s="346">
        <f t="shared" si="42"/>
        <v>0</v>
      </c>
      <c r="AC101" s="346">
        <f t="shared" si="43"/>
        <v>0</v>
      </c>
      <c r="AD101" s="346">
        <f t="shared" si="60"/>
        <v>0</v>
      </c>
      <c r="AE101" s="346">
        <f t="shared" si="51"/>
        <v>0</v>
      </c>
      <c r="AF101" s="346">
        <f t="shared" si="44"/>
        <v>0</v>
      </c>
      <c r="AG101" s="346">
        <f t="shared" si="45"/>
        <v>0</v>
      </c>
      <c r="AH101" s="346">
        <f t="shared" si="46"/>
        <v>0</v>
      </c>
      <c r="AI101" s="346">
        <f t="shared" si="47"/>
        <v>0</v>
      </c>
      <c r="AJ101" s="346">
        <f t="shared" si="48"/>
        <v>0</v>
      </c>
      <c r="AK101" s="346">
        <f t="shared" si="52"/>
        <v>0</v>
      </c>
      <c r="AL101" s="346">
        <f t="shared" si="49"/>
        <v>0</v>
      </c>
      <c r="AM101" s="445">
        <f t="shared" si="53"/>
        <v>0</v>
      </c>
      <c r="AN101" s="446">
        <f t="shared" si="54"/>
        <v>136.80000000000001</v>
      </c>
    </row>
    <row r="102" spans="2:40" s="167" customFormat="1" ht="22.5" x14ac:dyDescent="0.25">
      <c r="B102" s="384" t="s">
        <v>266</v>
      </c>
      <c r="C102" s="385">
        <v>39446</v>
      </c>
      <c r="D102" s="386" t="s">
        <v>268</v>
      </c>
      <c r="E102" s="245" t="s">
        <v>166</v>
      </c>
      <c r="F102" s="245">
        <v>139.25</v>
      </c>
      <c r="G102" s="387">
        <v>1</v>
      </c>
      <c r="H102" s="444"/>
      <c r="I102" s="444"/>
      <c r="J102" s="443"/>
      <c r="K102" s="444"/>
      <c r="L102" s="444"/>
      <c r="M102" s="444"/>
      <c r="N102" s="387"/>
      <c r="O102" s="387"/>
      <c r="P102" s="444"/>
      <c r="Q102" s="444"/>
      <c r="R102" s="444">
        <v>0</v>
      </c>
      <c r="S102" s="444">
        <v>0</v>
      </c>
      <c r="T102" s="444">
        <v>0</v>
      </c>
      <c r="U102" s="444">
        <f>VLOOKUP(B102,'MEMÓRIA MEDIÇÃO 14'!$A$8:$F$202,6,FALSE)</f>
        <v>0</v>
      </c>
      <c r="V102" s="387">
        <f t="shared" si="50"/>
        <v>0</v>
      </c>
      <c r="W102" s="387">
        <f t="shared" si="57"/>
        <v>1</v>
      </c>
      <c r="X102" s="387">
        <f t="shared" si="58"/>
        <v>139.25</v>
      </c>
      <c r="Y102" s="346">
        <f t="shared" si="40"/>
        <v>0</v>
      </c>
      <c r="Z102" s="346">
        <f t="shared" si="41"/>
        <v>0</v>
      </c>
      <c r="AA102" s="346">
        <f t="shared" si="59"/>
        <v>0</v>
      </c>
      <c r="AB102" s="346">
        <f t="shared" si="42"/>
        <v>0</v>
      </c>
      <c r="AC102" s="346">
        <f t="shared" si="43"/>
        <v>0</v>
      </c>
      <c r="AD102" s="346">
        <f t="shared" si="60"/>
        <v>0</v>
      </c>
      <c r="AE102" s="346">
        <f t="shared" si="51"/>
        <v>0</v>
      </c>
      <c r="AF102" s="346">
        <f t="shared" si="44"/>
        <v>0</v>
      </c>
      <c r="AG102" s="346">
        <f t="shared" si="45"/>
        <v>0</v>
      </c>
      <c r="AH102" s="346">
        <f t="shared" si="46"/>
        <v>0</v>
      </c>
      <c r="AI102" s="346">
        <f t="shared" si="47"/>
        <v>0</v>
      </c>
      <c r="AJ102" s="346">
        <f t="shared" si="48"/>
        <v>0</v>
      </c>
      <c r="AK102" s="346">
        <f t="shared" si="52"/>
        <v>0</v>
      </c>
      <c r="AL102" s="346">
        <f t="shared" si="49"/>
        <v>0</v>
      </c>
      <c r="AM102" s="445">
        <f t="shared" si="53"/>
        <v>0</v>
      </c>
      <c r="AN102" s="446">
        <f t="shared" si="54"/>
        <v>139.25</v>
      </c>
    </row>
    <row r="103" spans="2:40" s="167" customFormat="1" ht="33.75" x14ac:dyDescent="0.25">
      <c r="B103" s="384" t="s">
        <v>269</v>
      </c>
      <c r="C103" s="385">
        <v>91953</v>
      </c>
      <c r="D103" s="386" t="s">
        <v>271</v>
      </c>
      <c r="E103" s="245" t="s">
        <v>166</v>
      </c>
      <c r="F103" s="245">
        <v>25.8</v>
      </c>
      <c r="G103" s="387">
        <v>24</v>
      </c>
      <c r="H103" s="444"/>
      <c r="I103" s="444"/>
      <c r="J103" s="443"/>
      <c r="K103" s="444"/>
      <c r="L103" s="444"/>
      <c r="M103" s="444"/>
      <c r="N103" s="387"/>
      <c r="O103" s="387"/>
      <c r="P103" s="444"/>
      <c r="Q103" s="444"/>
      <c r="R103" s="444">
        <v>0</v>
      </c>
      <c r="S103" s="444">
        <v>0</v>
      </c>
      <c r="T103" s="444">
        <v>0</v>
      </c>
      <c r="U103" s="444">
        <f>VLOOKUP(B103,'MEMÓRIA MEDIÇÃO 14'!$A$8:$F$202,6,FALSE)</f>
        <v>0</v>
      </c>
      <c r="V103" s="387">
        <f t="shared" si="50"/>
        <v>0</v>
      </c>
      <c r="W103" s="387">
        <f t="shared" si="57"/>
        <v>24</v>
      </c>
      <c r="X103" s="387">
        <f t="shared" si="58"/>
        <v>619.20000000000005</v>
      </c>
      <c r="Y103" s="346">
        <f t="shared" si="40"/>
        <v>0</v>
      </c>
      <c r="Z103" s="346">
        <f t="shared" si="41"/>
        <v>0</v>
      </c>
      <c r="AA103" s="346">
        <f t="shared" si="59"/>
        <v>0</v>
      </c>
      <c r="AB103" s="346">
        <f t="shared" si="42"/>
        <v>0</v>
      </c>
      <c r="AC103" s="346">
        <f t="shared" si="43"/>
        <v>0</v>
      </c>
      <c r="AD103" s="346">
        <f t="shared" si="60"/>
        <v>0</v>
      </c>
      <c r="AE103" s="346">
        <f t="shared" si="51"/>
        <v>0</v>
      </c>
      <c r="AF103" s="346">
        <f t="shared" si="44"/>
        <v>0</v>
      </c>
      <c r="AG103" s="346">
        <f t="shared" si="45"/>
        <v>0</v>
      </c>
      <c r="AH103" s="346">
        <f t="shared" si="46"/>
        <v>0</v>
      </c>
      <c r="AI103" s="346">
        <f t="shared" si="47"/>
        <v>0</v>
      </c>
      <c r="AJ103" s="346">
        <f t="shared" si="48"/>
        <v>0</v>
      </c>
      <c r="AK103" s="346">
        <f t="shared" si="52"/>
        <v>0</v>
      </c>
      <c r="AL103" s="346">
        <f t="shared" si="49"/>
        <v>0</v>
      </c>
      <c r="AM103" s="445">
        <f t="shared" si="53"/>
        <v>0</v>
      </c>
      <c r="AN103" s="446">
        <f t="shared" si="54"/>
        <v>619.20000000000005</v>
      </c>
    </row>
    <row r="104" spans="2:40" s="167" customFormat="1" ht="33.75" x14ac:dyDescent="0.25">
      <c r="B104" s="384" t="s">
        <v>272</v>
      </c>
      <c r="C104" s="385">
        <v>91967</v>
      </c>
      <c r="D104" s="386" t="s">
        <v>274</v>
      </c>
      <c r="E104" s="245" t="s">
        <v>166</v>
      </c>
      <c r="F104" s="245">
        <v>53.44</v>
      </c>
      <c r="G104" s="387">
        <v>1</v>
      </c>
      <c r="H104" s="444"/>
      <c r="I104" s="444"/>
      <c r="J104" s="443"/>
      <c r="K104" s="444"/>
      <c r="L104" s="444"/>
      <c r="M104" s="444"/>
      <c r="N104" s="387"/>
      <c r="O104" s="387"/>
      <c r="P104" s="444"/>
      <c r="Q104" s="444"/>
      <c r="R104" s="444">
        <v>0</v>
      </c>
      <c r="S104" s="444">
        <v>0</v>
      </c>
      <c r="T104" s="444">
        <v>0</v>
      </c>
      <c r="U104" s="444">
        <f>VLOOKUP(B104,'MEMÓRIA MEDIÇÃO 14'!$A$8:$F$202,6,FALSE)</f>
        <v>0</v>
      </c>
      <c r="V104" s="387">
        <f t="shared" si="50"/>
        <v>0</v>
      </c>
      <c r="W104" s="387">
        <f t="shared" si="57"/>
        <v>1</v>
      </c>
      <c r="X104" s="387">
        <f t="shared" si="58"/>
        <v>53.44</v>
      </c>
      <c r="Y104" s="346">
        <f t="shared" si="40"/>
        <v>0</v>
      </c>
      <c r="Z104" s="346">
        <f t="shared" si="41"/>
        <v>0</v>
      </c>
      <c r="AA104" s="346">
        <f t="shared" si="59"/>
        <v>0</v>
      </c>
      <c r="AB104" s="346">
        <f t="shared" si="42"/>
        <v>0</v>
      </c>
      <c r="AC104" s="346">
        <f t="shared" si="43"/>
        <v>0</v>
      </c>
      <c r="AD104" s="346">
        <f t="shared" si="60"/>
        <v>0</v>
      </c>
      <c r="AE104" s="346">
        <f t="shared" si="51"/>
        <v>0</v>
      </c>
      <c r="AF104" s="346">
        <f t="shared" si="44"/>
        <v>0</v>
      </c>
      <c r="AG104" s="346">
        <f t="shared" si="45"/>
        <v>0</v>
      </c>
      <c r="AH104" s="346">
        <f t="shared" si="46"/>
        <v>0</v>
      </c>
      <c r="AI104" s="346">
        <f t="shared" si="47"/>
        <v>0</v>
      </c>
      <c r="AJ104" s="346">
        <f t="shared" si="48"/>
        <v>0</v>
      </c>
      <c r="AK104" s="346">
        <f t="shared" si="52"/>
        <v>0</v>
      </c>
      <c r="AL104" s="346">
        <f t="shared" si="49"/>
        <v>0</v>
      </c>
      <c r="AM104" s="445">
        <f t="shared" si="53"/>
        <v>0</v>
      </c>
      <c r="AN104" s="446">
        <f t="shared" si="54"/>
        <v>53.44</v>
      </c>
    </row>
    <row r="105" spans="2:40" s="167" customFormat="1" ht="33.75" x14ac:dyDescent="0.25">
      <c r="B105" s="384" t="s">
        <v>275</v>
      </c>
      <c r="C105" s="385">
        <v>92000</v>
      </c>
      <c r="D105" s="386" t="s">
        <v>277</v>
      </c>
      <c r="E105" s="245" t="s">
        <v>166</v>
      </c>
      <c r="F105" s="245">
        <v>27.19</v>
      </c>
      <c r="G105" s="387">
        <v>54</v>
      </c>
      <c r="H105" s="444"/>
      <c r="I105" s="444"/>
      <c r="J105" s="443"/>
      <c r="K105" s="444"/>
      <c r="L105" s="444"/>
      <c r="M105" s="444"/>
      <c r="N105" s="387"/>
      <c r="O105" s="387"/>
      <c r="P105" s="444"/>
      <c r="Q105" s="444"/>
      <c r="R105" s="444">
        <v>0</v>
      </c>
      <c r="S105" s="444">
        <v>0</v>
      </c>
      <c r="T105" s="444">
        <v>0</v>
      </c>
      <c r="U105" s="444">
        <f>VLOOKUP(B105,'MEMÓRIA MEDIÇÃO 14'!$A$8:$F$202,6,FALSE)</f>
        <v>0</v>
      </c>
      <c r="V105" s="387">
        <f t="shared" si="50"/>
        <v>0</v>
      </c>
      <c r="W105" s="387">
        <f t="shared" si="57"/>
        <v>54</v>
      </c>
      <c r="X105" s="387">
        <f t="shared" si="58"/>
        <v>1468.26</v>
      </c>
      <c r="Y105" s="346">
        <f t="shared" si="40"/>
        <v>0</v>
      </c>
      <c r="Z105" s="346">
        <f t="shared" si="41"/>
        <v>0</v>
      </c>
      <c r="AA105" s="346">
        <f t="shared" si="59"/>
        <v>0</v>
      </c>
      <c r="AB105" s="346">
        <f t="shared" si="42"/>
        <v>0</v>
      </c>
      <c r="AC105" s="346">
        <f t="shared" si="43"/>
        <v>0</v>
      </c>
      <c r="AD105" s="346">
        <f t="shared" si="60"/>
        <v>0</v>
      </c>
      <c r="AE105" s="346">
        <f t="shared" si="51"/>
        <v>0</v>
      </c>
      <c r="AF105" s="346">
        <f t="shared" si="44"/>
        <v>0</v>
      </c>
      <c r="AG105" s="346">
        <f t="shared" si="45"/>
        <v>0</v>
      </c>
      <c r="AH105" s="346">
        <f t="shared" si="46"/>
        <v>0</v>
      </c>
      <c r="AI105" s="346">
        <f t="shared" si="47"/>
        <v>0</v>
      </c>
      <c r="AJ105" s="346">
        <f t="shared" si="48"/>
        <v>0</v>
      </c>
      <c r="AK105" s="346">
        <f t="shared" si="52"/>
        <v>0</v>
      </c>
      <c r="AL105" s="346">
        <f t="shared" si="49"/>
        <v>0</v>
      </c>
      <c r="AM105" s="445">
        <f t="shared" si="53"/>
        <v>0</v>
      </c>
      <c r="AN105" s="446">
        <f t="shared" si="54"/>
        <v>1468.26</v>
      </c>
    </row>
    <row r="106" spans="2:40" s="167" customFormat="1" ht="33.75" x14ac:dyDescent="0.25">
      <c r="B106" s="384" t="s">
        <v>278</v>
      </c>
      <c r="C106" s="385">
        <v>92008</v>
      </c>
      <c r="D106" s="386" t="s">
        <v>280</v>
      </c>
      <c r="E106" s="245" t="s">
        <v>166</v>
      </c>
      <c r="F106" s="245">
        <v>42.35</v>
      </c>
      <c r="G106" s="387">
        <v>11</v>
      </c>
      <c r="H106" s="444"/>
      <c r="I106" s="444"/>
      <c r="J106" s="443"/>
      <c r="K106" s="444"/>
      <c r="L106" s="444"/>
      <c r="M106" s="444"/>
      <c r="N106" s="387"/>
      <c r="O106" s="387"/>
      <c r="P106" s="444"/>
      <c r="Q106" s="444"/>
      <c r="R106" s="444">
        <v>0</v>
      </c>
      <c r="S106" s="444">
        <v>0</v>
      </c>
      <c r="T106" s="444">
        <v>0</v>
      </c>
      <c r="U106" s="444">
        <f>VLOOKUP(B106,'MEMÓRIA MEDIÇÃO 14'!$A$8:$F$202,6,FALSE)</f>
        <v>0</v>
      </c>
      <c r="V106" s="387">
        <f t="shared" si="50"/>
        <v>0</v>
      </c>
      <c r="W106" s="387">
        <f t="shared" si="57"/>
        <v>11</v>
      </c>
      <c r="X106" s="387">
        <f t="shared" si="58"/>
        <v>465.85</v>
      </c>
      <c r="Y106" s="346">
        <f t="shared" si="40"/>
        <v>0</v>
      </c>
      <c r="Z106" s="346">
        <f t="shared" si="41"/>
        <v>0</v>
      </c>
      <c r="AA106" s="346">
        <f t="shared" si="59"/>
        <v>0</v>
      </c>
      <c r="AB106" s="346">
        <f t="shared" si="42"/>
        <v>0</v>
      </c>
      <c r="AC106" s="346">
        <f t="shared" si="43"/>
        <v>0</v>
      </c>
      <c r="AD106" s="346">
        <f t="shared" si="60"/>
        <v>0</v>
      </c>
      <c r="AE106" s="346">
        <f t="shared" si="51"/>
        <v>0</v>
      </c>
      <c r="AF106" s="346">
        <f t="shared" si="44"/>
        <v>0</v>
      </c>
      <c r="AG106" s="346">
        <f t="shared" si="45"/>
        <v>0</v>
      </c>
      <c r="AH106" s="346">
        <f t="shared" si="46"/>
        <v>0</v>
      </c>
      <c r="AI106" s="346">
        <f t="shared" si="47"/>
        <v>0</v>
      </c>
      <c r="AJ106" s="346">
        <f t="shared" si="48"/>
        <v>0</v>
      </c>
      <c r="AK106" s="346">
        <f t="shared" si="52"/>
        <v>0</v>
      </c>
      <c r="AL106" s="346">
        <f t="shared" si="49"/>
        <v>0</v>
      </c>
      <c r="AM106" s="445">
        <f t="shared" si="53"/>
        <v>0</v>
      </c>
      <c r="AN106" s="446">
        <f t="shared" si="54"/>
        <v>465.85</v>
      </c>
    </row>
    <row r="107" spans="2:40" s="167" customFormat="1" ht="33.75" x14ac:dyDescent="0.25">
      <c r="B107" s="384" t="s">
        <v>281</v>
      </c>
      <c r="C107" s="385">
        <v>91959</v>
      </c>
      <c r="D107" s="391" t="s">
        <v>283</v>
      </c>
      <c r="E107" s="245" t="s">
        <v>166</v>
      </c>
      <c r="F107" s="245">
        <v>39.619999999999997</v>
      </c>
      <c r="G107" s="387">
        <v>2</v>
      </c>
      <c r="H107" s="278"/>
      <c r="I107" s="278"/>
      <c r="J107" s="443"/>
      <c r="K107" s="278"/>
      <c r="L107" s="278"/>
      <c r="M107" s="278"/>
      <c r="N107" s="278"/>
      <c r="O107" s="278"/>
      <c r="P107" s="278"/>
      <c r="Q107" s="278"/>
      <c r="R107" s="444">
        <v>0</v>
      </c>
      <c r="S107" s="444">
        <v>0</v>
      </c>
      <c r="T107" s="444">
        <v>0</v>
      </c>
      <c r="U107" s="444">
        <f>VLOOKUP(B107,'MEMÓRIA MEDIÇÃO 14'!$A$8:$F$202,6,FALSE)</f>
        <v>0</v>
      </c>
      <c r="V107" s="387">
        <f t="shared" si="50"/>
        <v>0</v>
      </c>
      <c r="W107" s="387">
        <f t="shared" si="57"/>
        <v>2</v>
      </c>
      <c r="X107" s="387">
        <f t="shared" si="58"/>
        <v>79.239999999999995</v>
      </c>
      <c r="Y107" s="346">
        <f t="shared" si="40"/>
        <v>0</v>
      </c>
      <c r="Z107" s="346">
        <f t="shared" si="41"/>
        <v>0</v>
      </c>
      <c r="AA107" s="346">
        <f t="shared" si="59"/>
        <v>0</v>
      </c>
      <c r="AB107" s="346">
        <f t="shared" si="42"/>
        <v>0</v>
      </c>
      <c r="AC107" s="346">
        <f t="shared" si="43"/>
        <v>0</v>
      </c>
      <c r="AD107" s="346">
        <f t="shared" si="60"/>
        <v>0</v>
      </c>
      <c r="AE107" s="346">
        <f t="shared" si="51"/>
        <v>0</v>
      </c>
      <c r="AF107" s="346">
        <f t="shared" si="44"/>
        <v>0</v>
      </c>
      <c r="AG107" s="346">
        <f t="shared" si="45"/>
        <v>0</v>
      </c>
      <c r="AH107" s="346">
        <f t="shared" si="46"/>
        <v>0</v>
      </c>
      <c r="AI107" s="346">
        <f t="shared" si="47"/>
        <v>0</v>
      </c>
      <c r="AJ107" s="346">
        <f t="shared" si="48"/>
        <v>0</v>
      </c>
      <c r="AK107" s="346">
        <f t="shared" si="52"/>
        <v>0</v>
      </c>
      <c r="AL107" s="346">
        <f t="shared" si="49"/>
        <v>0</v>
      </c>
      <c r="AM107" s="445">
        <f t="shared" si="53"/>
        <v>0</v>
      </c>
      <c r="AN107" s="446">
        <f t="shared" si="54"/>
        <v>79.239999999999995</v>
      </c>
    </row>
    <row r="108" spans="2:40" s="167" customFormat="1" ht="33.75" x14ac:dyDescent="0.25">
      <c r="B108" s="384" t="s">
        <v>284</v>
      </c>
      <c r="C108" s="385">
        <v>91834</v>
      </c>
      <c r="D108" s="391" t="s">
        <v>286</v>
      </c>
      <c r="E108" s="245" t="s">
        <v>37</v>
      </c>
      <c r="F108" s="245">
        <v>9.77</v>
      </c>
      <c r="G108" s="387">
        <v>830.48</v>
      </c>
      <c r="H108" s="278"/>
      <c r="I108" s="278"/>
      <c r="J108" s="443"/>
      <c r="K108" s="278"/>
      <c r="L108" s="278"/>
      <c r="M108" s="443">
        <f>'MEMORIAL DE CALCULO 06'!K413</f>
        <v>150</v>
      </c>
      <c r="N108" s="278"/>
      <c r="O108" s="443">
        <f>'MEMORIAL DE CALCULO 08'!K434</f>
        <v>200</v>
      </c>
      <c r="P108" s="278"/>
      <c r="Q108" s="278"/>
      <c r="R108" s="444">
        <v>0</v>
      </c>
      <c r="S108" s="444">
        <v>0</v>
      </c>
      <c r="T108" s="444">
        <v>0</v>
      </c>
      <c r="U108" s="444">
        <f>VLOOKUP(B108,'MEMÓRIA MEDIÇÃO 14'!$A$8:$F$202,6,FALSE)</f>
        <v>480.52</v>
      </c>
      <c r="V108" s="387">
        <f t="shared" si="50"/>
        <v>830.52</v>
      </c>
      <c r="W108" s="387">
        <f t="shared" si="57"/>
        <v>-3.999999999996362E-2</v>
      </c>
      <c r="X108" s="387">
        <f t="shared" si="58"/>
        <v>8113.7896000000001</v>
      </c>
      <c r="Y108" s="346">
        <f t="shared" si="40"/>
        <v>0</v>
      </c>
      <c r="Z108" s="346">
        <f t="shared" si="41"/>
        <v>0</v>
      </c>
      <c r="AA108" s="346">
        <f t="shared" si="59"/>
        <v>0</v>
      </c>
      <c r="AB108" s="346">
        <f t="shared" si="42"/>
        <v>0</v>
      </c>
      <c r="AC108" s="346">
        <f t="shared" si="43"/>
        <v>0</v>
      </c>
      <c r="AD108" s="346">
        <f t="shared" si="60"/>
        <v>1465.5</v>
      </c>
      <c r="AE108" s="346">
        <f t="shared" si="51"/>
        <v>0</v>
      </c>
      <c r="AF108" s="346">
        <f t="shared" si="44"/>
        <v>1954</v>
      </c>
      <c r="AG108" s="346">
        <f t="shared" si="45"/>
        <v>0</v>
      </c>
      <c r="AH108" s="346">
        <f t="shared" si="46"/>
        <v>0</v>
      </c>
      <c r="AI108" s="346">
        <f t="shared" si="47"/>
        <v>0</v>
      </c>
      <c r="AJ108" s="346">
        <f t="shared" si="48"/>
        <v>0</v>
      </c>
      <c r="AK108" s="346">
        <f t="shared" si="52"/>
        <v>0</v>
      </c>
      <c r="AL108" s="346">
        <f t="shared" si="49"/>
        <v>4694.68</v>
      </c>
      <c r="AM108" s="445">
        <f t="shared" si="53"/>
        <v>8114.18</v>
      </c>
      <c r="AN108" s="446">
        <f t="shared" si="54"/>
        <v>-0.39040000000022701</v>
      </c>
    </row>
    <row r="109" spans="2:40" s="167" customFormat="1" ht="33.75" x14ac:dyDescent="0.25">
      <c r="B109" s="384" t="s">
        <v>287</v>
      </c>
      <c r="C109" s="385">
        <v>91868</v>
      </c>
      <c r="D109" s="386" t="s">
        <v>289</v>
      </c>
      <c r="E109" s="245" t="s">
        <v>37</v>
      </c>
      <c r="F109" s="245">
        <v>13.05</v>
      </c>
      <c r="G109" s="387">
        <v>55.97</v>
      </c>
      <c r="H109" s="444"/>
      <c r="I109" s="444"/>
      <c r="J109" s="443"/>
      <c r="K109" s="444"/>
      <c r="L109" s="444"/>
      <c r="M109" s="444"/>
      <c r="N109" s="387"/>
      <c r="O109" s="444">
        <f>'MEMORIAL DE CALCULO 08'!K436</f>
        <v>55.97</v>
      </c>
      <c r="P109" s="444"/>
      <c r="Q109" s="444"/>
      <c r="R109" s="444">
        <v>0</v>
      </c>
      <c r="S109" s="444">
        <v>0</v>
      </c>
      <c r="T109" s="444">
        <v>0</v>
      </c>
      <c r="U109" s="444">
        <f>VLOOKUP(B109,'MEMÓRIA MEDIÇÃO 14'!$A$8:$F$202,6,FALSE)</f>
        <v>0</v>
      </c>
      <c r="V109" s="387">
        <f t="shared" si="50"/>
        <v>55.97</v>
      </c>
      <c r="W109" s="387">
        <f t="shared" si="57"/>
        <v>0</v>
      </c>
      <c r="X109" s="387">
        <f t="shared" si="58"/>
        <v>730.4085</v>
      </c>
      <c r="Y109" s="346">
        <f t="shared" si="40"/>
        <v>0</v>
      </c>
      <c r="Z109" s="346">
        <f t="shared" si="41"/>
        <v>0</v>
      </c>
      <c r="AA109" s="346">
        <f t="shared" si="59"/>
        <v>0</v>
      </c>
      <c r="AB109" s="346">
        <f t="shared" si="42"/>
        <v>0</v>
      </c>
      <c r="AC109" s="346">
        <f t="shared" si="43"/>
        <v>0</v>
      </c>
      <c r="AD109" s="346">
        <f t="shared" si="60"/>
        <v>0</v>
      </c>
      <c r="AE109" s="346">
        <f t="shared" si="51"/>
        <v>0</v>
      </c>
      <c r="AF109" s="346">
        <f t="shared" si="44"/>
        <v>730.4</v>
      </c>
      <c r="AG109" s="346">
        <f t="shared" si="45"/>
        <v>0</v>
      </c>
      <c r="AH109" s="346">
        <f t="shared" si="46"/>
        <v>0</v>
      </c>
      <c r="AI109" s="346">
        <f t="shared" si="47"/>
        <v>0</v>
      </c>
      <c r="AJ109" s="346">
        <f t="shared" si="48"/>
        <v>0</v>
      </c>
      <c r="AK109" s="346">
        <f t="shared" si="52"/>
        <v>0</v>
      </c>
      <c r="AL109" s="346">
        <f t="shared" si="49"/>
        <v>0</v>
      </c>
      <c r="AM109" s="445">
        <f t="shared" si="53"/>
        <v>730.4</v>
      </c>
      <c r="AN109" s="446">
        <f t="shared" si="54"/>
        <v>8.5000000000263753E-3</v>
      </c>
    </row>
    <row r="110" spans="2:40" s="167" customFormat="1" ht="33.75" x14ac:dyDescent="0.25">
      <c r="B110" s="384" t="s">
        <v>290</v>
      </c>
      <c r="C110" s="385">
        <v>91867</v>
      </c>
      <c r="D110" s="386" t="s">
        <v>292</v>
      </c>
      <c r="E110" s="245" t="s">
        <v>37</v>
      </c>
      <c r="F110" s="245">
        <v>9.18</v>
      </c>
      <c r="G110" s="387">
        <v>36.19</v>
      </c>
      <c r="H110" s="444"/>
      <c r="I110" s="444"/>
      <c r="J110" s="443"/>
      <c r="K110" s="444"/>
      <c r="L110" s="444"/>
      <c r="M110" s="444"/>
      <c r="N110" s="387"/>
      <c r="O110" s="444">
        <f>'MEMORIAL DE CALCULO 08'!K438</f>
        <v>36.19</v>
      </c>
      <c r="P110" s="444"/>
      <c r="Q110" s="444"/>
      <c r="R110" s="444">
        <v>0</v>
      </c>
      <c r="S110" s="444">
        <v>0</v>
      </c>
      <c r="T110" s="444">
        <v>0</v>
      </c>
      <c r="U110" s="444">
        <f>VLOOKUP(B110,'MEMÓRIA MEDIÇÃO 14'!$A$8:$F$202,6,FALSE)</f>
        <v>0</v>
      </c>
      <c r="V110" s="387">
        <f t="shared" si="50"/>
        <v>36.19</v>
      </c>
      <c r="W110" s="387">
        <f t="shared" si="57"/>
        <v>0</v>
      </c>
      <c r="X110" s="387">
        <f t="shared" si="58"/>
        <v>332.2242</v>
      </c>
      <c r="Y110" s="346">
        <f t="shared" ref="Y110:Y141" si="61">F110*H110</f>
        <v>0</v>
      </c>
      <c r="Z110" s="346">
        <f t="shared" ref="Z110:Z141" si="62">F110*I110</f>
        <v>0</v>
      </c>
      <c r="AA110" s="346">
        <f t="shared" si="59"/>
        <v>0</v>
      </c>
      <c r="AB110" s="346">
        <f t="shared" ref="AB110:AB141" si="63">TRUNC(F110*K110,2)</f>
        <v>0</v>
      </c>
      <c r="AC110" s="346">
        <f t="shared" ref="AC110:AC141" si="64">TRUNC(F110*L110,2)</f>
        <v>0</v>
      </c>
      <c r="AD110" s="346">
        <f t="shared" si="60"/>
        <v>0</v>
      </c>
      <c r="AE110" s="346">
        <f t="shared" si="51"/>
        <v>0</v>
      </c>
      <c r="AF110" s="346">
        <f t="shared" ref="AF110:AF141" si="65">TRUNC(F110*O110,2)</f>
        <v>332.22</v>
      </c>
      <c r="AG110" s="346">
        <f t="shared" ref="AG110:AG141" si="66">TRUNC(F110*P110,2)</f>
        <v>0</v>
      </c>
      <c r="AH110" s="346">
        <f t="shared" ref="AH110:AH141" si="67">TRUNC(F110*Q110,2)</f>
        <v>0</v>
      </c>
      <c r="AI110" s="346">
        <f t="shared" ref="AI110:AI141" si="68">ROUND(R110*F110,2)</f>
        <v>0</v>
      </c>
      <c r="AJ110" s="346">
        <f t="shared" ref="AJ110:AJ141" si="69">ROUND(S110*F110,2)</f>
        <v>0</v>
      </c>
      <c r="AK110" s="346">
        <f t="shared" si="52"/>
        <v>0</v>
      </c>
      <c r="AL110" s="346">
        <f t="shared" ref="AL110:AL141" si="70">ROUND(U110*F110,2)</f>
        <v>0</v>
      </c>
      <c r="AM110" s="445">
        <f t="shared" si="53"/>
        <v>332.22</v>
      </c>
      <c r="AN110" s="446">
        <f t="shared" si="54"/>
        <v>4.1999999999688953E-3</v>
      </c>
    </row>
    <row r="111" spans="2:40" s="167" customFormat="1" ht="22.5" x14ac:dyDescent="0.25">
      <c r="B111" s="384" t="s">
        <v>293</v>
      </c>
      <c r="C111" s="385">
        <v>101654</v>
      </c>
      <c r="D111" s="386" t="s">
        <v>295</v>
      </c>
      <c r="E111" s="245" t="s">
        <v>166</v>
      </c>
      <c r="F111" s="245">
        <v>289.93</v>
      </c>
      <c r="G111" s="387">
        <v>15</v>
      </c>
      <c r="H111" s="444"/>
      <c r="I111" s="444"/>
      <c r="J111" s="443"/>
      <c r="K111" s="444"/>
      <c r="L111" s="444"/>
      <c r="M111" s="444"/>
      <c r="N111" s="387"/>
      <c r="O111" s="387"/>
      <c r="P111" s="444"/>
      <c r="Q111" s="444"/>
      <c r="R111" s="444">
        <v>0</v>
      </c>
      <c r="S111" s="444">
        <v>0</v>
      </c>
      <c r="T111" s="444">
        <v>0</v>
      </c>
      <c r="U111" s="444">
        <f>VLOOKUP(B111,'MEMÓRIA MEDIÇÃO 14'!$A$8:$F$202,6,FALSE)</f>
        <v>0</v>
      </c>
      <c r="V111" s="387">
        <f t="shared" si="50"/>
        <v>0</v>
      </c>
      <c r="W111" s="387">
        <f t="shared" si="57"/>
        <v>15</v>
      </c>
      <c r="X111" s="387">
        <f t="shared" si="58"/>
        <v>4348.95</v>
      </c>
      <c r="Y111" s="346">
        <f t="shared" si="61"/>
        <v>0</v>
      </c>
      <c r="Z111" s="346">
        <f t="shared" si="62"/>
        <v>0</v>
      </c>
      <c r="AA111" s="346">
        <f t="shared" si="59"/>
        <v>0</v>
      </c>
      <c r="AB111" s="346">
        <f t="shared" si="63"/>
        <v>0</v>
      </c>
      <c r="AC111" s="346">
        <f t="shared" si="64"/>
        <v>0</v>
      </c>
      <c r="AD111" s="346">
        <f t="shared" si="60"/>
        <v>0</v>
      </c>
      <c r="AE111" s="346">
        <f t="shared" ref="AE111:AE142" si="71">F111*N111</f>
        <v>0</v>
      </c>
      <c r="AF111" s="346">
        <f t="shared" si="65"/>
        <v>0</v>
      </c>
      <c r="AG111" s="346">
        <f t="shared" si="66"/>
        <v>0</v>
      </c>
      <c r="AH111" s="346">
        <f t="shared" si="67"/>
        <v>0</v>
      </c>
      <c r="AI111" s="346">
        <f t="shared" si="68"/>
        <v>0</v>
      </c>
      <c r="AJ111" s="346">
        <f t="shared" si="69"/>
        <v>0</v>
      </c>
      <c r="AK111" s="346">
        <f t="shared" si="52"/>
        <v>0</v>
      </c>
      <c r="AL111" s="346">
        <f t="shared" si="70"/>
        <v>0</v>
      </c>
      <c r="AM111" s="445">
        <f t="shared" si="53"/>
        <v>0</v>
      </c>
      <c r="AN111" s="446">
        <f t="shared" si="54"/>
        <v>4348.95</v>
      </c>
    </row>
    <row r="112" spans="2:40" s="167" customFormat="1" ht="22.5" x14ac:dyDescent="0.25">
      <c r="B112" s="384" t="s">
        <v>296</v>
      </c>
      <c r="C112" s="385">
        <v>103782</v>
      </c>
      <c r="D112" s="386" t="s">
        <v>298</v>
      </c>
      <c r="E112" s="245" t="s">
        <v>166</v>
      </c>
      <c r="F112" s="245">
        <v>33.380000000000003</v>
      </c>
      <c r="G112" s="387">
        <v>76</v>
      </c>
      <c r="H112" s="444"/>
      <c r="I112" s="444"/>
      <c r="J112" s="443"/>
      <c r="K112" s="444"/>
      <c r="L112" s="444"/>
      <c r="M112" s="444"/>
      <c r="N112" s="387"/>
      <c r="O112" s="387"/>
      <c r="P112" s="444"/>
      <c r="Q112" s="444"/>
      <c r="R112" s="444">
        <v>0</v>
      </c>
      <c r="S112" s="444">
        <v>0</v>
      </c>
      <c r="T112" s="444">
        <v>0</v>
      </c>
      <c r="U112" s="444">
        <f>VLOOKUP(B112,'MEMÓRIA MEDIÇÃO 14'!$A$8:$F$202,6,FALSE)</f>
        <v>0</v>
      </c>
      <c r="V112" s="387">
        <f t="shared" si="50"/>
        <v>0</v>
      </c>
      <c r="W112" s="387">
        <f t="shared" si="57"/>
        <v>76</v>
      </c>
      <c r="X112" s="387">
        <f t="shared" si="58"/>
        <v>2536.88</v>
      </c>
      <c r="Y112" s="346">
        <f t="shared" si="61"/>
        <v>0</v>
      </c>
      <c r="Z112" s="346">
        <f t="shared" si="62"/>
        <v>0</v>
      </c>
      <c r="AA112" s="346">
        <f t="shared" si="59"/>
        <v>0</v>
      </c>
      <c r="AB112" s="346">
        <f t="shared" si="63"/>
        <v>0</v>
      </c>
      <c r="AC112" s="346">
        <f t="shared" si="64"/>
        <v>0</v>
      </c>
      <c r="AD112" s="346">
        <f t="shared" si="60"/>
        <v>0</v>
      </c>
      <c r="AE112" s="346">
        <f t="shared" si="71"/>
        <v>0</v>
      </c>
      <c r="AF112" s="346">
        <f t="shared" si="65"/>
        <v>0</v>
      </c>
      <c r="AG112" s="346">
        <f t="shared" si="66"/>
        <v>0</v>
      </c>
      <c r="AH112" s="346">
        <f t="shared" si="67"/>
        <v>0</v>
      </c>
      <c r="AI112" s="346">
        <f t="shared" si="68"/>
        <v>0</v>
      </c>
      <c r="AJ112" s="346">
        <f t="shared" si="69"/>
        <v>0</v>
      </c>
      <c r="AK112" s="346">
        <f t="shared" si="52"/>
        <v>0</v>
      </c>
      <c r="AL112" s="346">
        <f t="shared" si="70"/>
        <v>0</v>
      </c>
      <c r="AM112" s="445">
        <f t="shared" si="53"/>
        <v>0</v>
      </c>
      <c r="AN112" s="446">
        <f t="shared" si="54"/>
        <v>2536.88</v>
      </c>
    </row>
    <row r="113" spans="2:40" s="167" customFormat="1" ht="33.75" x14ac:dyDescent="0.25">
      <c r="B113" s="384" t="s">
        <v>299</v>
      </c>
      <c r="C113" s="385">
        <v>101509</v>
      </c>
      <c r="D113" s="386" t="s">
        <v>301</v>
      </c>
      <c r="E113" s="245" t="s">
        <v>166</v>
      </c>
      <c r="F113" s="245">
        <v>1759.39</v>
      </c>
      <c r="G113" s="387">
        <v>1</v>
      </c>
      <c r="H113" s="444"/>
      <c r="I113" s="444"/>
      <c r="J113" s="443"/>
      <c r="K113" s="444"/>
      <c r="L113" s="444"/>
      <c r="M113" s="444"/>
      <c r="N113" s="387"/>
      <c r="O113" s="387"/>
      <c r="P113" s="444"/>
      <c r="Q113" s="444"/>
      <c r="R113" s="444">
        <v>0</v>
      </c>
      <c r="S113" s="444">
        <v>0</v>
      </c>
      <c r="T113" s="444">
        <v>0</v>
      </c>
      <c r="U113" s="444">
        <f>VLOOKUP(B113,'MEMÓRIA MEDIÇÃO 14'!$A$8:$F$202,6,FALSE)</f>
        <v>1</v>
      </c>
      <c r="V113" s="387">
        <f t="shared" si="50"/>
        <v>1</v>
      </c>
      <c r="W113" s="387">
        <f t="shared" si="57"/>
        <v>0</v>
      </c>
      <c r="X113" s="387">
        <f t="shared" si="58"/>
        <v>1759.39</v>
      </c>
      <c r="Y113" s="346">
        <f t="shared" si="61"/>
        <v>0</v>
      </c>
      <c r="Z113" s="346">
        <f t="shared" si="62"/>
        <v>0</v>
      </c>
      <c r="AA113" s="346">
        <f t="shared" si="59"/>
        <v>0</v>
      </c>
      <c r="AB113" s="346">
        <f t="shared" si="63"/>
        <v>0</v>
      </c>
      <c r="AC113" s="346">
        <f t="shared" si="64"/>
        <v>0</v>
      </c>
      <c r="AD113" s="346">
        <f t="shared" si="60"/>
        <v>0</v>
      </c>
      <c r="AE113" s="346">
        <f t="shared" si="71"/>
        <v>0</v>
      </c>
      <c r="AF113" s="346">
        <f t="shared" si="65"/>
        <v>0</v>
      </c>
      <c r="AG113" s="346">
        <f t="shared" si="66"/>
        <v>0</v>
      </c>
      <c r="AH113" s="346">
        <f t="shared" si="67"/>
        <v>0</v>
      </c>
      <c r="AI113" s="346">
        <f t="shared" si="68"/>
        <v>0</v>
      </c>
      <c r="AJ113" s="346">
        <f t="shared" si="69"/>
        <v>0</v>
      </c>
      <c r="AK113" s="346">
        <f t="shared" si="52"/>
        <v>0</v>
      </c>
      <c r="AL113" s="346">
        <f t="shared" si="70"/>
        <v>1759.39</v>
      </c>
      <c r="AM113" s="445">
        <f t="shared" si="53"/>
        <v>1759.39</v>
      </c>
      <c r="AN113" s="446">
        <f t="shared" si="54"/>
        <v>0</v>
      </c>
    </row>
    <row r="114" spans="2:40" s="167" customFormat="1" ht="33.75" x14ac:dyDescent="0.25">
      <c r="B114" s="384" t="s">
        <v>302</v>
      </c>
      <c r="C114" s="385">
        <v>5044</v>
      </c>
      <c r="D114" s="386" t="s">
        <v>304</v>
      </c>
      <c r="E114" s="245" t="s">
        <v>166</v>
      </c>
      <c r="F114" s="245">
        <v>924.88</v>
      </c>
      <c r="G114" s="387">
        <v>1</v>
      </c>
      <c r="H114" s="444"/>
      <c r="I114" s="444"/>
      <c r="J114" s="443"/>
      <c r="K114" s="444"/>
      <c r="L114" s="444"/>
      <c r="M114" s="444"/>
      <c r="N114" s="387"/>
      <c r="O114" s="387"/>
      <c r="P114" s="444"/>
      <c r="Q114" s="444"/>
      <c r="R114" s="444">
        <v>0</v>
      </c>
      <c r="S114" s="444">
        <v>0</v>
      </c>
      <c r="T114" s="444">
        <v>0</v>
      </c>
      <c r="U114" s="444">
        <f>VLOOKUP(B114,'MEMÓRIA MEDIÇÃO 14'!$A$8:$F$202,6,FALSE)</f>
        <v>0</v>
      </c>
      <c r="V114" s="387">
        <f t="shared" si="50"/>
        <v>0</v>
      </c>
      <c r="W114" s="387">
        <f t="shared" si="57"/>
        <v>1</v>
      </c>
      <c r="X114" s="387">
        <f t="shared" si="58"/>
        <v>924.88</v>
      </c>
      <c r="Y114" s="346">
        <f t="shared" si="61"/>
        <v>0</v>
      </c>
      <c r="Z114" s="346">
        <f t="shared" si="62"/>
        <v>0</v>
      </c>
      <c r="AA114" s="346">
        <f t="shared" si="59"/>
        <v>0</v>
      </c>
      <c r="AB114" s="346">
        <f t="shared" si="63"/>
        <v>0</v>
      </c>
      <c r="AC114" s="346">
        <f t="shared" si="64"/>
        <v>0</v>
      </c>
      <c r="AD114" s="346">
        <f t="shared" si="60"/>
        <v>0</v>
      </c>
      <c r="AE114" s="346">
        <f t="shared" si="71"/>
        <v>0</v>
      </c>
      <c r="AF114" s="346">
        <f t="shared" si="65"/>
        <v>0</v>
      </c>
      <c r="AG114" s="346">
        <f t="shared" si="66"/>
        <v>0</v>
      </c>
      <c r="AH114" s="346">
        <f t="shared" si="67"/>
        <v>0</v>
      </c>
      <c r="AI114" s="346">
        <f t="shared" si="68"/>
        <v>0</v>
      </c>
      <c r="AJ114" s="346">
        <f t="shared" si="69"/>
        <v>0</v>
      </c>
      <c r="AK114" s="346">
        <f t="shared" si="52"/>
        <v>0</v>
      </c>
      <c r="AL114" s="346">
        <f t="shared" si="70"/>
        <v>0</v>
      </c>
      <c r="AM114" s="445">
        <f t="shared" si="53"/>
        <v>0</v>
      </c>
      <c r="AN114" s="446">
        <f t="shared" si="54"/>
        <v>924.88</v>
      </c>
    </row>
    <row r="115" spans="2:40" s="167" customFormat="1" ht="45" x14ac:dyDescent="0.25">
      <c r="B115" s="384" t="s">
        <v>305</v>
      </c>
      <c r="C115" s="385">
        <v>101879</v>
      </c>
      <c r="D115" s="386" t="s">
        <v>307</v>
      </c>
      <c r="E115" s="245" t="s">
        <v>166</v>
      </c>
      <c r="F115" s="245">
        <v>555.51</v>
      </c>
      <c r="G115" s="387">
        <v>2</v>
      </c>
      <c r="H115" s="444"/>
      <c r="I115" s="444"/>
      <c r="J115" s="443"/>
      <c r="K115" s="444"/>
      <c r="L115" s="444"/>
      <c r="M115" s="444"/>
      <c r="N115" s="387"/>
      <c r="O115" s="387"/>
      <c r="P115" s="444"/>
      <c r="Q115" s="444"/>
      <c r="R115" s="444">
        <v>0</v>
      </c>
      <c r="S115" s="444">
        <v>0</v>
      </c>
      <c r="T115" s="444">
        <v>2</v>
      </c>
      <c r="U115" s="444">
        <f>VLOOKUP(B115,'MEMÓRIA MEDIÇÃO 14'!$A$8:$F$202,6,FALSE)</f>
        <v>0</v>
      </c>
      <c r="V115" s="387">
        <f t="shared" si="50"/>
        <v>2</v>
      </c>
      <c r="W115" s="387">
        <f t="shared" si="57"/>
        <v>0</v>
      </c>
      <c r="X115" s="387">
        <f t="shared" si="58"/>
        <v>1111.02</v>
      </c>
      <c r="Y115" s="346">
        <f t="shared" si="61"/>
        <v>0</v>
      </c>
      <c r="Z115" s="346">
        <f t="shared" si="62"/>
        <v>0</v>
      </c>
      <c r="AA115" s="346">
        <f t="shared" si="59"/>
        <v>0</v>
      </c>
      <c r="AB115" s="346">
        <f t="shared" si="63"/>
        <v>0</v>
      </c>
      <c r="AC115" s="346">
        <f t="shared" si="64"/>
        <v>0</v>
      </c>
      <c r="AD115" s="346">
        <f t="shared" si="60"/>
        <v>0</v>
      </c>
      <c r="AE115" s="346">
        <f t="shared" si="71"/>
        <v>0</v>
      </c>
      <c r="AF115" s="346">
        <f t="shared" si="65"/>
        <v>0</v>
      </c>
      <c r="AG115" s="346">
        <f t="shared" si="66"/>
        <v>0</v>
      </c>
      <c r="AH115" s="346">
        <f t="shared" si="67"/>
        <v>0</v>
      </c>
      <c r="AI115" s="346">
        <f t="shared" si="68"/>
        <v>0</v>
      </c>
      <c r="AJ115" s="346">
        <f t="shared" si="69"/>
        <v>0</v>
      </c>
      <c r="AK115" s="346">
        <f t="shared" si="52"/>
        <v>1111.02</v>
      </c>
      <c r="AL115" s="346">
        <f t="shared" si="70"/>
        <v>0</v>
      </c>
      <c r="AM115" s="445">
        <f t="shared" si="53"/>
        <v>1111.02</v>
      </c>
      <c r="AN115" s="446">
        <f t="shared" si="54"/>
        <v>0</v>
      </c>
    </row>
    <row r="116" spans="2:40" s="167" customFormat="1" ht="33.75" x14ac:dyDescent="0.25">
      <c r="B116" s="384" t="s">
        <v>308</v>
      </c>
      <c r="C116" s="385">
        <v>5044</v>
      </c>
      <c r="D116" s="386" t="s">
        <v>304</v>
      </c>
      <c r="E116" s="245" t="s">
        <v>166</v>
      </c>
      <c r="F116" s="245">
        <v>924.88</v>
      </c>
      <c r="G116" s="387">
        <v>1</v>
      </c>
      <c r="H116" s="444"/>
      <c r="I116" s="444"/>
      <c r="J116" s="443"/>
      <c r="K116" s="444"/>
      <c r="L116" s="444"/>
      <c r="M116" s="444"/>
      <c r="N116" s="387"/>
      <c r="O116" s="387"/>
      <c r="P116" s="444"/>
      <c r="Q116" s="444"/>
      <c r="R116" s="444">
        <v>0</v>
      </c>
      <c r="S116" s="444">
        <v>0</v>
      </c>
      <c r="T116" s="444">
        <v>0</v>
      </c>
      <c r="U116" s="444">
        <f>VLOOKUP(B116,'MEMÓRIA MEDIÇÃO 14'!$A$8:$F$202,6,FALSE)</f>
        <v>0</v>
      </c>
      <c r="V116" s="387">
        <f t="shared" si="50"/>
        <v>0</v>
      </c>
      <c r="W116" s="387">
        <f t="shared" si="57"/>
        <v>1</v>
      </c>
      <c r="X116" s="387">
        <f t="shared" si="58"/>
        <v>924.88</v>
      </c>
      <c r="Y116" s="346">
        <f t="shared" si="61"/>
        <v>0</v>
      </c>
      <c r="Z116" s="346">
        <f t="shared" si="62"/>
        <v>0</v>
      </c>
      <c r="AA116" s="346">
        <f t="shared" si="59"/>
        <v>0</v>
      </c>
      <c r="AB116" s="346">
        <f t="shared" si="63"/>
        <v>0</v>
      </c>
      <c r="AC116" s="346">
        <f t="shared" si="64"/>
        <v>0</v>
      </c>
      <c r="AD116" s="346">
        <f t="shared" si="60"/>
        <v>0</v>
      </c>
      <c r="AE116" s="346">
        <f t="shared" si="71"/>
        <v>0</v>
      </c>
      <c r="AF116" s="346">
        <f t="shared" si="65"/>
        <v>0</v>
      </c>
      <c r="AG116" s="346">
        <f t="shared" si="66"/>
        <v>0</v>
      </c>
      <c r="AH116" s="346">
        <f t="shared" si="67"/>
        <v>0</v>
      </c>
      <c r="AI116" s="346">
        <f t="shared" si="68"/>
        <v>0</v>
      </c>
      <c r="AJ116" s="346">
        <f t="shared" si="69"/>
        <v>0</v>
      </c>
      <c r="AK116" s="346">
        <f t="shared" si="52"/>
        <v>0</v>
      </c>
      <c r="AL116" s="346">
        <f t="shared" si="70"/>
        <v>0</v>
      </c>
      <c r="AM116" s="445">
        <f t="shared" si="53"/>
        <v>0</v>
      </c>
      <c r="AN116" s="446">
        <f t="shared" si="54"/>
        <v>924.88</v>
      </c>
    </row>
    <row r="117" spans="2:40" s="167" customFormat="1" ht="33.75" x14ac:dyDescent="0.25">
      <c r="B117" s="384" t="s">
        <v>309</v>
      </c>
      <c r="C117" s="385">
        <v>92023</v>
      </c>
      <c r="D117" s="386" t="s">
        <v>311</v>
      </c>
      <c r="E117" s="245" t="s">
        <v>166</v>
      </c>
      <c r="F117" s="245">
        <v>43.88</v>
      </c>
      <c r="G117" s="387">
        <v>5</v>
      </c>
      <c r="H117" s="444"/>
      <c r="I117" s="444"/>
      <c r="J117" s="443"/>
      <c r="K117" s="444"/>
      <c r="L117" s="444"/>
      <c r="M117" s="444"/>
      <c r="N117" s="387"/>
      <c r="O117" s="387"/>
      <c r="P117" s="444"/>
      <c r="Q117" s="444"/>
      <c r="R117" s="444">
        <v>0</v>
      </c>
      <c r="S117" s="444">
        <v>0</v>
      </c>
      <c r="T117" s="444">
        <v>0</v>
      </c>
      <c r="U117" s="444">
        <f>VLOOKUP(B117,'MEMÓRIA MEDIÇÃO 14'!$A$8:$F$202,6,FALSE)</f>
        <v>0</v>
      </c>
      <c r="V117" s="387">
        <f t="shared" si="50"/>
        <v>0</v>
      </c>
      <c r="W117" s="387">
        <f t="shared" si="57"/>
        <v>5</v>
      </c>
      <c r="X117" s="387">
        <f t="shared" si="58"/>
        <v>219.4</v>
      </c>
      <c r="Y117" s="346">
        <f t="shared" si="61"/>
        <v>0</v>
      </c>
      <c r="Z117" s="346">
        <f t="shared" si="62"/>
        <v>0</v>
      </c>
      <c r="AA117" s="346">
        <f t="shared" si="59"/>
        <v>0</v>
      </c>
      <c r="AB117" s="346">
        <f t="shared" si="63"/>
        <v>0</v>
      </c>
      <c r="AC117" s="346">
        <f t="shared" si="64"/>
        <v>0</v>
      </c>
      <c r="AD117" s="346">
        <f t="shared" si="60"/>
        <v>0</v>
      </c>
      <c r="AE117" s="346">
        <f t="shared" si="71"/>
        <v>0</v>
      </c>
      <c r="AF117" s="346">
        <f t="shared" si="65"/>
        <v>0</v>
      </c>
      <c r="AG117" s="346">
        <f t="shared" si="66"/>
        <v>0</v>
      </c>
      <c r="AH117" s="346">
        <f t="shared" si="67"/>
        <v>0</v>
      </c>
      <c r="AI117" s="346">
        <f t="shared" si="68"/>
        <v>0</v>
      </c>
      <c r="AJ117" s="346">
        <f t="shared" si="69"/>
        <v>0</v>
      </c>
      <c r="AK117" s="346">
        <f t="shared" si="52"/>
        <v>0</v>
      </c>
      <c r="AL117" s="346">
        <f t="shared" si="70"/>
        <v>0</v>
      </c>
      <c r="AM117" s="445">
        <f t="shared" si="53"/>
        <v>0</v>
      </c>
      <c r="AN117" s="446">
        <f t="shared" si="54"/>
        <v>219.4</v>
      </c>
    </row>
    <row r="118" spans="2:40" s="167" customFormat="1" x14ac:dyDescent="0.25">
      <c r="B118" s="347" t="s">
        <v>312</v>
      </c>
      <c r="C118" s="349" t="s">
        <v>313</v>
      </c>
      <c r="D118" s="386"/>
      <c r="E118" s="245"/>
      <c r="F118" s="245"/>
      <c r="G118" s="387"/>
      <c r="H118" s="444"/>
      <c r="I118" s="444"/>
      <c r="J118" s="443"/>
      <c r="K118" s="444"/>
      <c r="L118" s="444"/>
      <c r="M118" s="444"/>
      <c r="N118" s="387"/>
      <c r="O118" s="387"/>
      <c r="P118" s="444"/>
      <c r="Q118" s="444"/>
      <c r="R118" s="444">
        <v>0</v>
      </c>
      <c r="S118" s="444">
        <v>0</v>
      </c>
      <c r="T118" s="444">
        <v>0</v>
      </c>
      <c r="U118" s="444">
        <f>VLOOKUP(B118,'MEMÓRIA MEDIÇÃO 14'!$A$8:$F$202,6,FALSE)</f>
        <v>0</v>
      </c>
      <c r="V118" s="387">
        <f t="shared" si="50"/>
        <v>0</v>
      </c>
      <c r="W118" s="387"/>
      <c r="X118" s="387"/>
      <c r="Y118" s="346">
        <f t="shared" si="61"/>
        <v>0</v>
      </c>
      <c r="Z118" s="346">
        <f t="shared" si="62"/>
        <v>0</v>
      </c>
      <c r="AA118" s="346">
        <f t="shared" si="59"/>
        <v>0</v>
      </c>
      <c r="AB118" s="346">
        <f t="shared" si="63"/>
        <v>0</v>
      </c>
      <c r="AC118" s="346">
        <f t="shared" si="64"/>
        <v>0</v>
      </c>
      <c r="AD118" s="346">
        <f t="shared" si="60"/>
        <v>0</v>
      </c>
      <c r="AE118" s="346">
        <f t="shared" si="71"/>
        <v>0</v>
      </c>
      <c r="AF118" s="346">
        <f t="shared" si="65"/>
        <v>0</v>
      </c>
      <c r="AG118" s="346">
        <f t="shared" si="66"/>
        <v>0</v>
      </c>
      <c r="AH118" s="346">
        <f t="shared" si="67"/>
        <v>0</v>
      </c>
      <c r="AI118" s="346">
        <f t="shared" si="68"/>
        <v>0</v>
      </c>
      <c r="AJ118" s="346">
        <f t="shared" si="69"/>
        <v>0</v>
      </c>
      <c r="AK118" s="346">
        <f t="shared" si="52"/>
        <v>0</v>
      </c>
      <c r="AL118" s="346">
        <f t="shared" si="70"/>
        <v>0</v>
      </c>
      <c r="AM118" s="445">
        <f t="shared" si="53"/>
        <v>0</v>
      </c>
      <c r="AN118" s="446">
        <f t="shared" si="54"/>
        <v>0</v>
      </c>
    </row>
    <row r="119" spans="2:40" s="167" customFormat="1" ht="22.5" x14ac:dyDescent="0.25">
      <c r="B119" s="384" t="s">
        <v>314</v>
      </c>
      <c r="C119" s="385">
        <v>96620</v>
      </c>
      <c r="D119" s="386" t="s">
        <v>316</v>
      </c>
      <c r="E119" s="277" t="s">
        <v>41</v>
      </c>
      <c r="F119" s="245">
        <v>593.44000000000005</v>
      </c>
      <c r="G119" s="387">
        <v>35.340000000000003</v>
      </c>
      <c r="H119" s="444"/>
      <c r="I119" s="444"/>
      <c r="J119" s="443"/>
      <c r="K119" s="444"/>
      <c r="L119" s="444"/>
      <c r="M119" s="444"/>
      <c r="N119" s="444">
        <v>10.199999999999999</v>
      </c>
      <c r="O119" s="444">
        <f>'MEMORIAL DE CALCULO 08'!K441</f>
        <v>21.53</v>
      </c>
      <c r="P119" s="444"/>
      <c r="Q119" s="444"/>
      <c r="R119" s="444">
        <v>0</v>
      </c>
      <c r="S119" s="444">
        <v>0</v>
      </c>
      <c r="T119" s="444">
        <v>0</v>
      </c>
      <c r="U119" s="444">
        <f>VLOOKUP(B119,'MEMÓRIA MEDIÇÃO 14'!$A$8:$F$202,6,FALSE)</f>
        <v>0</v>
      </c>
      <c r="V119" s="387">
        <f t="shared" si="50"/>
        <v>31.73</v>
      </c>
      <c r="W119" s="387">
        <f t="shared" ref="W119:W126" si="72">G119-V119</f>
        <v>3.610000000000003</v>
      </c>
      <c r="X119" s="387">
        <f t="shared" ref="X119:X126" si="73">F119*G119</f>
        <v>20972.169600000005</v>
      </c>
      <c r="Y119" s="346">
        <f t="shared" si="61"/>
        <v>0</v>
      </c>
      <c r="Z119" s="346">
        <f t="shared" si="62"/>
        <v>0</v>
      </c>
      <c r="AA119" s="346">
        <f t="shared" si="59"/>
        <v>0</v>
      </c>
      <c r="AB119" s="346">
        <f t="shared" si="63"/>
        <v>0</v>
      </c>
      <c r="AC119" s="346">
        <f t="shared" si="64"/>
        <v>0</v>
      </c>
      <c r="AD119" s="346">
        <f t="shared" si="60"/>
        <v>0</v>
      </c>
      <c r="AE119" s="346">
        <f t="shared" si="71"/>
        <v>6053.0879999999997</v>
      </c>
      <c r="AF119" s="346">
        <f t="shared" si="65"/>
        <v>12776.76</v>
      </c>
      <c r="AG119" s="346">
        <f t="shared" si="66"/>
        <v>0</v>
      </c>
      <c r="AH119" s="346">
        <f t="shared" si="67"/>
        <v>0</v>
      </c>
      <c r="AI119" s="346">
        <f t="shared" si="68"/>
        <v>0</v>
      </c>
      <c r="AJ119" s="346">
        <f t="shared" si="69"/>
        <v>0</v>
      </c>
      <c r="AK119" s="346">
        <f t="shared" si="52"/>
        <v>0</v>
      </c>
      <c r="AL119" s="346">
        <f t="shared" si="70"/>
        <v>0</v>
      </c>
      <c r="AM119" s="445">
        <f t="shared" si="53"/>
        <v>18829.847999999998</v>
      </c>
      <c r="AN119" s="446">
        <f t="shared" si="54"/>
        <v>2142.3216000000066</v>
      </c>
    </row>
    <row r="120" spans="2:40" s="167" customFormat="1" ht="67.5" x14ac:dyDescent="0.25">
      <c r="B120" s="384" t="s">
        <v>317</v>
      </c>
      <c r="C120" s="385">
        <v>94439</v>
      </c>
      <c r="D120" s="386" t="s">
        <v>319</v>
      </c>
      <c r="E120" s="277" t="s">
        <v>17</v>
      </c>
      <c r="F120" s="245">
        <v>46.08</v>
      </c>
      <c r="G120" s="387">
        <v>722.78</v>
      </c>
      <c r="H120" s="444"/>
      <c r="I120" s="444"/>
      <c r="J120" s="443"/>
      <c r="K120" s="444"/>
      <c r="L120" s="444"/>
      <c r="M120" s="444"/>
      <c r="N120" s="387"/>
      <c r="O120" s="444">
        <f>'MEMORIAL DE CALCULO 08'!K443</f>
        <v>116.27</v>
      </c>
      <c r="P120" s="444"/>
      <c r="Q120" s="444"/>
      <c r="R120" s="444">
        <v>0</v>
      </c>
      <c r="S120" s="444">
        <v>480.73</v>
      </c>
      <c r="T120" s="444">
        <v>0</v>
      </c>
      <c r="U120" s="444">
        <f>VLOOKUP(B120,'MEMÓRIA MEDIÇÃO 14'!$A$8:$F$202,6,FALSE)</f>
        <v>39.6</v>
      </c>
      <c r="V120" s="387">
        <f t="shared" si="50"/>
        <v>636.6</v>
      </c>
      <c r="W120" s="387">
        <f t="shared" si="72"/>
        <v>86.17999999999995</v>
      </c>
      <c r="X120" s="387">
        <f t="shared" si="73"/>
        <v>33305.702399999995</v>
      </c>
      <c r="Y120" s="346">
        <f t="shared" si="61"/>
        <v>0</v>
      </c>
      <c r="Z120" s="346">
        <f t="shared" si="62"/>
        <v>0</v>
      </c>
      <c r="AA120" s="346">
        <f t="shared" si="59"/>
        <v>0</v>
      </c>
      <c r="AB120" s="346">
        <f t="shared" si="63"/>
        <v>0</v>
      </c>
      <c r="AC120" s="346">
        <f t="shared" si="64"/>
        <v>0</v>
      </c>
      <c r="AD120" s="346">
        <f t="shared" si="60"/>
        <v>0</v>
      </c>
      <c r="AE120" s="346">
        <f t="shared" si="71"/>
        <v>0</v>
      </c>
      <c r="AF120" s="346">
        <f t="shared" si="65"/>
        <v>5357.72</v>
      </c>
      <c r="AG120" s="346">
        <f t="shared" si="66"/>
        <v>0</v>
      </c>
      <c r="AH120" s="346">
        <f t="shared" si="67"/>
        <v>0</v>
      </c>
      <c r="AI120" s="346">
        <f t="shared" si="68"/>
        <v>0</v>
      </c>
      <c r="AJ120" s="346">
        <f t="shared" si="69"/>
        <v>22152.04</v>
      </c>
      <c r="AK120" s="346">
        <f t="shared" si="52"/>
        <v>0</v>
      </c>
      <c r="AL120" s="346">
        <f t="shared" si="70"/>
        <v>1824.77</v>
      </c>
      <c r="AM120" s="445">
        <f t="shared" si="53"/>
        <v>29334.530000000002</v>
      </c>
      <c r="AN120" s="446">
        <f t="shared" si="54"/>
        <v>3971.1723999999922</v>
      </c>
    </row>
    <row r="121" spans="2:40" s="167" customFormat="1" ht="33.75" x14ac:dyDescent="0.25">
      <c r="B121" s="384" t="s">
        <v>320</v>
      </c>
      <c r="C121" s="385">
        <v>87257</v>
      </c>
      <c r="D121" s="386" t="s">
        <v>322</v>
      </c>
      <c r="E121" s="277" t="s">
        <v>17</v>
      </c>
      <c r="F121" s="245">
        <v>95.14</v>
      </c>
      <c r="G121" s="387">
        <v>634.5</v>
      </c>
      <c r="H121" s="444"/>
      <c r="I121" s="444"/>
      <c r="J121" s="443"/>
      <c r="K121" s="444"/>
      <c r="L121" s="444"/>
      <c r="M121" s="444"/>
      <c r="N121" s="387"/>
      <c r="O121" s="387"/>
      <c r="P121" s="444"/>
      <c r="Q121" s="444"/>
      <c r="R121" s="444">
        <v>0</v>
      </c>
      <c r="S121" s="444">
        <v>0</v>
      </c>
      <c r="T121" s="444">
        <v>577.98959999999988</v>
      </c>
      <c r="U121" s="444">
        <f>VLOOKUP(B121,'MEMÓRIA MEDIÇÃO 14'!$A$8:$F$202,6,FALSE)</f>
        <v>0</v>
      </c>
      <c r="V121" s="387">
        <f t="shared" si="50"/>
        <v>577.98959999999988</v>
      </c>
      <c r="W121" s="387">
        <f t="shared" si="72"/>
        <v>56.510400000000118</v>
      </c>
      <c r="X121" s="387">
        <f t="shared" si="73"/>
        <v>60366.33</v>
      </c>
      <c r="Y121" s="346">
        <f t="shared" si="61"/>
        <v>0</v>
      </c>
      <c r="Z121" s="346">
        <f t="shared" si="62"/>
        <v>0</v>
      </c>
      <c r="AA121" s="346">
        <f t="shared" si="59"/>
        <v>0</v>
      </c>
      <c r="AB121" s="346">
        <f t="shared" si="63"/>
        <v>0</v>
      </c>
      <c r="AC121" s="346">
        <f t="shared" si="64"/>
        <v>0</v>
      </c>
      <c r="AD121" s="346">
        <f t="shared" si="60"/>
        <v>0</v>
      </c>
      <c r="AE121" s="346">
        <f t="shared" si="71"/>
        <v>0</v>
      </c>
      <c r="AF121" s="346">
        <f t="shared" si="65"/>
        <v>0</v>
      </c>
      <c r="AG121" s="346">
        <f t="shared" si="66"/>
        <v>0</v>
      </c>
      <c r="AH121" s="346">
        <f t="shared" si="67"/>
        <v>0</v>
      </c>
      <c r="AI121" s="346">
        <f t="shared" si="68"/>
        <v>0</v>
      </c>
      <c r="AJ121" s="346">
        <f t="shared" si="69"/>
        <v>0</v>
      </c>
      <c r="AK121" s="346">
        <f t="shared" si="52"/>
        <v>54989.93</v>
      </c>
      <c r="AL121" s="346">
        <f t="shared" si="70"/>
        <v>0</v>
      </c>
      <c r="AM121" s="445">
        <f t="shared" si="53"/>
        <v>54989.93</v>
      </c>
      <c r="AN121" s="446">
        <f t="shared" si="54"/>
        <v>5376.4000000000015</v>
      </c>
    </row>
    <row r="122" spans="2:40" s="167" customFormat="1" ht="33.75" x14ac:dyDescent="0.25">
      <c r="B122" s="384" t="s">
        <v>323</v>
      </c>
      <c r="C122" s="385">
        <v>92403</v>
      </c>
      <c r="D122" s="386" t="s">
        <v>325</v>
      </c>
      <c r="E122" s="277" t="s">
        <v>17</v>
      </c>
      <c r="F122" s="245">
        <v>51.12</v>
      </c>
      <c r="G122" s="387">
        <v>371.39499999999902</v>
      </c>
      <c r="H122" s="444"/>
      <c r="I122" s="444"/>
      <c r="J122" s="443"/>
      <c r="K122" s="444"/>
      <c r="L122" s="444"/>
      <c r="M122" s="444"/>
      <c r="N122" s="387"/>
      <c r="O122" s="387"/>
      <c r="P122" s="444"/>
      <c r="Q122" s="444"/>
      <c r="R122" s="444">
        <v>0</v>
      </c>
      <c r="S122" s="444">
        <v>0</v>
      </c>
      <c r="T122" s="444">
        <v>0</v>
      </c>
      <c r="U122" s="444">
        <f>VLOOKUP(B122,'MEMÓRIA MEDIÇÃO 14'!$A$8:$F$202,6,FALSE)</f>
        <v>98.475000000000009</v>
      </c>
      <c r="V122" s="387">
        <f t="shared" si="50"/>
        <v>98.475000000000009</v>
      </c>
      <c r="W122" s="387">
        <f t="shared" si="72"/>
        <v>272.91999999999899</v>
      </c>
      <c r="X122" s="387">
        <f t="shared" si="73"/>
        <v>18985.712399999949</v>
      </c>
      <c r="Y122" s="346">
        <f t="shared" si="61"/>
        <v>0</v>
      </c>
      <c r="Z122" s="346">
        <f t="shared" si="62"/>
        <v>0</v>
      </c>
      <c r="AA122" s="346">
        <f t="shared" si="59"/>
        <v>0</v>
      </c>
      <c r="AB122" s="346">
        <f t="shared" si="63"/>
        <v>0</v>
      </c>
      <c r="AC122" s="346">
        <f t="shared" si="64"/>
        <v>0</v>
      </c>
      <c r="AD122" s="346">
        <f t="shared" si="60"/>
        <v>0</v>
      </c>
      <c r="AE122" s="346">
        <f t="shared" si="71"/>
        <v>0</v>
      </c>
      <c r="AF122" s="346">
        <f t="shared" si="65"/>
        <v>0</v>
      </c>
      <c r="AG122" s="346">
        <f t="shared" si="66"/>
        <v>0</v>
      </c>
      <c r="AH122" s="346">
        <f t="shared" si="67"/>
        <v>0</v>
      </c>
      <c r="AI122" s="346">
        <f t="shared" si="68"/>
        <v>0</v>
      </c>
      <c r="AJ122" s="346">
        <f t="shared" si="69"/>
        <v>0</v>
      </c>
      <c r="AK122" s="346">
        <f t="shared" si="52"/>
        <v>0</v>
      </c>
      <c r="AL122" s="346">
        <f t="shared" si="70"/>
        <v>5034.04</v>
      </c>
      <c r="AM122" s="445">
        <f t="shared" si="53"/>
        <v>5034.04</v>
      </c>
      <c r="AN122" s="446">
        <f t="shared" si="54"/>
        <v>13951.672399999949</v>
      </c>
    </row>
    <row r="123" spans="2:40" s="167" customFormat="1" ht="56.25" x14ac:dyDescent="0.25">
      <c r="B123" s="384" t="s">
        <v>326</v>
      </c>
      <c r="C123" s="385">
        <v>94273</v>
      </c>
      <c r="D123" s="386" t="s">
        <v>328</v>
      </c>
      <c r="E123" s="277" t="s">
        <v>37</v>
      </c>
      <c r="F123" s="245">
        <v>47.25</v>
      </c>
      <c r="G123" s="387">
        <v>126.37</v>
      </c>
      <c r="H123" s="444"/>
      <c r="I123" s="444"/>
      <c r="J123" s="443"/>
      <c r="K123" s="444"/>
      <c r="L123" s="444"/>
      <c r="M123" s="444"/>
      <c r="N123" s="387"/>
      <c r="O123" s="387"/>
      <c r="P123" s="444"/>
      <c r="Q123" s="444"/>
      <c r="R123" s="444">
        <v>59.53</v>
      </c>
      <c r="S123" s="444">
        <v>0</v>
      </c>
      <c r="T123" s="444">
        <v>0</v>
      </c>
      <c r="U123" s="444">
        <f>VLOOKUP(B123,'MEMÓRIA MEDIÇÃO 14'!$A$8:$F$202,6,FALSE)</f>
        <v>0</v>
      </c>
      <c r="V123" s="387">
        <f t="shared" si="50"/>
        <v>59.53</v>
      </c>
      <c r="W123" s="387">
        <f t="shared" si="72"/>
        <v>66.84</v>
      </c>
      <c r="X123" s="387">
        <f t="shared" si="73"/>
        <v>5970.9825000000001</v>
      </c>
      <c r="Y123" s="346">
        <f t="shared" si="61"/>
        <v>0</v>
      </c>
      <c r="Z123" s="346">
        <f t="shared" si="62"/>
        <v>0</v>
      </c>
      <c r="AA123" s="346">
        <f t="shared" ref="AA123:AA154" si="74">F123*J123</f>
        <v>0</v>
      </c>
      <c r="AB123" s="346">
        <f t="shared" si="63"/>
        <v>0</v>
      </c>
      <c r="AC123" s="346">
        <f t="shared" si="64"/>
        <v>0</v>
      </c>
      <c r="AD123" s="346">
        <f t="shared" si="60"/>
        <v>0</v>
      </c>
      <c r="AE123" s="346">
        <f t="shared" si="71"/>
        <v>0</v>
      </c>
      <c r="AF123" s="346">
        <f t="shared" si="65"/>
        <v>0</v>
      </c>
      <c r="AG123" s="346">
        <f t="shared" si="66"/>
        <v>0</v>
      </c>
      <c r="AH123" s="346">
        <f t="shared" si="67"/>
        <v>0</v>
      </c>
      <c r="AI123" s="346">
        <f t="shared" si="68"/>
        <v>2812.79</v>
      </c>
      <c r="AJ123" s="346">
        <f t="shared" si="69"/>
        <v>0</v>
      </c>
      <c r="AK123" s="346">
        <f t="shared" si="52"/>
        <v>0</v>
      </c>
      <c r="AL123" s="346">
        <f t="shared" si="70"/>
        <v>0</v>
      </c>
      <c r="AM123" s="445">
        <f t="shared" si="53"/>
        <v>2812.79</v>
      </c>
      <c r="AN123" s="446">
        <f t="shared" si="54"/>
        <v>3158.1925000000001</v>
      </c>
    </row>
    <row r="124" spans="2:40" s="167" customFormat="1" ht="22.5" x14ac:dyDescent="0.25">
      <c r="B124" s="384" t="s">
        <v>329</v>
      </c>
      <c r="C124" s="385">
        <v>368</v>
      </c>
      <c r="D124" s="386" t="s">
        <v>331</v>
      </c>
      <c r="E124" s="277" t="s">
        <v>41</v>
      </c>
      <c r="F124" s="245">
        <v>70.77</v>
      </c>
      <c r="G124" s="387">
        <v>7.46</v>
      </c>
      <c r="H124" s="444"/>
      <c r="I124" s="444"/>
      <c r="J124" s="443"/>
      <c r="K124" s="444"/>
      <c r="L124" s="444"/>
      <c r="M124" s="444"/>
      <c r="N124" s="387"/>
      <c r="O124" s="387"/>
      <c r="P124" s="444"/>
      <c r="Q124" s="444"/>
      <c r="R124" s="444">
        <v>0</v>
      </c>
      <c r="S124" s="444">
        <v>0</v>
      </c>
      <c r="T124" s="444">
        <v>0</v>
      </c>
      <c r="U124" s="444">
        <f>VLOOKUP(B124,'MEMÓRIA MEDIÇÃO 14'!$A$8:$F$202,6,FALSE)</f>
        <v>0</v>
      </c>
      <c r="V124" s="387">
        <f t="shared" si="50"/>
        <v>0</v>
      </c>
      <c r="W124" s="387">
        <f t="shared" si="72"/>
        <v>7.46</v>
      </c>
      <c r="X124" s="387">
        <f t="shared" si="73"/>
        <v>527.94420000000002</v>
      </c>
      <c r="Y124" s="346">
        <f t="shared" si="61"/>
        <v>0</v>
      </c>
      <c r="Z124" s="346">
        <f t="shared" si="62"/>
        <v>0</v>
      </c>
      <c r="AA124" s="346">
        <f t="shared" si="74"/>
        <v>0</v>
      </c>
      <c r="AB124" s="346">
        <f t="shared" si="63"/>
        <v>0</v>
      </c>
      <c r="AC124" s="346">
        <f t="shared" si="64"/>
        <v>0</v>
      </c>
      <c r="AD124" s="346">
        <f t="shared" si="60"/>
        <v>0</v>
      </c>
      <c r="AE124" s="346">
        <f t="shared" si="71"/>
        <v>0</v>
      </c>
      <c r="AF124" s="346">
        <f t="shared" si="65"/>
        <v>0</v>
      </c>
      <c r="AG124" s="346">
        <f t="shared" si="66"/>
        <v>0</v>
      </c>
      <c r="AH124" s="346">
        <f t="shared" si="67"/>
        <v>0</v>
      </c>
      <c r="AI124" s="346">
        <f t="shared" si="68"/>
        <v>0</v>
      </c>
      <c r="AJ124" s="346">
        <f t="shared" si="69"/>
        <v>0</v>
      </c>
      <c r="AK124" s="346">
        <f t="shared" si="52"/>
        <v>0</v>
      </c>
      <c r="AL124" s="346">
        <f t="shared" si="70"/>
        <v>0</v>
      </c>
      <c r="AM124" s="445">
        <f t="shared" si="53"/>
        <v>0</v>
      </c>
      <c r="AN124" s="446">
        <f t="shared" si="54"/>
        <v>527.94420000000002</v>
      </c>
    </row>
    <row r="125" spans="2:40" s="167" customFormat="1" x14ac:dyDescent="0.25">
      <c r="B125" s="384" t="s">
        <v>332</v>
      </c>
      <c r="C125" s="385">
        <v>98504</v>
      </c>
      <c r="D125" s="386" t="s">
        <v>334</v>
      </c>
      <c r="E125" s="277" t="s">
        <v>17</v>
      </c>
      <c r="F125" s="245">
        <v>15.87</v>
      </c>
      <c r="G125" s="387">
        <v>25.6</v>
      </c>
      <c r="H125" s="444"/>
      <c r="I125" s="444"/>
      <c r="J125" s="443"/>
      <c r="K125" s="444"/>
      <c r="L125" s="444"/>
      <c r="M125" s="444"/>
      <c r="N125" s="387"/>
      <c r="O125" s="387"/>
      <c r="P125" s="444"/>
      <c r="Q125" s="444"/>
      <c r="R125" s="444">
        <v>0</v>
      </c>
      <c r="S125" s="444">
        <v>0</v>
      </c>
      <c r="T125" s="444">
        <v>0</v>
      </c>
      <c r="U125" s="444">
        <f>VLOOKUP(B125,'MEMÓRIA MEDIÇÃO 14'!$A$8:$F$202,6,FALSE)</f>
        <v>0</v>
      </c>
      <c r="V125" s="387">
        <f t="shared" si="50"/>
        <v>0</v>
      </c>
      <c r="W125" s="387">
        <f t="shared" si="72"/>
        <v>25.6</v>
      </c>
      <c r="X125" s="387">
        <f t="shared" si="73"/>
        <v>406.27199999999999</v>
      </c>
      <c r="Y125" s="346">
        <f t="shared" si="61"/>
        <v>0</v>
      </c>
      <c r="Z125" s="346">
        <f t="shared" si="62"/>
        <v>0</v>
      </c>
      <c r="AA125" s="346">
        <f t="shared" si="74"/>
        <v>0</v>
      </c>
      <c r="AB125" s="346">
        <f t="shared" si="63"/>
        <v>0</v>
      </c>
      <c r="AC125" s="346">
        <f t="shared" si="64"/>
        <v>0</v>
      </c>
      <c r="AD125" s="346">
        <f t="shared" si="60"/>
        <v>0</v>
      </c>
      <c r="AE125" s="346">
        <f t="shared" si="71"/>
        <v>0</v>
      </c>
      <c r="AF125" s="346">
        <f t="shared" si="65"/>
        <v>0</v>
      </c>
      <c r="AG125" s="346">
        <f t="shared" si="66"/>
        <v>0</v>
      </c>
      <c r="AH125" s="346">
        <f t="shared" si="67"/>
        <v>0</v>
      </c>
      <c r="AI125" s="346">
        <f t="shared" si="68"/>
        <v>0</v>
      </c>
      <c r="AJ125" s="346">
        <f t="shared" si="69"/>
        <v>0</v>
      </c>
      <c r="AK125" s="346">
        <f t="shared" si="52"/>
        <v>0</v>
      </c>
      <c r="AL125" s="346">
        <f t="shared" si="70"/>
        <v>0</v>
      </c>
      <c r="AM125" s="445">
        <f t="shared" si="53"/>
        <v>0</v>
      </c>
      <c r="AN125" s="446">
        <f t="shared" si="54"/>
        <v>406.27199999999999</v>
      </c>
    </row>
    <row r="126" spans="2:40" s="167" customFormat="1" ht="22.5" x14ac:dyDescent="0.25">
      <c r="B126" s="384" t="s">
        <v>335</v>
      </c>
      <c r="C126" s="385">
        <v>103913</v>
      </c>
      <c r="D126" s="386" t="s">
        <v>337</v>
      </c>
      <c r="E126" s="277" t="s">
        <v>17</v>
      </c>
      <c r="F126" s="245">
        <v>117.96</v>
      </c>
      <c r="G126" s="387">
        <v>39.6</v>
      </c>
      <c r="H126" s="444"/>
      <c r="I126" s="444"/>
      <c r="J126" s="443"/>
      <c r="K126" s="444"/>
      <c r="L126" s="444"/>
      <c r="M126" s="444"/>
      <c r="N126" s="387"/>
      <c r="O126" s="387"/>
      <c r="P126" s="444"/>
      <c r="Q126" s="444"/>
      <c r="R126" s="444">
        <v>0</v>
      </c>
      <c r="S126" s="444">
        <v>0</v>
      </c>
      <c r="T126" s="444">
        <v>0</v>
      </c>
      <c r="U126" s="444">
        <f>VLOOKUP(B126,'MEMÓRIA MEDIÇÃO 14'!$A$8:$F$202,6,FALSE)</f>
        <v>39.6</v>
      </c>
      <c r="V126" s="387">
        <f t="shared" si="50"/>
        <v>39.6</v>
      </c>
      <c r="W126" s="387">
        <f t="shared" si="72"/>
        <v>0</v>
      </c>
      <c r="X126" s="387">
        <f t="shared" si="73"/>
        <v>4671.2160000000003</v>
      </c>
      <c r="Y126" s="346">
        <f t="shared" si="61"/>
        <v>0</v>
      </c>
      <c r="Z126" s="346">
        <f t="shared" si="62"/>
        <v>0</v>
      </c>
      <c r="AA126" s="346">
        <f t="shared" si="74"/>
        <v>0</v>
      </c>
      <c r="AB126" s="346">
        <f t="shared" si="63"/>
        <v>0</v>
      </c>
      <c r="AC126" s="346">
        <f t="shared" si="64"/>
        <v>0</v>
      </c>
      <c r="AD126" s="346">
        <f t="shared" si="60"/>
        <v>0</v>
      </c>
      <c r="AE126" s="346">
        <f t="shared" si="71"/>
        <v>0</v>
      </c>
      <c r="AF126" s="346">
        <f t="shared" si="65"/>
        <v>0</v>
      </c>
      <c r="AG126" s="346">
        <f t="shared" si="66"/>
        <v>0</v>
      </c>
      <c r="AH126" s="346">
        <f t="shared" si="67"/>
        <v>0</v>
      </c>
      <c r="AI126" s="346">
        <f t="shared" si="68"/>
        <v>0</v>
      </c>
      <c r="AJ126" s="346">
        <f t="shared" si="69"/>
        <v>0</v>
      </c>
      <c r="AK126" s="346">
        <f t="shared" si="52"/>
        <v>0</v>
      </c>
      <c r="AL126" s="346">
        <f t="shared" si="70"/>
        <v>4671.22</v>
      </c>
      <c r="AM126" s="445">
        <f t="shared" si="53"/>
        <v>4671.22</v>
      </c>
      <c r="AN126" s="446">
        <f t="shared" si="54"/>
        <v>-3.9999999999054126E-3</v>
      </c>
    </row>
    <row r="127" spans="2:40" s="167" customFormat="1" x14ac:dyDescent="0.25">
      <c r="B127" s="347" t="s">
        <v>338</v>
      </c>
      <c r="C127" s="349" t="s">
        <v>339</v>
      </c>
      <c r="D127" s="386"/>
      <c r="E127" s="277"/>
      <c r="F127" s="245"/>
      <c r="G127" s="387"/>
      <c r="H127" s="444"/>
      <c r="I127" s="444"/>
      <c r="J127" s="443"/>
      <c r="K127" s="444"/>
      <c r="L127" s="444"/>
      <c r="M127" s="444"/>
      <c r="N127" s="387"/>
      <c r="O127" s="387"/>
      <c r="P127" s="444"/>
      <c r="Q127" s="444"/>
      <c r="R127" s="444">
        <v>0</v>
      </c>
      <c r="S127" s="444">
        <v>0</v>
      </c>
      <c r="T127" s="444">
        <v>0</v>
      </c>
      <c r="U127" s="444">
        <f>VLOOKUP(B127,'MEMÓRIA MEDIÇÃO 14'!$A$8:$F$202,6,FALSE)</f>
        <v>0</v>
      </c>
      <c r="V127" s="387">
        <f t="shared" si="50"/>
        <v>0</v>
      </c>
      <c r="W127" s="387"/>
      <c r="X127" s="387"/>
      <c r="Y127" s="346">
        <f t="shared" si="61"/>
        <v>0</v>
      </c>
      <c r="Z127" s="346">
        <f t="shared" si="62"/>
        <v>0</v>
      </c>
      <c r="AA127" s="346">
        <f t="shared" si="74"/>
        <v>0</v>
      </c>
      <c r="AB127" s="346">
        <f t="shared" si="63"/>
        <v>0</v>
      </c>
      <c r="AC127" s="346">
        <f t="shared" si="64"/>
        <v>0</v>
      </c>
      <c r="AD127" s="346">
        <f t="shared" si="60"/>
        <v>0</v>
      </c>
      <c r="AE127" s="346">
        <f t="shared" si="71"/>
        <v>0</v>
      </c>
      <c r="AF127" s="346">
        <f t="shared" si="65"/>
        <v>0</v>
      </c>
      <c r="AG127" s="346">
        <f t="shared" si="66"/>
        <v>0</v>
      </c>
      <c r="AH127" s="346">
        <f t="shared" si="67"/>
        <v>0</v>
      </c>
      <c r="AI127" s="346">
        <f t="shared" si="68"/>
        <v>0</v>
      </c>
      <c r="AJ127" s="346">
        <f t="shared" si="69"/>
        <v>0</v>
      </c>
      <c r="AK127" s="346">
        <f t="shared" si="52"/>
        <v>0</v>
      </c>
      <c r="AL127" s="346">
        <f t="shared" si="70"/>
        <v>0</v>
      </c>
      <c r="AM127" s="445">
        <f t="shared" si="53"/>
        <v>0</v>
      </c>
      <c r="AN127" s="446">
        <f t="shared" si="54"/>
        <v>0</v>
      </c>
    </row>
    <row r="128" spans="2:40" s="167" customFormat="1" ht="45" x14ac:dyDescent="0.25">
      <c r="B128" s="384" t="s">
        <v>340</v>
      </c>
      <c r="C128" s="385">
        <v>94207</v>
      </c>
      <c r="D128" s="386" t="s">
        <v>342</v>
      </c>
      <c r="E128" s="277" t="s">
        <v>17</v>
      </c>
      <c r="F128" s="245">
        <v>69.180000000000007</v>
      </c>
      <c r="G128" s="387">
        <v>629.87310000000002</v>
      </c>
      <c r="H128" s="444"/>
      <c r="I128" s="444"/>
      <c r="J128" s="443"/>
      <c r="K128" s="444"/>
      <c r="L128" s="444"/>
      <c r="M128" s="444"/>
      <c r="N128" s="387"/>
      <c r="O128" s="387"/>
      <c r="P128" s="444"/>
      <c r="Q128" s="444"/>
      <c r="R128" s="444">
        <v>471.51</v>
      </c>
      <c r="S128" s="444">
        <v>0</v>
      </c>
      <c r="T128" s="444">
        <v>12.25</v>
      </c>
      <c r="U128" s="444">
        <f>VLOOKUP(B128,'MEMÓRIA MEDIÇÃO 14'!$A$8:$F$202,6,FALSE)</f>
        <v>0</v>
      </c>
      <c r="V128" s="387">
        <f t="shared" si="50"/>
        <v>483.76</v>
      </c>
      <c r="W128" s="387">
        <f t="shared" ref="W128:W136" si="75">G128-V128</f>
        <v>146.11310000000003</v>
      </c>
      <c r="X128" s="387">
        <f t="shared" ref="X128:X136" si="76">F128*G128</f>
        <v>43574.621058000004</v>
      </c>
      <c r="Y128" s="346">
        <f t="shared" si="61"/>
        <v>0</v>
      </c>
      <c r="Z128" s="346">
        <f t="shared" si="62"/>
        <v>0</v>
      </c>
      <c r="AA128" s="346">
        <f t="shared" si="74"/>
        <v>0</v>
      </c>
      <c r="AB128" s="346">
        <f t="shared" si="63"/>
        <v>0</v>
      </c>
      <c r="AC128" s="346">
        <f t="shared" si="64"/>
        <v>0</v>
      </c>
      <c r="AD128" s="346">
        <f t="shared" si="60"/>
        <v>0</v>
      </c>
      <c r="AE128" s="346">
        <f t="shared" si="71"/>
        <v>0</v>
      </c>
      <c r="AF128" s="346">
        <f t="shared" si="65"/>
        <v>0</v>
      </c>
      <c r="AG128" s="346">
        <f t="shared" si="66"/>
        <v>0</v>
      </c>
      <c r="AH128" s="346">
        <f t="shared" si="67"/>
        <v>0</v>
      </c>
      <c r="AI128" s="346">
        <f t="shared" si="68"/>
        <v>32619.06</v>
      </c>
      <c r="AJ128" s="346">
        <f t="shared" si="69"/>
        <v>0</v>
      </c>
      <c r="AK128" s="346">
        <f t="shared" si="52"/>
        <v>847.46</v>
      </c>
      <c r="AL128" s="346">
        <f t="shared" si="70"/>
        <v>0</v>
      </c>
      <c r="AM128" s="445">
        <f t="shared" si="53"/>
        <v>33466.520000000004</v>
      </c>
      <c r="AN128" s="446">
        <f t="shared" si="54"/>
        <v>10108.101058</v>
      </c>
    </row>
    <row r="129" spans="2:40" s="167" customFormat="1" ht="33.75" x14ac:dyDescent="0.25">
      <c r="B129" s="384" t="s">
        <v>343</v>
      </c>
      <c r="C129" s="385">
        <v>98546</v>
      </c>
      <c r="D129" s="386" t="s">
        <v>345</v>
      </c>
      <c r="E129" s="277" t="s">
        <v>17</v>
      </c>
      <c r="F129" s="245">
        <v>109.11</v>
      </c>
      <c r="G129" s="387">
        <v>201.28</v>
      </c>
      <c r="H129" s="444"/>
      <c r="I129" s="444"/>
      <c r="J129" s="443"/>
      <c r="K129" s="444"/>
      <c r="L129" s="444"/>
      <c r="M129" s="444"/>
      <c r="N129" s="387"/>
      <c r="O129" s="387"/>
      <c r="P129" s="444"/>
      <c r="Q129" s="444"/>
      <c r="R129" s="444">
        <v>100.66499999999999</v>
      </c>
      <c r="S129" s="444">
        <v>44.995999999999995</v>
      </c>
      <c r="T129" s="444">
        <v>0</v>
      </c>
      <c r="U129" s="444">
        <f>VLOOKUP(B129,'MEMÓRIA MEDIÇÃO 14'!$A$8:$F$202,6,FALSE)</f>
        <v>55.608000000000004</v>
      </c>
      <c r="V129" s="387">
        <f t="shared" si="50"/>
        <v>201.26900000000001</v>
      </c>
      <c r="W129" s="387">
        <f t="shared" si="75"/>
        <v>1.099999999999568E-2</v>
      </c>
      <c r="X129" s="387">
        <f t="shared" si="76"/>
        <v>21961.660800000001</v>
      </c>
      <c r="Y129" s="346">
        <f t="shared" si="61"/>
        <v>0</v>
      </c>
      <c r="Z129" s="346">
        <f t="shared" si="62"/>
        <v>0</v>
      </c>
      <c r="AA129" s="346">
        <f t="shared" si="74"/>
        <v>0</v>
      </c>
      <c r="AB129" s="346">
        <f t="shared" si="63"/>
        <v>0</v>
      </c>
      <c r="AC129" s="346">
        <f t="shared" si="64"/>
        <v>0</v>
      </c>
      <c r="AD129" s="346">
        <f t="shared" si="60"/>
        <v>0</v>
      </c>
      <c r="AE129" s="346">
        <f t="shared" si="71"/>
        <v>0</v>
      </c>
      <c r="AF129" s="346">
        <f t="shared" si="65"/>
        <v>0</v>
      </c>
      <c r="AG129" s="346">
        <f t="shared" si="66"/>
        <v>0</v>
      </c>
      <c r="AH129" s="346">
        <f t="shared" si="67"/>
        <v>0</v>
      </c>
      <c r="AI129" s="346">
        <f t="shared" si="68"/>
        <v>10983.56</v>
      </c>
      <c r="AJ129" s="346">
        <f t="shared" si="69"/>
        <v>4909.51</v>
      </c>
      <c r="AK129" s="346">
        <f t="shared" si="52"/>
        <v>0</v>
      </c>
      <c r="AL129" s="346">
        <f t="shared" si="70"/>
        <v>6067.39</v>
      </c>
      <c r="AM129" s="445">
        <f t="shared" si="53"/>
        <v>21960.46</v>
      </c>
      <c r="AN129" s="446">
        <f t="shared" si="54"/>
        <v>1.2008000000023458</v>
      </c>
    </row>
    <row r="130" spans="2:40" s="167" customFormat="1" ht="33.75" x14ac:dyDescent="0.25">
      <c r="B130" s="384" t="s">
        <v>346</v>
      </c>
      <c r="C130" s="385">
        <v>98565</v>
      </c>
      <c r="D130" s="386" t="s">
        <v>348</v>
      </c>
      <c r="E130" s="277" t="s">
        <v>17</v>
      </c>
      <c r="F130" s="245">
        <v>46.12</v>
      </c>
      <c r="G130" s="387">
        <v>402.57</v>
      </c>
      <c r="H130" s="444"/>
      <c r="I130" s="444"/>
      <c r="J130" s="443"/>
      <c r="K130" s="444"/>
      <c r="L130" s="444"/>
      <c r="M130" s="444"/>
      <c r="N130" s="387"/>
      <c r="O130" s="387"/>
      <c r="P130" s="444"/>
      <c r="Q130" s="444"/>
      <c r="R130" s="444">
        <v>0</v>
      </c>
      <c r="S130" s="444">
        <v>44.995999999999995</v>
      </c>
      <c r="T130" s="444">
        <v>248.32</v>
      </c>
      <c r="U130" s="444">
        <f>VLOOKUP(B130,'MEMÓRIA MEDIÇÃO 14'!$A$8:$F$202,6,FALSE)</f>
        <v>0</v>
      </c>
      <c r="V130" s="387">
        <f t="shared" si="50"/>
        <v>293.31599999999997</v>
      </c>
      <c r="W130" s="387">
        <f t="shared" si="75"/>
        <v>109.25400000000002</v>
      </c>
      <c r="X130" s="387">
        <f t="shared" si="76"/>
        <v>18566.528399999999</v>
      </c>
      <c r="Y130" s="346">
        <f t="shared" si="61"/>
        <v>0</v>
      </c>
      <c r="Z130" s="346">
        <f t="shared" si="62"/>
        <v>0</v>
      </c>
      <c r="AA130" s="346">
        <f t="shared" si="74"/>
        <v>0</v>
      </c>
      <c r="AB130" s="346">
        <f t="shared" si="63"/>
        <v>0</v>
      </c>
      <c r="AC130" s="346">
        <f t="shared" si="64"/>
        <v>0</v>
      </c>
      <c r="AD130" s="346">
        <f t="shared" ref="AD130:AD161" si="77">M130*F130</f>
        <v>0</v>
      </c>
      <c r="AE130" s="346">
        <f t="shared" si="71"/>
        <v>0</v>
      </c>
      <c r="AF130" s="346">
        <f t="shared" si="65"/>
        <v>0</v>
      </c>
      <c r="AG130" s="346">
        <f t="shared" si="66"/>
        <v>0</v>
      </c>
      <c r="AH130" s="346">
        <f t="shared" si="67"/>
        <v>0</v>
      </c>
      <c r="AI130" s="346">
        <f t="shared" si="68"/>
        <v>0</v>
      </c>
      <c r="AJ130" s="346">
        <f t="shared" si="69"/>
        <v>2075.2199999999998</v>
      </c>
      <c r="AK130" s="346">
        <f t="shared" si="52"/>
        <v>11452.52</v>
      </c>
      <c r="AL130" s="346">
        <f t="shared" si="70"/>
        <v>0</v>
      </c>
      <c r="AM130" s="445">
        <f t="shared" si="53"/>
        <v>13527.74</v>
      </c>
      <c r="AN130" s="446">
        <f t="shared" si="54"/>
        <v>5038.7883999999995</v>
      </c>
    </row>
    <row r="131" spans="2:40" s="167" customFormat="1" ht="45" x14ac:dyDescent="0.25">
      <c r="B131" s="384" t="s">
        <v>349</v>
      </c>
      <c r="C131" s="385">
        <v>100374</v>
      </c>
      <c r="D131" s="386" t="s">
        <v>351</v>
      </c>
      <c r="E131" s="277" t="s">
        <v>166</v>
      </c>
      <c r="F131" s="245">
        <v>2472.0700000000002</v>
      </c>
      <c r="G131" s="387">
        <v>10</v>
      </c>
      <c r="H131" s="444"/>
      <c r="I131" s="444"/>
      <c r="J131" s="443"/>
      <c r="K131" s="444"/>
      <c r="L131" s="444"/>
      <c r="M131" s="444"/>
      <c r="N131" s="387"/>
      <c r="O131" s="387"/>
      <c r="P131" s="444"/>
      <c r="Q131" s="444"/>
      <c r="R131" s="444">
        <v>10</v>
      </c>
      <c r="S131" s="444">
        <v>0</v>
      </c>
      <c r="T131" s="444">
        <v>0</v>
      </c>
      <c r="U131" s="444">
        <f>VLOOKUP(B131,'MEMÓRIA MEDIÇÃO 14'!$A$8:$F$202,6,FALSE)</f>
        <v>0</v>
      </c>
      <c r="V131" s="387">
        <f t="shared" si="50"/>
        <v>10</v>
      </c>
      <c r="W131" s="387">
        <f t="shared" si="75"/>
        <v>0</v>
      </c>
      <c r="X131" s="387">
        <f t="shared" si="76"/>
        <v>24720.7</v>
      </c>
      <c r="Y131" s="346">
        <f t="shared" si="61"/>
        <v>0</v>
      </c>
      <c r="Z131" s="346">
        <f t="shared" si="62"/>
        <v>0</v>
      </c>
      <c r="AA131" s="346">
        <f t="shared" si="74"/>
        <v>0</v>
      </c>
      <c r="AB131" s="346">
        <f t="shared" si="63"/>
        <v>0</v>
      </c>
      <c r="AC131" s="346">
        <f t="shared" si="64"/>
        <v>0</v>
      </c>
      <c r="AD131" s="346">
        <f t="shared" si="77"/>
        <v>0</v>
      </c>
      <c r="AE131" s="346">
        <f t="shared" si="71"/>
        <v>0</v>
      </c>
      <c r="AF131" s="346">
        <f t="shared" si="65"/>
        <v>0</v>
      </c>
      <c r="AG131" s="346">
        <f t="shared" si="66"/>
        <v>0</v>
      </c>
      <c r="AH131" s="346">
        <f t="shared" si="67"/>
        <v>0</v>
      </c>
      <c r="AI131" s="346">
        <f t="shared" si="68"/>
        <v>24720.7</v>
      </c>
      <c r="AJ131" s="346">
        <f t="shared" si="69"/>
        <v>0</v>
      </c>
      <c r="AK131" s="346">
        <f t="shared" si="52"/>
        <v>0</v>
      </c>
      <c r="AL131" s="346">
        <f t="shared" si="70"/>
        <v>0</v>
      </c>
      <c r="AM131" s="445">
        <f t="shared" si="53"/>
        <v>24720.7</v>
      </c>
      <c r="AN131" s="446">
        <f t="shared" si="54"/>
        <v>0</v>
      </c>
    </row>
    <row r="132" spans="2:40" s="167" customFormat="1" ht="45" x14ac:dyDescent="0.25">
      <c r="B132" s="384" t="s">
        <v>352</v>
      </c>
      <c r="C132" s="385">
        <v>100375</v>
      </c>
      <c r="D132" s="386" t="s">
        <v>354</v>
      </c>
      <c r="E132" s="277" t="s">
        <v>166</v>
      </c>
      <c r="F132" s="245">
        <v>2766.14</v>
      </c>
      <c r="G132" s="387">
        <v>10</v>
      </c>
      <c r="H132" s="444"/>
      <c r="I132" s="444"/>
      <c r="J132" s="443"/>
      <c r="K132" s="444"/>
      <c r="L132" s="444"/>
      <c r="M132" s="444"/>
      <c r="N132" s="387"/>
      <c r="O132" s="387"/>
      <c r="P132" s="444"/>
      <c r="Q132" s="444"/>
      <c r="R132" s="444">
        <v>10</v>
      </c>
      <c r="S132" s="444">
        <v>0</v>
      </c>
      <c r="T132" s="444">
        <v>0</v>
      </c>
      <c r="U132" s="444">
        <f>VLOOKUP(B132,'MEMÓRIA MEDIÇÃO 14'!$A$8:$F$202,6,FALSE)</f>
        <v>0</v>
      </c>
      <c r="V132" s="387">
        <f t="shared" si="50"/>
        <v>10</v>
      </c>
      <c r="W132" s="387">
        <f t="shared" si="75"/>
        <v>0</v>
      </c>
      <c r="X132" s="387">
        <f t="shared" si="76"/>
        <v>27661.399999999998</v>
      </c>
      <c r="Y132" s="346">
        <f t="shared" si="61"/>
        <v>0</v>
      </c>
      <c r="Z132" s="346">
        <f t="shared" si="62"/>
        <v>0</v>
      </c>
      <c r="AA132" s="346">
        <f t="shared" si="74"/>
        <v>0</v>
      </c>
      <c r="AB132" s="346">
        <f t="shared" si="63"/>
        <v>0</v>
      </c>
      <c r="AC132" s="346">
        <f t="shared" si="64"/>
        <v>0</v>
      </c>
      <c r="AD132" s="346">
        <f t="shared" si="77"/>
        <v>0</v>
      </c>
      <c r="AE132" s="346">
        <f t="shared" si="71"/>
        <v>0</v>
      </c>
      <c r="AF132" s="346">
        <f t="shared" si="65"/>
        <v>0</v>
      </c>
      <c r="AG132" s="346">
        <f t="shared" si="66"/>
        <v>0</v>
      </c>
      <c r="AH132" s="346">
        <f t="shared" si="67"/>
        <v>0</v>
      </c>
      <c r="AI132" s="346">
        <f t="shared" si="68"/>
        <v>27661.4</v>
      </c>
      <c r="AJ132" s="346">
        <f t="shared" si="69"/>
        <v>0</v>
      </c>
      <c r="AK132" s="346">
        <f t="shared" si="52"/>
        <v>0</v>
      </c>
      <c r="AL132" s="346">
        <f t="shared" si="70"/>
        <v>0</v>
      </c>
      <c r="AM132" s="445">
        <f t="shared" si="53"/>
        <v>27661.4</v>
      </c>
      <c r="AN132" s="446">
        <f t="shared" si="54"/>
        <v>0</v>
      </c>
    </row>
    <row r="133" spans="2:40" s="167" customFormat="1" ht="33.75" x14ac:dyDescent="0.25">
      <c r="B133" s="384" t="s">
        <v>355</v>
      </c>
      <c r="C133" s="385">
        <v>92544</v>
      </c>
      <c r="D133" s="386" t="s">
        <v>357</v>
      </c>
      <c r="E133" s="277" t="s">
        <v>17</v>
      </c>
      <c r="F133" s="245">
        <v>15.3</v>
      </c>
      <c r="G133" s="387">
        <v>629.87</v>
      </c>
      <c r="H133" s="444"/>
      <c r="I133" s="444"/>
      <c r="J133" s="443"/>
      <c r="K133" s="444"/>
      <c r="L133" s="444"/>
      <c r="M133" s="444"/>
      <c r="N133" s="387"/>
      <c r="O133" s="387"/>
      <c r="P133" s="444"/>
      <c r="Q133" s="444"/>
      <c r="R133" s="444">
        <v>471.51</v>
      </c>
      <c r="S133" s="444">
        <v>0</v>
      </c>
      <c r="T133" s="444">
        <v>0</v>
      </c>
      <c r="U133" s="444">
        <f>VLOOKUP(B133,'MEMÓRIA MEDIÇÃO 14'!$A$8:$F$202,6,FALSE)</f>
        <v>0</v>
      </c>
      <c r="V133" s="387">
        <f t="shared" si="50"/>
        <v>471.51</v>
      </c>
      <c r="W133" s="387">
        <f t="shared" si="75"/>
        <v>158.36000000000001</v>
      </c>
      <c r="X133" s="387">
        <f t="shared" si="76"/>
        <v>9637.0110000000004</v>
      </c>
      <c r="Y133" s="346">
        <f t="shared" si="61"/>
        <v>0</v>
      </c>
      <c r="Z133" s="346">
        <f t="shared" si="62"/>
        <v>0</v>
      </c>
      <c r="AA133" s="346">
        <f t="shared" si="74"/>
        <v>0</v>
      </c>
      <c r="AB133" s="346">
        <f t="shared" si="63"/>
        <v>0</v>
      </c>
      <c r="AC133" s="346">
        <f t="shared" si="64"/>
        <v>0</v>
      </c>
      <c r="AD133" s="346">
        <f t="shared" si="77"/>
        <v>0</v>
      </c>
      <c r="AE133" s="346">
        <f t="shared" si="71"/>
        <v>0</v>
      </c>
      <c r="AF133" s="346">
        <f t="shared" si="65"/>
        <v>0</v>
      </c>
      <c r="AG133" s="346">
        <f t="shared" si="66"/>
        <v>0</v>
      </c>
      <c r="AH133" s="346">
        <f t="shared" si="67"/>
        <v>0</v>
      </c>
      <c r="AI133" s="346">
        <f t="shared" si="68"/>
        <v>7214.1</v>
      </c>
      <c r="AJ133" s="346">
        <f t="shared" si="69"/>
        <v>0</v>
      </c>
      <c r="AK133" s="346">
        <f t="shared" si="52"/>
        <v>0</v>
      </c>
      <c r="AL133" s="346">
        <f t="shared" si="70"/>
        <v>0</v>
      </c>
      <c r="AM133" s="445">
        <f t="shared" si="53"/>
        <v>7214.1</v>
      </c>
      <c r="AN133" s="446">
        <f t="shared" si="54"/>
        <v>2422.9110000000001</v>
      </c>
    </row>
    <row r="134" spans="2:40" s="167" customFormat="1" ht="33.75" x14ac:dyDescent="0.25">
      <c r="B134" s="384" t="s">
        <v>358</v>
      </c>
      <c r="C134" s="385">
        <v>100435</v>
      </c>
      <c r="D134" s="386" t="s">
        <v>360</v>
      </c>
      <c r="E134" s="277" t="s">
        <v>37</v>
      </c>
      <c r="F134" s="245">
        <v>84.59</v>
      </c>
      <c r="G134" s="387">
        <v>113.1</v>
      </c>
      <c r="H134" s="444"/>
      <c r="I134" s="444"/>
      <c r="J134" s="443"/>
      <c r="K134" s="444"/>
      <c r="L134" s="444"/>
      <c r="M134" s="444"/>
      <c r="N134" s="387"/>
      <c r="O134" s="387"/>
      <c r="P134" s="444"/>
      <c r="Q134" s="444"/>
      <c r="R134" s="444">
        <v>0</v>
      </c>
      <c r="S134" s="444">
        <v>0</v>
      </c>
      <c r="T134" s="444">
        <v>0</v>
      </c>
      <c r="U134" s="444">
        <f>VLOOKUP(B134,'MEMÓRIA MEDIÇÃO 14'!$A$8:$F$202,6,FALSE)</f>
        <v>0</v>
      </c>
      <c r="V134" s="387">
        <f t="shared" si="50"/>
        <v>0</v>
      </c>
      <c r="W134" s="387">
        <f t="shared" si="75"/>
        <v>113.1</v>
      </c>
      <c r="X134" s="387">
        <f t="shared" si="76"/>
        <v>9567.128999999999</v>
      </c>
      <c r="Y134" s="346">
        <f t="shared" si="61"/>
        <v>0</v>
      </c>
      <c r="Z134" s="346">
        <f t="shared" si="62"/>
        <v>0</v>
      </c>
      <c r="AA134" s="346">
        <f t="shared" si="74"/>
        <v>0</v>
      </c>
      <c r="AB134" s="346">
        <f t="shared" si="63"/>
        <v>0</v>
      </c>
      <c r="AC134" s="346">
        <f t="shared" si="64"/>
        <v>0</v>
      </c>
      <c r="AD134" s="346">
        <f t="shared" si="77"/>
        <v>0</v>
      </c>
      <c r="AE134" s="346">
        <f t="shared" si="71"/>
        <v>0</v>
      </c>
      <c r="AF134" s="346">
        <f t="shared" si="65"/>
        <v>0</v>
      </c>
      <c r="AG134" s="346">
        <f t="shared" si="66"/>
        <v>0</v>
      </c>
      <c r="AH134" s="346">
        <f t="shared" si="67"/>
        <v>0</v>
      </c>
      <c r="AI134" s="346">
        <f t="shared" si="68"/>
        <v>0</v>
      </c>
      <c r="AJ134" s="346">
        <f t="shared" si="69"/>
        <v>0</v>
      </c>
      <c r="AK134" s="346">
        <f t="shared" si="52"/>
        <v>0</v>
      </c>
      <c r="AL134" s="346">
        <f t="shared" si="70"/>
        <v>0</v>
      </c>
      <c r="AM134" s="445">
        <f t="shared" si="53"/>
        <v>0</v>
      </c>
      <c r="AN134" s="446">
        <f t="shared" si="54"/>
        <v>9567.128999999999</v>
      </c>
    </row>
    <row r="135" spans="2:40" s="167" customFormat="1" ht="33.75" x14ac:dyDescent="0.25">
      <c r="B135" s="384" t="s">
        <v>361</v>
      </c>
      <c r="C135" s="385">
        <v>94229</v>
      </c>
      <c r="D135" s="386" t="s">
        <v>363</v>
      </c>
      <c r="E135" s="277" t="s">
        <v>37</v>
      </c>
      <c r="F135" s="245">
        <v>165.04</v>
      </c>
      <c r="G135" s="387">
        <v>106.23</v>
      </c>
      <c r="H135" s="444"/>
      <c r="I135" s="444"/>
      <c r="J135" s="443"/>
      <c r="K135" s="444"/>
      <c r="L135" s="444"/>
      <c r="M135" s="444"/>
      <c r="N135" s="387"/>
      <c r="O135" s="387"/>
      <c r="P135" s="444"/>
      <c r="Q135" s="444"/>
      <c r="R135" s="444">
        <v>0</v>
      </c>
      <c r="S135" s="444">
        <v>52.6</v>
      </c>
      <c r="T135" s="444">
        <v>6.6999999999999957</v>
      </c>
      <c r="U135" s="444">
        <f>VLOOKUP(B135,'MEMÓRIA MEDIÇÃO 14'!$A$8:$F$202,6,FALSE)</f>
        <v>0</v>
      </c>
      <c r="V135" s="387">
        <f t="shared" si="50"/>
        <v>59.3</v>
      </c>
      <c r="W135" s="387">
        <f t="shared" si="75"/>
        <v>46.930000000000007</v>
      </c>
      <c r="X135" s="387">
        <f t="shared" si="76"/>
        <v>17532.199199999999</v>
      </c>
      <c r="Y135" s="346">
        <f t="shared" si="61"/>
        <v>0</v>
      </c>
      <c r="Z135" s="346">
        <f t="shared" si="62"/>
        <v>0</v>
      </c>
      <c r="AA135" s="346">
        <f t="shared" si="74"/>
        <v>0</v>
      </c>
      <c r="AB135" s="346">
        <f t="shared" si="63"/>
        <v>0</v>
      </c>
      <c r="AC135" s="346">
        <f t="shared" si="64"/>
        <v>0</v>
      </c>
      <c r="AD135" s="346">
        <f t="shared" si="77"/>
        <v>0</v>
      </c>
      <c r="AE135" s="346">
        <f t="shared" si="71"/>
        <v>0</v>
      </c>
      <c r="AF135" s="346">
        <f t="shared" si="65"/>
        <v>0</v>
      </c>
      <c r="AG135" s="346">
        <f t="shared" si="66"/>
        <v>0</v>
      </c>
      <c r="AH135" s="346">
        <f t="shared" si="67"/>
        <v>0</v>
      </c>
      <c r="AI135" s="346">
        <f t="shared" si="68"/>
        <v>0</v>
      </c>
      <c r="AJ135" s="346">
        <f t="shared" si="69"/>
        <v>8681.1</v>
      </c>
      <c r="AK135" s="346">
        <f t="shared" si="52"/>
        <v>1105.77</v>
      </c>
      <c r="AL135" s="346">
        <f t="shared" si="70"/>
        <v>0</v>
      </c>
      <c r="AM135" s="445">
        <f t="shared" si="53"/>
        <v>9786.8700000000008</v>
      </c>
      <c r="AN135" s="446">
        <f t="shared" si="54"/>
        <v>7745.3291999999983</v>
      </c>
    </row>
    <row r="136" spans="2:40" s="167" customFormat="1" ht="22.5" x14ac:dyDescent="0.25">
      <c r="B136" s="384" t="s">
        <v>364</v>
      </c>
      <c r="C136" s="385">
        <v>96113</v>
      </c>
      <c r="D136" s="386" t="s">
        <v>366</v>
      </c>
      <c r="E136" s="277" t="s">
        <v>17</v>
      </c>
      <c r="F136" s="245">
        <v>34.25</v>
      </c>
      <c r="G136" s="387">
        <v>634.5</v>
      </c>
      <c r="H136" s="444"/>
      <c r="I136" s="444"/>
      <c r="J136" s="443"/>
      <c r="K136" s="444"/>
      <c r="L136" s="444"/>
      <c r="M136" s="444"/>
      <c r="N136" s="387"/>
      <c r="O136" s="387"/>
      <c r="P136" s="444"/>
      <c r="Q136" s="444"/>
      <c r="R136" s="444">
        <v>0</v>
      </c>
      <c r="S136" s="444">
        <v>0</v>
      </c>
      <c r="T136" s="444">
        <v>0</v>
      </c>
      <c r="U136" s="444">
        <f>VLOOKUP(B136,'MEMÓRIA MEDIÇÃO 14'!$A$8:$F$202,6,FALSE)</f>
        <v>0</v>
      </c>
      <c r="V136" s="387">
        <f t="shared" si="50"/>
        <v>0</v>
      </c>
      <c r="W136" s="387">
        <f t="shared" si="75"/>
        <v>634.5</v>
      </c>
      <c r="X136" s="387">
        <f t="shared" si="76"/>
        <v>21731.625</v>
      </c>
      <c r="Y136" s="346">
        <f t="shared" si="61"/>
        <v>0</v>
      </c>
      <c r="Z136" s="346">
        <f t="shared" si="62"/>
        <v>0</v>
      </c>
      <c r="AA136" s="346">
        <f t="shared" si="74"/>
        <v>0</v>
      </c>
      <c r="AB136" s="346">
        <f t="shared" si="63"/>
        <v>0</v>
      </c>
      <c r="AC136" s="346">
        <f t="shared" si="64"/>
        <v>0</v>
      </c>
      <c r="AD136" s="346">
        <f t="shared" si="77"/>
        <v>0</v>
      </c>
      <c r="AE136" s="346">
        <f t="shared" si="71"/>
        <v>0</v>
      </c>
      <c r="AF136" s="346">
        <f t="shared" si="65"/>
        <v>0</v>
      </c>
      <c r="AG136" s="346">
        <f t="shared" si="66"/>
        <v>0</v>
      </c>
      <c r="AH136" s="346">
        <f t="shared" si="67"/>
        <v>0</v>
      </c>
      <c r="AI136" s="346">
        <f t="shared" si="68"/>
        <v>0</v>
      </c>
      <c r="AJ136" s="346">
        <f t="shared" si="69"/>
        <v>0</v>
      </c>
      <c r="AK136" s="346">
        <f t="shared" si="52"/>
        <v>0</v>
      </c>
      <c r="AL136" s="346">
        <f t="shared" si="70"/>
        <v>0</v>
      </c>
      <c r="AM136" s="445">
        <f t="shared" si="53"/>
        <v>0</v>
      </c>
      <c r="AN136" s="446">
        <f t="shared" si="54"/>
        <v>21731.625</v>
      </c>
    </row>
    <row r="137" spans="2:40" s="167" customFormat="1" ht="14.45" customHeight="1" x14ac:dyDescent="0.25">
      <c r="B137" s="347">
        <v>1.1299999999999999</v>
      </c>
      <c r="C137" s="348" t="s">
        <v>368</v>
      </c>
      <c r="D137" s="386"/>
      <c r="E137" s="277"/>
      <c r="F137" s="245"/>
      <c r="G137" s="387"/>
      <c r="H137" s="444"/>
      <c r="I137" s="444"/>
      <c r="J137" s="443"/>
      <c r="K137" s="444"/>
      <c r="L137" s="444"/>
      <c r="M137" s="444"/>
      <c r="N137" s="387"/>
      <c r="O137" s="387"/>
      <c r="P137" s="444"/>
      <c r="Q137" s="444"/>
      <c r="R137" s="444">
        <v>0</v>
      </c>
      <c r="S137" s="444">
        <v>0</v>
      </c>
      <c r="T137" s="444">
        <v>0</v>
      </c>
      <c r="U137" s="444">
        <f>VLOOKUP(B137,'MEMÓRIA MEDIÇÃO 14'!$A$8:$F$202,6,FALSE)</f>
        <v>0</v>
      </c>
      <c r="V137" s="387">
        <f t="shared" si="50"/>
        <v>0</v>
      </c>
      <c r="W137" s="387"/>
      <c r="X137" s="387"/>
      <c r="Y137" s="346">
        <f t="shared" si="61"/>
        <v>0</v>
      </c>
      <c r="Z137" s="346">
        <f t="shared" si="62"/>
        <v>0</v>
      </c>
      <c r="AA137" s="346">
        <f t="shared" si="74"/>
        <v>0</v>
      </c>
      <c r="AB137" s="346">
        <f t="shared" si="63"/>
        <v>0</v>
      </c>
      <c r="AC137" s="346">
        <f t="shared" si="64"/>
        <v>0</v>
      </c>
      <c r="AD137" s="346">
        <f t="shared" si="77"/>
        <v>0</v>
      </c>
      <c r="AE137" s="346">
        <f t="shared" si="71"/>
        <v>0</v>
      </c>
      <c r="AF137" s="346">
        <f t="shared" si="65"/>
        <v>0</v>
      </c>
      <c r="AG137" s="346">
        <f t="shared" si="66"/>
        <v>0</v>
      </c>
      <c r="AH137" s="346">
        <f t="shared" si="67"/>
        <v>0</v>
      </c>
      <c r="AI137" s="346">
        <f t="shared" si="68"/>
        <v>0</v>
      </c>
      <c r="AJ137" s="346">
        <f t="shared" si="69"/>
        <v>0</v>
      </c>
      <c r="AK137" s="346">
        <f t="shared" si="52"/>
        <v>0</v>
      </c>
      <c r="AL137" s="346">
        <f t="shared" si="70"/>
        <v>0</v>
      </c>
      <c r="AM137" s="445">
        <f t="shared" si="53"/>
        <v>0</v>
      </c>
      <c r="AN137" s="446">
        <f t="shared" si="54"/>
        <v>0</v>
      </c>
    </row>
    <row r="138" spans="2:40" s="167" customFormat="1" ht="56.25" x14ac:dyDescent="0.25">
      <c r="B138" s="384" t="s">
        <v>369</v>
      </c>
      <c r="C138" s="385">
        <v>91785</v>
      </c>
      <c r="D138" s="386" t="s">
        <v>371</v>
      </c>
      <c r="E138" s="277" t="s">
        <v>37</v>
      </c>
      <c r="F138" s="245">
        <v>39.15</v>
      </c>
      <c r="G138" s="387">
        <v>98.77</v>
      </c>
      <c r="H138" s="443"/>
      <c r="I138" s="444"/>
      <c r="J138" s="443"/>
      <c r="K138" s="444"/>
      <c r="L138" s="444"/>
      <c r="M138" s="444"/>
      <c r="N138" s="444"/>
      <c r="O138" s="444">
        <v>98.77</v>
      </c>
      <c r="P138" s="444"/>
      <c r="Q138" s="444"/>
      <c r="R138" s="444">
        <v>0</v>
      </c>
      <c r="S138" s="444">
        <v>0</v>
      </c>
      <c r="T138" s="444">
        <v>0</v>
      </c>
      <c r="U138" s="444">
        <f>VLOOKUP(B138,'MEMÓRIA MEDIÇÃO 14'!$A$8:$F$202,6,FALSE)</f>
        <v>0</v>
      </c>
      <c r="V138" s="387">
        <f t="shared" si="50"/>
        <v>98.77</v>
      </c>
      <c r="W138" s="387">
        <f t="shared" ref="W138:W159" si="78">G138-V138</f>
        <v>0</v>
      </c>
      <c r="X138" s="387">
        <f t="shared" ref="X138:X159" si="79">F138*G138</f>
        <v>3866.8454999999999</v>
      </c>
      <c r="Y138" s="346">
        <f t="shared" si="61"/>
        <v>0</v>
      </c>
      <c r="Z138" s="346">
        <f t="shared" si="62"/>
        <v>0</v>
      </c>
      <c r="AA138" s="346">
        <f t="shared" si="74"/>
        <v>0</v>
      </c>
      <c r="AB138" s="346">
        <f t="shared" si="63"/>
        <v>0</v>
      </c>
      <c r="AC138" s="346">
        <f t="shared" si="64"/>
        <v>0</v>
      </c>
      <c r="AD138" s="346">
        <f t="shared" si="77"/>
        <v>0</v>
      </c>
      <c r="AE138" s="346">
        <f t="shared" si="71"/>
        <v>0</v>
      </c>
      <c r="AF138" s="346">
        <f t="shared" si="65"/>
        <v>3866.84</v>
      </c>
      <c r="AG138" s="346">
        <f t="shared" si="66"/>
        <v>0</v>
      </c>
      <c r="AH138" s="346">
        <f t="shared" si="67"/>
        <v>0</v>
      </c>
      <c r="AI138" s="346">
        <f t="shared" si="68"/>
        <v>0</v>
      </c>
      <c r="AJ138" s="346">
        <f t="shared" si="69"/>
        <v>0</v>
      </c>
      <c r="AK138" s="346">
        <f t="shared" si="52"/>
        <v>0</v>
      </c>
      <c r="AL138" s="346">
        <f t="shared" si="70"/>
        <v>0</v>
      </c>
      <c r="AM138" s="445">
        <f t="shared" si="53"/>
        <v>3866.84</v>
      </c>
      <c r="AN138" s="446">
        <f t="shared" si="54"/>
        <v>5.4999999997562554E-3</v>
      </c>
    </row>
    <row r="139" spans="2:40" s="167" customFormat="1" ht="56.25" x14ac:dyDescent="0.25">
      <c r="B139" s="384" t="s">
        <v>372</v>
      </c>
      <c r="C139" s="385">
        <v>91784</v>
      </c>
      <c r="D139" s="386" t="s">
        <v>374</v>
      </c>
      <c r="E139" s="277" t="s">
        <v>37</v>
      </c>
      <c r="F139" s="245">
        <v>40.17</v>
      </c>
      <c r="G139" s="387">
        <v>62.17</v>
      </c>
      <c r="H139" s="443"/>
      <c r="I139" s="444"/>
      <c r="J139" s="443"/>
      <c r="K139" s="444"/>
      <c r="L139" s="444"/>
      <c r="M139" s="444"/>
      <c r="N139" s="444"/>
      <c r="O139" s="444">
        <v>62.17</v>
      </c>
      <c r="P139" s="444"/>
      <c r="Q139" s="444"/>
      <c r="R139" s="444">
        <v>0</v>
      </c>
      <c r="S139" s="444">
        <v>0</v>
      </c>
      <c r="T139" s="444">
        <v>0</v>
      </c>
      <c r="U139" s="444">
        <f>VLOOKUP(B139,'MEMÓRIA MEDIÇÃO 14'!$A$8:$F$202,6,FALSE)</f>
        <v>0</v>
      </c>
      <c r="V139" s="387">
        <f t="shared" si="50"/>
        <v>62.17</v>
      </c>
      <c r="W139" s="387">
        <f t="shared" si="78"/>
        <v>0</v>
      </c>
      <c r="X139" s="387">
        <f t="shared" si="79"/>
        <v>2497.3689000000004</v>
      </c>
      <c r="Y139" s="346">
        <f t="shared" si="61"/>
        <v>0</v>
      </c>
      <c r="Z139" s="346">
        <f t="shared" si="62"/>
        <v>0</v>
      </c>
      <c r="AA139" s="346">
        <f t="shared" si="74"/>
        <v>0</v>
      </c>
      <c r="AB139" s="346">
        <f t="shared" si="63"/>
        <v>0</v>
      </c>
      <c r="AC139" s="346">
        <f t="shared" si="64"/>
        <v>0</v>
      </c>
      <c r="AD139" s="346">
        <f t="shared" si="77"/>
        <v>0</v>
      </c>
      <c r="AE139" s="346">
        <f t="shared" si="71"/>
        <v>0</v>
      </c>
      <c r="AF139" s="346">
        <f t="shared" si="65"/>
        <v>2497.36</v>
      </c>
      <c r="AG139" s="346">
        <f t="shared" si="66"/>
        <v>0</v>
      </c>
      <c r="AH139" s="346">
        <f t="shared" si="67"/>
        <v>0</v>
      </c>
      <c r="AI139" s="346">
        <f t="shared" si="68"/>
        <v>0</v>
      </c>
      <c r="AJ139" s="346">
        <f t="shared" si="69"/>
        <v>0</v>
      </c>
      <c r="AK139" s="346">
        <f t="shared" si="52"/>
        <v>0</v>
      </c>
      <c r="AL139" s="346">
        <f t="shared" si="70"/>
        <v>0</v>
      </c>
      <c r="AM139" s="445">
        <f t="shared" si="53"/>
        <v>2497.36</v>
      </c>
      <c r="AN139" s="446">
        <f t="shared" si="54"/>
        <v>8.9000000002670276E-3</v>
      </c>
    </row>
    <row r="140" spans="2:40" s="167" customFormat="1" ht="56.25" x14ac:dyDescent="0.25">
      <c r="B140" s="384" t="s">
        <v>375</v>
      </c>
      <c r="C140" s="385">
        <v>91786</v>
      </c>
      <c r="D140" s="386" t="s">
        <v>377</v>
      </c>
      <c r="E140" s="277" t="s">
        <v>37</v>
      </c>
      <c r="F140" s="245">
        <v>30.41</v>
      </c>
      <c r="G140" s="387">
        <v>24.75</v>
      </c>
      <c r="H140" s="443"/>
      <c r="I140" s="444"/>
      <c r="J140" s="443"/>
      <c r="K140" s="444"/>
      <c r="L140" s="444"/>
      <c r="M140" s="444"/>
      <c r="N140" s="444"/>
      <c r="O140" s="444"/>
      <c r="P140" s="444"/>
      <c r="Q140" s="444"/>
      <c r="R140" s="444">
        <v>24.75</v>
      </c>
      <c r="S140" s="444">
        <v>0</v>
      </c>
      <c r="T140" s="444">
        <v>0</v>
      </c>
      <c r="U140" s="444">
        <f>VLOOKUP(B140,'MEMÓRIA MEDIÇÃO 14'!$A$8:$F$202,6,FALSE)</f>
        <v>0</v>
      </c>
      <c r="V140" s="387">
        <f t="shared" si="50"/>
        <v>24.75</v>
      </c>
      <c r="W140" s="387">
        <f t="shared" si="78"/>
        <v>0</v>
      </c>
      <c r="X140" s="387">
        <f t="shared" si="79"/>
        <v>752.64750000000004</v>
      </c>
      <c r="Y140" s="346">
        <f t="shared" si="61"/>
        <v>0</v>
      </c>
      <c r="Z140" s="346">
        <f t="shared" si="62"/>
        <v>0</v>
      </c>
      <c r="AA140" s="346">
        <f t="shared" si="74"/>
        <v>0</v>
      </c>
      <c r="AB140" s="346">
        <f t="shared" si="63"/>
        <v>0</v>
      </c>
      <c r="AC140" s="346">
        <f t="shared" si="64"/>
        <v>0</v>
      </c>
      <c r="AD140" s="346">
        <f t="shared" si="77"/>
        <v>0</v>
      </c>
      <c r="AE140" s="346">
        <f t="shared" si="71"/>
        <v>0</v>
      </c>
      <c r="AF140" s="346">
        <f t="shared" si="65"/>
        <v>0</v>
      </c>
      <c r="AG140" s="346">
        <f t="shared" si="66"/>
        <v>0</v>
      </c>
      <c r="AH140" s="346">
        <f t="shared" si="67"/>
        <v>0</v>
      </c>
      <c r="AI140" s="346">
        <f t="shared" si="68"/>
        <v>752.65</v>
      </c>
      <c r="AJ140" s="346">
        <f t="shared" si="69"/>
        <v>0</v>
      </c>
      <c r="AK140" s="346">
        <f t="shared" si="52"/>
        <v>0</v>
      </c>
      <c r="AL140" s="346">
        <f t="shared" si="70"/>
        <v>0</v>
      </c>
      <c r="AM140" s="445">
        <f t="shared" si="53"/>
        <v>752.65</v>
      </c>
      <c r="AN140" s="446">
        <f t="shared" si="54"/>
        <v>-2.4999999999408828E-3</v>
      </c>
    </row>
    <row r="141" spans="2:40" s="167" customFormat="1" ht="45" x14ac:dyDescent="0.25">
      <c r="B141" s="384" t="s">
        <v>378</v>
      </c>
      <c r="C141" s="385">
        <v>91787</v>
      </c>
      <c r="D141" s="386" t="s">
        <v>380</v>
      </c>
      <c r="E141" s="277" t="s">
        <v>37</v>
      </c>
      <c r="F141" s="245">
        <v>36.86</v>
      </c>
      <c r="G141" s="387">
        <v>25.92</v>
      </c>
      <c r="H141" s="443"/>
      <c r="I141" s="444"/>
      <c r="J141" s="443"/>
      <c r="K141" s="444"/>
      <c r="L141" s="444"/>
      <c r="M141" s="444"/>
      <c r="N141" s="444"/>
      <c r="O141" s="444"/>
      <c r="P141" s="444"/>
      <c r="Q141" s="444"/>
      <c r="R141" s="444">
        <v>25.92</v>
      </c>
      <c r="S141" s="444">
        <v>0</v>
      </c>
      <c r="T141" s="444">
        <v>0</v>
      </c>
      <c r="U141" s="444">
        <f>VLOOKUP(B141,'MEMÓRIA MEDIÇÃO 14'!$A$8:$F$202,6,FALSE)</f>
        <v>0</v>
      </c>
      <c r="V141" s="387">
        <f t="shared" si="50"/>
        <v>25.92</v>
      </c>
      <c r="W141" s="387">
        <f t="shared" si="78"/>
        <v>0</v>
      </c>
      <c r="X141" s="387">
        <f t="shared" si="79"/>
        <v>955.41120000000001</v>
      </c>
      <c r="Y141" s="346">
        <f t="shared" si="61"/>
        <v>0</v>
      </c>
      <c r="Z141" s="346">
        <f t="shared" si="62"/>
        <v>0</v>
      </c>
      <c r="AA141" s="346">
        <f t="shared" si="74"/>
        <v>0</v>
      </c>
      <c r="AB141" s="346">
        <f t="shared" si="63"/>
        <v>0</v>
      </c>
      <c r="AC141" s="346">
        <f t="shared" si="64"/>
        <v>0</v>
      </c>
      <c r="AD141" s="346">
        <f t="shared" si="77"/>
        <v>0</v>
      </c>
      <c r="AE141" s="346">
        <f t="shared" si="71"/>
        <v>0</v>
      </c>
      <c r="AF141" s="346">
        <f t="shared" si="65"/>
        <v>0</v>
      </c>
      <c r="AG141" s="346">
        <f t="shared" si="66"/>
        <v>0</v>
      </c>
      <c r="AH141" s="346">
        <f t="shared" si="67"/>
        <v>0</v>
      </c>
      <c r="AI141" s="346">
        <f t="shared" si="68"/>
        <v>955.41</v>
      </c>
      <c r="AJ141" s="346">
        <f t="shared" si="69"/>
        <v>0</v>
      </c>
      <c r="AK141" s="346">
        <f t="shared" si="52"/>
        <v>0</v>
      </c>
      <c r="AL141" s="346">
        <f t="shared" si="70"/>
        <v>0</v>
      </c>
      <c r="AM141" s="445">
        <f t="shared" si="53"/>
        <v>955.41</v>
      </c>
      <c r="AN141" s="446">
        <f t="shared" si="54"/>
        <v>1.2000000000398359E-3</v>
      </c>
    </row>
    <row r="142" spans="2:40" s="167" customFormat="1" ht="33.75" x14ac:dyDescent="0.25">
      <c r="B142" s="384" t="s">
        <v>381</v>
      </c>
      <c r="C142" s="385">
        <v>89987</v>
      </c>
      <c r="D142" s="386" t="s">
        <v>383</v>
      </c>
      <c r="E142" s="277" t="s">
        <v>166</v>
      </c>
      <c r="F142" s="245">
        <v>102.73</v>
      </c>
      <c r="G142" s="387">
        <v>10</v>
      </c>
      <c r="H142" s="443"/>
      <c r="I142" s="444"/>
      <c r="J142" s="443"/>
      <c r="K142" s="444"/>
      <c r="L142" s="444"/>
      <c r="M142" s="444"/>
      <c r="N142" s="444"/>
      <c r="O142" s="444"/>
      <c r="P142" s="444"/>
      <c r="Q142" s="444"/>
      <c r="R142" s="444">
        <v>10</v>
      </c>
      <c r="S142" s="444">
        <v>0</v>
      </c>
      <c r="T142" s="444">
        <v>0</v>
      </c>
      <c r="U142" s="444">
        <f>VLOOKUP(B142,'MEMÓRIA MEDIÇÃO 14'!$A$8:$F$202,6,FALSE)</f>
        <v>0</v>
      </c>
      <c r="V142" s="387">
        <f t="shared" si="50"/>
        <v>10</v>
      </c>
      <c r="W142" s="387">
        <f t="shared" si="78"/>
        <v>0</v>
      </c>
      <c r="X142" s="387">
        <f t="shared" si="79"/>
        <v>1027.3</v>
      </c>
      <c r="Y142" s="346">
        <f t="shared" ref="Y142:Y173" si="80">F142*H142</f>
        <v>0</v>
      </c>
      <c r="Z142" s="346">
        <f t="shared" ref="Z142:Z173" si="81">F142*I142</f>
        <v>0</v>
      </c>
      <c r="AA142" s="346">
        <f t="shared" si="74"/>
        <v>0</v>
      </c>
      <c r="AB142" s="346">
        <f t="shared" ref="AB142:AB173" si="82">TRUNC(F142*K142,2)</f>
        <v>0</v>
      </c>
      <c r="AC142" s="346">
        <f t="shared" ref="AC142:AC173" si="83">TRUNC(F142*L142,2)</f>
        <v>0</v>
      </c>
      <c r="AD142" s="346">
        <f t="shared" si="77"/>
        <v>0</v>
      </c>
      <c r="AE142" s="346">
        <f t="shared" si="71"/>
        <v>0</v>
      </c>
      <c r="AF142" s="346">
        <f t="shared" ref="AF142:AF173" si="84">TRUNC(F142*O142,2)</f>
        <v>0</v>
      </c>
      <c r="AG142" s="346">
        <f t="shared" ref="AG142:AG173" si="85">TRUNC(F142*P142,2)</f>
        <v>0</v>
      </c>
      <c r="AH142" s="346">
        <f t="shared" ref="AH142:AH173" si="86">TRUNC(F142*Q142,2)</f>
        <v>0</v>
      </c>
      <c r="AI142" s="346">
        <f t="shared" ref="AI142:AI173" si="87">ROUND(R142*F142,2)</f>
        <v>1027.3</v>
      </c>
      <c r="AJ142" s="346">
        <f t="shared" ref="AJ142:AJ173" si="88">ROUND(S142*F142,2)</f>
        <v>0</v>
      </c>
      <c r="AK142" s="346">
        <f t="shared" si="52"/>
        <v>0</v>
      </c>
      <c r="AL142" s="346">
        <f t="shared" ref="AL142:AL173" si="89">ROUND(U142*F142,2)</f>
        <v>0</v>
      </c>
      <c r="AM142" s="445">
        <f t="shared" si="53"/>
        <v>1027.3</v>
      </c>
      <c r="AN142" s="446">
        <f t="shared" si="54"/>
        <v>0</v>
      </c>
    </row>
    <row r="143" spans="2:40" s="167" customFormat="1" ht="22.5" x14ac:dyDescent="0.25">
      <c r="B143" s="384" t="s">
        <v>384</v>
      </c>
      <c r="C143" s="385">
        <v>94490</v>
      </c>
      <c r="D143" s="386" t="s">
        <v>386</v>
      </c>
      <c r="E143" s="277" t="s">
        <v>166</v>
      </c>
      <c r="F143" s="245">
        <v>29.96</v>
      </c>
      <c r="G143" s="387">
        <v>2</v>
      </c>
      <c r="H143" s="443"/>
      <c r="I143" s="444"/>
      <c r="J143" s="443"/>
      <c r="K143" s="444"/>
      <c r="L143" s="444"/>
      <c r="M143" s="444"/>
      <c r="N143" s="444"/>
      <c r="O143" s="444"/>
      <c r="P143" s="444"/>
      <c r="Q143" s="444"/>
      <c r="R143" s="444">
        <v>0</v>
      </c>
      <c r="S143" s="444">
        <v>0</v>
      </c>
      <c r="T143" s="444">
        <v>0</v>
      </c>
      <c r="U143" s="444">
        <f>VLOOKUP(B143,'MEMÓRIA MEDIÇÃO 14'!$A$8:$F$202,6,FALSE)</f>
        <v>0</v>
      </c>
      <c r="V143" s="387">
        <f t="shared" ref="V143:V206" si="90">H143+I143+J143+K143+L143+M143+N143+O143+P143+Q143+R143+S143+T143+U143</f>
        <v>0</v>
      </c>
      <c r="W143" s="387">
        <f t="shared" si="78"/>
        <v>2</v>
      </c>
      <c r="X143" s="387">
        <f t="shared" si="79"/>
        <v>59.92</v>
      </c>
      <c r="Y143" s="346">
        <f t="shared" si="80"/>
        <v>0</v>
      </c>
      <c r="Z143" s="346">
        <f t="shared" si="81"/>
        <v>0</v>
      </c>
      <c r="AA143" s="346">
        <f t="shared" si="74"/>
        <v>0</v>
      </c>
      <c r="AB143" s="346">
        <f t="shared" si="82"/>
        <v>0</v>
      </c>
      <c r="AC143" s="346">
        <f t="shared" si="83"/>
        <v>0</v>
      </c>
      <c r="AD143" s="346">
        <f t="shared" si="77"/>
        <v>0</v>
      </c>
      <c r="AE143" s="346">
        <f t="shared" ref="AE143:AE174" si="91">F143*N143</f>
        <v>0</v>
      </c>
      <c r="AF143" s="346">
        <f t="shared" si="84"/>
        <v>0</v>
      </c>
      <c r="AG143" s="346">
        <f t="shared" si="85"/>
        <v>0</v>
      </c>
      <c r="AH143" s="346">
        <f t="shared" si="86"/>
        <v>0</v>
      </c>
      <c r="AI143" s="346">
        <f t="shared" si="87"/>
        <v>0</v>
      </c>
      <c r="AJ143" s="346">
        <f t="shared" si="88"/>
        <v>0</v>
      </c>
      <c r="AK143" s="346">
        <f t="shared" ref="AK143:AK206" si="92">ROUND(T143*F143,2)</f>
        <v>0</v>
      </c>
      <c r="AL143" s="346">
        <f t="shared" si="89"/>
        <v>0</v>
      </c>
      <c r="AM143" s="445">
        <f t="shared" ref="AM143:AM206" si="93">Y143+Z143+AA143+AB143+AC143+AD143+AE143+AF143+AG143+AH143+AI143+AJ143+AK143+AL143</f>
        <v>0</v>
      </c>
      <c r="AN143" s="446">
        <f t="shared" ref="AN143:AN195" si="94">X143-AM143</f>
        <v>59.92</v>
      </c>
    </row>
    <row r="144" spans="2:40" s="167" customFormat="1" ht="33.75" x14ac:dyDescent="0.25">
      <c r="B144" s="384" t="s">
        <v>387</v>
      </c>
      <c r="C144" s="385">
        <v>89985</v>
      </c>
      <c r="D144" s="386" t="s">
        <v>389</v>
      </c>
      <c r="E144" s="277" t="s">
        <v>166</v>
      </c>
      <c r="F144" s="245">
        <v>97.38</v>
      </c>
      <c r="G144" s="387">
        <v>6</v>
      </c>
      <c r="H144" s="443"/>
      <c r="I144" s="444"/>
      <c r="J144" s="443"/>
      <c r="K144" s="444"/>
      <c r="L144" s="444"/>
      <c r="M144" s="444"/>
      <c r="N144" s="387"/>
      <c r="O144" s="387"/>
      <c r="P144" s="444"/>
      <c r="Q144" s="444"/>
      <c r="R144" s="444">
        <v>6</v>
      </c>
      <c r="S144" s="444">
        <v>0</v>
      </c>
      <c r="T144" s="444">
        <v>0</v>
      </c>
      <c r="U144" s="444">
        <f>VLOOKUP(B144,'MEMÓRIA MEDIÇÃO 14'!$A$8:$F$202,6,FALSE)</f>
        <v>0</v>
      </c>
      <c r="V144" s="387">
        <f t="shared" si="90"/>
        <v>6</v>
      </c>
      <c r="W144" s="387">
        <f t="shared" si="78"/>
        <v>0</v>
      </c>
      <c r="X144" s="387">
        <f t="shared" si="79"/>
        <v>584.28</v>
      </c>
      <c r="Y144" s="346">
        <f t="shared" si="80"/>
        <v>0</v>
      </c>
      <c r="Z144" s="346">
        <f t="shared" si="81"/>
        <v>0</v>
      </c>
      <c r="AA144" s="346">
        <f t="shared" si="74"/>
        <v>0</v>
      </c>
      <c r="AB144" s="346">
        <f t="shared" si="82"/>
        <v>0</v>
      </c>
      <c r="AC144" s="346">
        <f t="shared" si="83"/>
        <v>0</v>
      </c>
      <c r="AD144" s="346">
        <f t="shared" si="77"/>
        <v>0</v>
      </c>
      <c r="AE144" s="346">
        <f t="shared" si="91"/>
        <v>0</v>
      </c>
      <c r="AF144" s="346">
        <f t="shared" si="84"/>
        <v>0</v>
      </c>
      <c r="AG144" s="346">
        <f t="shared" si="85"/>
        <v>0</v>
      </c>
      <c r="AH144" s="346">
        <f t="shared" si="86"/>
        <v>0</v>
      </c>
      <c r="AI144" s="346">
        <f t="shared" si="87"/>
        <v>584.28</v>
      </c>
      <c r="AJ144" s="346">
        <f t="shared" si="88"/>
        <v>0</v>
      </c>
      <c r="AK144" s="346">
        <f t="shared" si="92"/>
        <v>0</v>
      </c>
      <c r="AL144" s="346">
        <f t="shared" si="89"/>
        <v>0</v>
      </c>
      <c r="AM144" s="445">
        <f t="shared" si="93"/>
        <v>584.28</v>
      </c>
      <c r="AN144" s="446">
        <f t="shared" si="94"/>
        <v>0</v>
      </c>
    </row>
    <row r="145" spans="2:40" s="167" customFormat="1" ht="33.75" x14ac:dyDescent="0.25">
      <c r="B145" s="384" t="s">
        <v>390</v>
      </c>
      <c r="C145" s="385">
        <v>102613</v>
      </c>
      <c r="D145" s="386" t="s">
        <v>392</v>
      </c>
      <c r="E145" s="277" t="s">
        <v>166</v>
      </c>
      <c r="F145" s="245">
        <v>742.5</v>
      </c>
      <c r="G145" s="387">
        <v>2</v>
      </c>
      <c r="H145" s="443"/>
      <c r="I145" s="444"/>
      <c r="J145" s="443"/>
      <c r="K145" s="444"/>
      <c r="L145" s="444"/>
      <c r="M145" s="444"/>
      <c r="N145" s="387"/>
      <c r="O145" s="387"/>
      <c r="P145" s="444"/>
      <c r="Q145" s="444"/>
      <c r="R145" s="444">
        <v>2</v>
      </c>
      <c r="S145" s="444">
        <v>0</v>
      </c>
      <c r="T145" s="444">
        <v>0</v>
      </c>
      <c r="U145" s="444">
        <f>VLOOKUP(B145,'MEMÓRIA MEDIÇÃO 14'!$A$8:$F$202,6,FALSE)</f>
        <v>0</v>
      </c>
      <c r="V145" s="387">
        <f t="shared" si="90"/>
        <v>2</v>
      </c>
      <c r="W145" s="387">
        <f t="shared" si="78"/>
        <v>0</v>
      </c>
      <c r="X145" s="387">
        <f t="shared" si="79"/>
        <v>1485</v>
      </c>
      <c r="Y145" s="346">
        <f t="shared" si="80"/>
        <v>0</v>
      </c>
      <c r="Z145" s="346">
        <f t="shared" si="81"/>
        <v>0</v>
      </c>
      <c r="AA145" s="346">
        <f t="shared" si="74"/>
        <v>0</v>
      </c>
      <c r="AB145" s="346">
        <f t="shared" si="82"/>
        <v>0</v>
      </c>
      <c r="AC145" s="346">
        <f t="shared" si="83"/>
        <v>0</v>
      </c>
      <c r="AD145" s="346">
        <f t="shared" si="77"/>
        <v>0</v>
      </c>
      <c r="AE145" s="346">
        <f t="shared" si="91"/>
        <v>0</v>
      </c>
      <c r="AF145" s="346">
        <f t="shared" si="84"/>
        <v>0</v>
      </c>
      <c r="AG145" s="346">
        <f t="shared" si="85"/>
        <v>0</v>
      </c>
      <c r="AH145" s="346">
        <f t="shared" si="86"/>
        <v>0</v>
      </c>
      <c r="AI145" s="346">
        <f t="shared" si="87"/>
        <v>1485</v>
      </c>
      <c r="AJ145" s="346">
        <f t="shared" si="88"/>
        <v>0</v>
      </c>
      <c r="AK145" s="346">
        <f t="shared" si="92"/>
        <v>0</v>
      </c>
      <c r="AL145" s="346">
        <f t="shared" si="89"/>
        <v>0</v>
      </c>
      <c r="AM145" s="445">
        <f t="shared" si="93"/>
        <v>1485</v>
      </c>
      <c r="AN145" s="446">
        <f t="shared" si="94"/>
        <v>0</v>
      </c>
    </row>
    <row r="146" spans="2:40" s="167" customFormat="1" ht="22.5" x14ac:dyDescent="0.25">
      <c r="B146" s="384" t="s">
        <v>393</v>
      </c>
      <c r="C146" s="385">
        <v>102609</v>
      </c>
      <c r="D146" s="386" t="s">
        <v>395</v>
      </c>
      <c r="E146" s="277" t="s">
        <v>166</v>
      </c>
      <c r="F146" s="245">
        <v>1379.9</v>
      </c>
      <c r="G146" s="387">
        <v>2</v>
      </c>
      <c r="H146" s="443"/>
      <c r="I146" s="444"/>
      <c r="J146" s="443"/>
      <c r="K146" s="444"/>
      <c r="L146" s="444"/>
      <c r="M146" s="444"/>
      <c r="N146" s="387"/>
      <c r="O146" s="387"/>
      <c r="P146" s="444"/>
      <c r="Q146" s="444"/>
      <c r="R146" s="444">
        <v>2</v>
      </c>
      <c r="S146" s="444">
        <v>0</v>
      </c>
      <c r="T146" s="444">
        <v>0</v>
      </c>
      <c r="U146" s="444">
        <f>VLOOKUP(B146,'MEMÓRIA MEDIÇÃO 14'!$A$8:$F$202,6,FALSE)</f>
        <v>0</v>
      </c>
      <c r="V146" s="387">
        <f t="shared" si="90"/>
        <v>2</v>
      </c>
      <c r="W146" s="387">
        <f t="shared" si="78"/>
        <v>0</v>
      </c>
      <c r="X146" s="387">
        <f t="shared" si="79"/>
        <v>2759.8</v>
      </c>
      <c r="Y146" s="346">
        <f t="shared" si="80"/>
        <v>0</v>
      </c>
      <c r="Z146" s="346">
        <f t="shared" si="81"/>
        <v>0</v>
      </c>
      <c r="AA146" s="346">
        <f t="shared" si="74"/>
        <v>0</v>
      </c>
      <c r="AB146" s="346">
        <f t="shared" si="82"/>
        <v>0</v>
      </c>
      <c r="AC146" s="346">
        <f t="shared" si="83"/>
        <v>0</v>
      </c>
      <c r="AD146" s="346">
        <f t="shared" si="77"/>
        <v>0</v>
      </c>
      <c r="AE146" s="346">
        <f t="shared" si="91"/>
        <v>0</v>
      </c>
      <c r="AF146" s="346">
        <f t="shared" si="84"/>
        <v>0</v>
      </c>
      <c r="AG146" s="346">
        <f t="shared" si="85"/>
        <v>0</v>
      </c>
      <c r="AH146" s="346">
        <f t="shared" si="86"/>
        <v>0</v>
      </c>
      <c r="AI146" s="346">
        <f t="shared" si="87"/>
        <v>2759.8</v>
      </c>
      <c r="AJ146" s="346">
        <f t="shared" si="88"/>
        <v>0</v>
      </c>
      <c r="AK146" s="346">
        <f t="shared" si="92"/>
        <v>0</v>
      </c>
      <c r="AL146" s="346">
        <f t="shared" si="89"/>
        <v>0</v>
      </c>
      <c r="AM146" s="445">
        <f t="shared" si="93"/>
        <v>2759.8</v>
      </c>
      <c r="AN146" s="446">
        <f t="shared" si="94"/>
        <v>0</v>
      </c>
    </row>
    <row r="147" spans="2:40" s="167" customFormat="1" ht="22.5" x14ac:dyDescent="0.25">
      <c r="B147" s="384" t="s">
        <v>396</v>
      </c>
      <c r="C147" s="385">
        <v>94796</v>
      </c>
      <c r="D147" s="386" t="s">
        <v>398</v>
      </c>
      <c r="E147" s="277" t="s">
        <v>166</v>
      </c>
      <c r="F147" s="245">
        <v>47</v>
      </c>
      <c r="G147" s="387">
        <v>4</v>
      </c>
      <c r="H147" s="443"/>
      <c r="I147" s="444"/>
      <c r="J147" s="443"/>
      <c r="K147" s="444"/>
      <c r="L147" s="444"/>
      <c r="M147" s="444"/>
      <c r="N147" s="387"/>
      <c r="O147" s="387"/>
      <c r="P147" s="444"/>
      <c r="Q147" s="444"/>
      <c r="R147" s="444">
        <v>0</v>
      </c>
      <c r="S147" s="444">
        <v>0</v>
      </c>
      <c r="T147" s="444">
        <v>0</v>
      </c>
      <c r="U147" s="444">
        <f>VLOOKUP(B147,'MEMÓRIA MEDIÇÃO 14'!$A$8:$F$202,6,FALSE)</f>
        <v>0</v>
      </c>
      <c r="V147" s="387">
        <f t="shared" si="90"/>
        <v>0</v>
      </c>
      <c r="W147" s="387">
        <f t="shared" si="78"/>
        <v>4</v>
      </c>
      <c r="X147" s="387">
        <f t="shared" si="79"/>
        <v>188</v>
      </c>
      <c r="Y147" s="346">
        <f t="shared" si="80"/>
        <v>0</v>
      </c>
      <c r="Z147" s="346">
        <f t="shared" si="81"/>
        <v>0</v>
      </c>
      <c r="AA147" s="346">
        <f t="shared" si="74"/>
        <v>0</v>
      </c>
      <c r="AB147" s="346">
        <f t="shared" si="82"/>
        <v>0</v>
      </c>
      <c r="AC147" s="346">
        <f t="shared" si="83"/>
        <v>0</v>
      </c>
      <c r="AD147" s="346">
        <f t="shared" si="77"/>
        <v>0</v>
      </c>
      <c r="AE147" s="346">
        <f t="shared" si="91"/>
        <v>0</v>
      </c>
      <c r="AF147" s="346">
        <f t="shared" si="84"/>
        <v>0</v>
      </c>
      <c r="AG147" s="346">
        <f t="shared" si="85"/>
        <v>0</v>
      </c>
      <c r="AH147" s="346">
        <f t="shared" si="86"/>
        <v>0</v>
      </c>
      <c r="AI147" s="346">
        <f t="shared" si="87"/>
        <v>0</v>
      </c>
      <c r="AJ147" s="346">
        <f t="shared" si="88"/>
        <v>0</v>
      </c>
      <c r="AK147" s="346">
        <f t="shared" si="92"/>
        <v>0</v>
      </c>
      <c r="AL147" s="346">
        <f t="shared" si="89"/>
        <v>0</v>
      </c>
      <c r="AM147" s="445">
        <f t="shared" si="93"/>
        <v>0</v>
      </c>
      <c r="AN147" s="446">
        <f t="shared" si="94"/>
        <v>188</v>
      </c>
    </row>
    <row r="148" spans="2:40" s="167" customFormat="1" ht="22.5" x14ac:dyDescent="0.25">
      <c r="B148" s="384" t="s">
        <v>399</v>
      </c>
      <c r="C148" s="385">
        <v>94491</v>
      </c>
      <c r="D148" s="386" t="s">
        <v>401</v>
      </c>
      <c r="E148" s="277" t="s">
        <v>166</v>
      </c>
      <c r="F148" s="245">
        <v>40.99</v>
      </c>
      <c r="G148" s="387">
        <v>4</v>
      </c>
      <c r="H148" s="443"/>
      <c r="I148" s="444"/>
      <c r="J148" s="443"/>
      <c r="K148" s="444"/>
      <c r="L148" s="444"/>
      <c r="M148" s="444"/>
      <c r="N148" s="387"/>
      <c r="O148" s="387"/>
      <c r="P148" s="444"/>
      <c r="Q148" s="444"/>
      <c r="R148" s="444">
        <v>0</v>
      </c>
      <c r="S148" s="444">
        <v>0</v>
      </c>
      <c r="T148" s="444">
        <v>0</v>
      </c>
      <c r="U148" s="444">
        <f>VLOOKUP(B148,'MEMÓRIA MEDIÇÃO 14'!$A$8:$F$202,6,FALSE)</f>
        <v>0</v>
      </c>
      <c r="V148" s="387">
        <f t="shared" si="90"/>
        <v>0</v>
      </c>
      <c r="W148" s="387">
        <f t="shared" si="78"/>
        <v>4</v>
      </c>
      <c r="X148" s="387">
        <f t="shared" si="79"/>
        <v>163.96</v>
      </c>
      <c r="Y148" s="346">
        <f t="shared" si="80"/>
        <v>0</v>
      </c>
      <c r="Z148" s="346">
        <f t="shared" si="81"/>
        <v>0</v>
      </c>
      <c r="AA148" s="346">
        <f t="shared" si="74"/>
        <v>0</v>
      </c>
      <c r="AB148" s="346">
        <f t="shared" si="82"/>
        <v>0</v>
      </c>
      <c r="AC148" s="346">
        <f t="shared" si="83"/>
        <v>0</v>
      </c>
      <c r="AD148" s="346">
        <f t="shared" si="77"/>
        <v>0</v>
      </c>
      <c r="AE148" s="346">
        <f t="shared" si="91"/>
        <v>0</v>
      </c>
      <c r="AF148" s="346">
        <f t="shared" si="84"/>
        <v>0</v>
      </c>
      <c r="AG148" s="346">
        <f t="shared" si="85"/>
        <v>0</v>
      </c>
      <c r="AH148" s="346">
        <f t="shared" si="86"/>
        <v>0</v>
      </c>
      <c r="AI148" s="346">
        <f t="shared" si="87"/>
        <v>0</v>
      </c>
      <c r="AJ148" s="346">
        <f t="shared" si="88"/>
        <v>0</v>
      </c>
      <c r="AK148" s="346">
        <f t="shared" si="92"/>
        <v>0</v>
      </c>
      <c r="AL148" s="346">
        <f t="shared" si="89"/>
        <v>0</v>
      </c>
      <c r="AM148" s="445">
        <f t="shared" si="93"/>
        <v>0</v>
      </c>
      <c r="AN148" s="446">
        <f t="shared" si="94"/>
        <v>163.96</v>
      </c>
    </row>
    <row r="149" spans="2:40" s="167" customFormat="1" ht="22.5" x14ac:dyDescent="0.25">
      <c r="B149" s="384" t="s">
        <v>402</v>
      </c>
      <c r="C149" s="385">
        <v>94492</v>
      </c>
      <c r="D149" s="386" t="s">
        <v>404</v>
      </c>
      <c r="E149" s="277" t="s">
        <v>166</v>
      </c>
      <c r="F149" s="245">
        <v>42.12</v>
      </c>
      <c r="G149" s="387">
        <v>2</v>
      </c>
      <c r="H149" s="443"/>
      <c r="I149" s="444"/>
      <c r="J149" s="443"/>
      <c r="K149" s="444"/>
      <c r="L149" s="444"/>
      <c r="M149" s="444"/>
      <c r="N149" s="387"/>
      <c r="O149" s="387"/>
      <c r="P149" s="444"/>
      <c r="Q149" s="444"/>
      <c r="R149" s="444">
        <v>0</v>
      </c>
      <c r="S149" s="444">
        <v>0</v>
      </c>
      <c r="T149" s="444">
        <v>0</v>
      </c>
      <c r="U149" s="444">
        <f>VLOOKUP(B149,'MEMÓRIA MEDIÇÃO 14'!$A$8:$F$202,6,FALSE)</f>
        <v>0</v>
      </c>
      <c r="V149" s="387">
        <f t="shared" si="90"/>
        <v>0</v>
      </c>
      <c r="W149" s="387">
        <f t="shared" si="78"/>
        <v>2</v>
      </c>
      <c r="X149" s="387">
        <f t="shared" si="79"/>
        <v>84.24</v>
      </c>
      <c r="Y149" s="346">
        <f t="shared" si="80"/>
        <v>0</v>
      </c>
      <c r="Z149" s="346">
        <f t="shared" si="81"/>
        <v>0</v>
      </c>
      <c r="AA149" s="346">
        <f t="shared" si="74"/>
        <v>0</v>
      </c>
      <c r="AB149" s="346">
        <f t="shared" si="82"/>
        <v>0</v>
      </c>
      <c r="AC149" s="346">
        <f t="shared" si="83"/>
        <v>0</v>
      </c>
      <c r="AD149" s="346">
        <f t="shared" si="77"/>
        <v>0</v>
      </c>
      <c r="AE149" s="346">
        <f t="shared" si="91"/>
        <v>0</v>
      </c>
      <c r="AF149" s="346">
        <f t="shared" si="84"/>
        <v>0</v>
      </c>
      <c r="AG149" s="346">
        <f t="shared" si="85"/>
        <v>0</v>
      </c>
      <c r="AH149" s="346">
        <f t="shared" si="86"/>
        <v>0</v>
      </c>
      <c r="AI149" s="346">
        <f t="shared" si="87"/>
        <v>0</v>
      </c>
      <c r="AJ149" s="346">
        <f t="shared" si="88"/>
        <v>0</v>
      </c>
      <c r="AK149" s="346">
        <f t="shared" si="92"/>
        <v>0</v>
      </c>
      <c r="AL149" s="346">
        <f t="shared" si="89"/>
        <v>0</v>
      </c>
      <c r="AM149" s="445">
        <f t="shared" si="93"/>
        <v>0</v>
      </c>
      <c r="AN149" s="446">
        <f t="shared" si="94"/>
        <v>84.24</v>
      </c>
    </row>
    <row r="150" spans="2:40" s="167" customFormat="1" ht="22.5" x14ac:dyDescent="0.25">
      <c r="B150" s="384" t="s">
        <v>405</v>
      </c>
      <c r="C150" s="385">
        <v>95675</v>
      </c>
      <c r="D150" s="386" t="s">
        <v>407</v>
      </c>
      <c r="E150" s="277" t="s">
        <v>166</v>
      </c>
      <c r="F150" s="245">
        <v>147.76</v>
      </c>
      <c r="G150" s="387">
        <v>1</v>
      </c>
      <c r="H150" s="443"/>
      <c r="I150" s="444"/>
      <c r="J150" s="443"/>
      <c r="K150" s="444"/>
      <c r="L150" s="444"/>
      <c r="M150" s="444"/>
      <c r="N150" s="387"/>
      <c r="O150" s="387"/>
      <c r="P150" s="444"/>
      <c r="Q150" s="444"/>
      <c r="R150" s="444">
        <v>0</v>
      </c>
      <c r="S150" s="444">
        <v>0</v>
      </c>
      <c r="T150" s="444">
        <v>0</v>
      </c>
      <c r="U150" s="444">
        <f>VLOOKUP(B150,'MEMÓRIA MEDIÇÃO 14'!$A$8:$F$202,6,FALSE)</f>
        <v>0</v>
      </c>
      <c r="V150" s="387">
        <f t="shared" si="90"/>
        <v>0</v>
      </c>
      <c r="W150" s="387">
        <f t="shared" si="78"/>
        <v>1</v>
      </c>
      <c r="X150" s="387">
        <f t="shared" si="79"/>
        <v>147.76</v>
      </c>
      <c r="Y150" s="346">
        <f t="shared" si="80"/>
        <v>0</v>
      </c>
      <c r="Z150" s="346">
        <f t="shared" si="81"/>
        <v>0</v>
      </c>
      <c r="AA150" s="346">
        <f t="shared" si="74"/>
        <v>0</v>
      </c>
      <c r="AB150" s="346">
        <f t="shared" si="82"/>
        <v>0</v>
      </c>
      <c r="AC150" s="346">
        <f t="shared" si="83"/>
        <v>0</v>
      </c>
      <c r="AD150" s="346">
        <f t="shared" si="77"/>
        <v>0</v>
      </c>
      <c r="AE150" s="346">
        <f t="shared" si="91"/>
        <v>0</v>
      </c>
      <c r="AF150" s="346">
        <f t="shared" si="84"/>
        <v>0</v>
      </c>
      <c r="AG150" s="346">
        <f t="shared" si="85"/>
        <v>0</v>
      </c>
      <c r="AH150" s="346">
        <f t="shared" si="86"/>
        <v>0</v>
      </c>
      <c r="AI150" s="346">
        <f t="shared" si="87"/>
        <v>0</v>
      </c>
      <c r="AJ150" s="346">
        <f t="shared" si="88"/>
        <v>0</v>
      </c>
      <c r="AK150" s="346">
        <f t="shared" si="92"/>
        <v>0</v>
      </c>
      <c r="AL150" s="346">
        <f t="shared" si="89"/>
        <v>0</v>
      </c>
      <c r="AM150" s="445">
        <f t="shared" si="93"/>
        <v>0</v>
      </c>
      <c r="AN150" s="446">
        <f t="shared" si="94"/>
        <v>147.76</v>
      </c>
    </row>
    <row r="151" spans="2:40" s="167" customFormat="1" ht="33.75" x14ac:dyDescent="0.25">
      <c r="B151" s="384" t="s">
        <v>408</v>
      </c>
      <c r="C151" s="385">
        <v>97902</v>
      </c>
      <c r="D151" s="386" t="s">
        <v>410</v>
      </c>
      <c r="E151" s="277" t="s">
        <v>166</v>
      </c>
      <c r="F151" s="245">
        <v>503.94</v>
      </c>
      <c r="G151" s="387">
        <v>7</v>
      </c>
      <c r="H151" s="443"/>
      <c r="I151" s="444"/>
      <c r="J151" s="443"/>
      <c r="K151" s="444"/>
      <c r="L151" s="444"/>
      <c r="M151" s="444"/>
      <c r="N151" s="387"/>
      <c r="O151" s="387"/>
      <c r="P151" s="444"/>
      <c r="Q151" s="444"/>
      <c r="R151" s="444">
        <v>7</v>
      </c>
      <c r="S151" s="444">
        <v>0</v>
      </c>
      <c r="T151" s="444">
        <v>0</v>
      </c>
      <c r="U151" s="444">
        <f>VLOOKUP(B151,'MEMÓRIA MEDIÇÃO 14'!$A$8:$F$202,6,FALSE)</f>
        <v>0</v>
      </c>
      <c r="V151" s="387">
        <f t="shared" si="90"/>
        <v>7</v>
      </c>
      <c r="W151" s="387">
        <f t="shared" si="78"/>
        <v>0</v>
      </c>
      <c r="X151" s="387">
        <f t="shared" si="79"/>
        <v>3527.58</v>
      </c>
      <c r="Y151" s="346">
        <f t="shared" si="80"/>
        <v>0</v>
      </c>
      <c r="Z151" s="346">
        <f t="shared" si="81"/>
        <v>0</v>
      </c>
      <c r="AA151" s="346">
        <f t="shared" si="74"/>
        <v>0</v>
      </c>
      <c r="AB151" s="346">
        <f t="shared" si="82"/>
        <v>0</v>
      </c>
      <c r="AC151" s="346">
        <f t="shared" si="83"/>
        <v>0</v>
      </c>
      <c r="AD151" s="346">
        <f t="shared" si="77"/>
        <v>0</v>
      </c>
      <c r="AE151" s="346">
        <f t="shared" si="91"/>
        <v>0</v>
      </c>
      <c r="AF151" s="346">
        <f t="shared" si="84"/>
        <v>0</v>
      </c>
      <c r="AG151" s="346">
        <f t="shared" si="85"/>
        <v>0</v>
      </c>
      <c r="AH151" s="346">
        <f t="shared" si="86"/>
        <v>0</v>
      </c>
      <c r="AI151" s="346">
        <f t="shared" si="87"/>
        <v>3527.58</v>
      </c>
      <c r="AJ151" s="346">
        <f t="shared" si="88"/>
        <v>0</v>
      </c>
      <c r="AK151" s="346">
        <f t="shared" si="92"/>
        <v>0</v>
      </c>
      <c r="AL151" s="346">
        <f t="shared" si="89"/>
        <v>0</v>
      </c>
      <c r="AM151" s="445">
        <f t="shared" si="93"/>
        <v>3527.58</v>
      </c>
      <c r="AN151" s="446">
        <f t="shared" si="94"/>
        <v>0</v>
      </c>
    </row>
    <row r="152" spans="2:40" s="167" customFormat="1" ht="45" x14ac:dyDescent="0.25">
      <c r="B152" s="384" t="s">
        <v>411</v>
      </c>
      <c r="C152" s="385">
        <v>99258</v>
      </c>
      <c r="D152" s="386" t="s">
        <v>413</v>
      </c>
      <c r="E152" s="277" t="s">
        <v>166</v>
      </c>
      <c r="F152" s="245">
        <v>206.7</v>
      </c>
      <c r="G152" s="387">
        <v>1</v>
      </c>
      <c r="H152" s="443"/>
      <c r="I152" s="444"/>
      <c r="J152" s="443"/>
      <c r="K152" s="444"/>
      <c r="L152" s="444"/>
      <c r="M152" s="444"/>
      <c r="N152" s="387"/>
      <c r="O152" s="387"/>
      <c r="P152" s="444"/>
      <c r="Q152" s="444"/>
      <c r="R152" s="444">
        <v>1</v>
      </c>
      <c r="S152" s="444">
        <v>0</v>
      </c>
      <c r="T152" s="444">
        <v>0</v>
      </c>
      <c r="U152" s="444">
        <f>VLOOKUP(B152,'MEMÓRIA MEDIÇÃO 14'!$A$8:$F$202,6,FALSE)</f>
        <v>0</v>
      </c>
      <c r="V152" s="387">
        <f t="shared" si="90"/>
        <v>1</v>
      </c>
      <c r="W152" s="387">
        <f t="shared" si="78"/>
        <v>0</v>
      </c>
      <c r="X152" s="387">
        <f t="shared" si="79"/>
        <v>206.7</v>
      </c>
      <c r="Y152" s="346">
        <f t="shared" si="80"/>
        <v>0</v>
      </c>
      <c r="Z152" s="346">
        <f t="shared" si="81"/>
        <v>0</v>
      </c>
      <c r="AA152" s="346">
        <f t="shared" si="74"/>
        <v>0</v>
      </c>
      <c r="AB152" s="346">
        <f t="shared" si="82"/>
        <v>0</v>
      </c>
      <c r="AC152" s="346">
        <f t="shared" si="83"/>
        <v>0</v>
      </c>
      <c r="AD152" s="346">
        <f t="shared" si="77"/>
        <v>0</v>
      </c>
      <c r="AE152" s="346">
        <f t="shared" si="91"/>
        <v>0</v>
      </c>
      <c r="AF152" s="346">
        <f t="shared" si="84"/>
        <v>0</v>
      </c>
      <c r="AG152" s="346">
        <f t="shared" si="85"/>
        <v>0</v>
      </c>
      <c r="AH152" s="346">
        <f t="shared" si="86"/>
        <v>0</v>
      </c>
      <c r="AI152" s="346">
        <f t="shared" si="87"/>
        <v>206.7</v>
      </c>
      <c r="AJ152" s="346">
        <f t="shared" si="88"/>
        <v>0</v>
      </c>
      <c r="AK152" s="346">
        <f t="shared" si="92"/>
        <v>0</v>
      </c>
      <c r="AL152" s="346">
        <f t="shared" si="89"/>
        <v>0</v>
      </c>
      <c r="AM152" s="445">
        <f t="shared" si="93"/>
        <v>206.7</v>
      </c>
      <c r="AN152" s="446">
        <f t="shared" si="94"/>
        <v>0</v>
      </c>
    </row>
    <row r="153" spans="2:40" s="167" customFormat="1" ht="33.75" x14ac:dyDescent="0.25">
      <c r="B153" s="384" t="s">
        <v>414</v>
      </c>
      <c r="C153" s="385">
        <v>89482</v>
      </c>
      <c r="D153" s="386" t="s">
        <v>416</v>
      </c>
      <c r="E153" s="277" t="s">
        <v>166</v>
      </c>
      <c r="F153" s="245">
        <v>32.83</v>
      </c>
      <c r="G153" s="387">
        <v>10</v>
      </c>
      <c r="H153" s="443"/>
      <c r="I153" s="444"/>
      <c r="J153" s="443"/>
      <c r="K153" s="444"/>
      <c r="L153" s="444"/>
      <c r="M153" s="444"/>
      <c r="N153" s="387"/>
      <c r="O153" s="387"/>
      <c r="P153" s="444"/>
      <c r="Q153" s="444"/>
      <c r="R153" s="444">
        <v>10</v>
      </c>
      <c r="S153" s="444">
        <v>0</v>
      </c>
      <c r="T153" s="444">
        <v>0</v>
      </c>
      <c r="U153" s="444">
        <f>VLOOKUP(B153,'MEMÓRIA MEDIÇÃO 14'!$A$8:$F$202,6,FALSE)</f>
        <v>0</v>
      </c>
      <c r="V153" s="387">
        <f t="shared" si="90"/>
        <v>10</v>
      </c>
      <c r="W153" s="387">
        <f t="shared" si="78"/>
        <v>0</v>
      </c>
      <c r="X153" s="387">
        <f t="shared" si="79"/>
        <v>328.29999999999995</v>
      </c>
      <c r="Y153" s="346">
        <f t="shared" si="80"/>
        <v>0</v>
      </c>
      <c r="Z153" s="346">
        <f t="shared" si="81"/>
        <v>0</v>
      </c>
      <c r="AA153" s="346">
        <f t="shared" si="74"/>
        <v>0</v>
      </c>
      <c r="AB153" s="346">
        <f t="shared" si="82"/>
        <v>0</v>
      </c>
      <c r="AC153" s="346">
        <f t="shared" si="83"/>
        <v>0</v>
      </c>
      <c r="AD153" s="346">
        <f t="shared" si="77"/>
        <v>0</v>
      </c>
      <c r="AE153" s="346">
        <f t="shared" si="91"/>
        <v>0</v>
      </c>
      <c r="AF153" s="346">
        <f t="shared" si="84"/>
        <v>0</v>
      </c>
      <c r="AG153" s="346">
        <f t="shared" si="85"/>
        <v>0</v>
      </c>
      <c r="AH153" s="346">
        <f t="shared" si="86"/>
        <v>0</v>
      </c>
      <c r="AI153" s="346">
        <f t="shared" si="87"/>
        <v>328.3</v>
      </c>
      <c r="AJ153" s="346">
        <f t="shared" si="88"/>
        <v>0</v>
      </c>
      <c r="AK153" s="346">
        <f t="shared" si="92"/>
        <v>0</v>
      </c>
      <c r="AL153" s="346">
        <f t="shared" si="89"/>
        <v>0</v>
      </c>
      <c r="AM153" s="445">
        <f t="shared" si="93"/>
        <v>328.3</v>
      </c>
      <c r="AN153" s="446">
        <f t="shared" si="94"/>
        <v>0</v>
      </c>
    </row>
    <row r="154" spans="2:40" s="167" customFormat="1" ht="56.25" x14ac:dyDescent="0.25">
      <c r="B154" s="384" t="s">
        <v>417</v>
      </c>
      <c r="C154" s="385">
        <v>91792</v>
      </c>
      <c r="D154" s="386" t="s">
        <v>419</v>
      </c>
      <c r="E154" s="277" t="s">
        <v>37</v>
      </c>
      <c r="F154" s="245">
        <v>54.23</v>
      </c>
      <c r="G154" s="387">
        <v>38.85</v>
      </c>
      <c r="H154" s="443"/>
      <c r="I154" s="444"/>
      <c r="J154" s="443"/>
      <c r="K154" s="444"/>
      <c r="L154" s="444"/>
      <c r="M154" s="444"/>
      <c r="N154" s="444"/>
      <c r="O154" s="444">
        <f>'MEMORIAL DE CALCULO 08'!K498</f>
        <v>38.85</v>
      </c>
      <c r="P154" s="444"/>
      <c r="Q154" s="444"/>
      <c r="R154" s="444">
        <v>0</v>
      </c>
      <c r="S154" s="444">
        <v>0</v>
      </c>
      <c r="T154" s="444">
        <v>0</v>
      </c>
      <c r="U154" s="444">
        <f>VLOOKUP(B154,'MEMÓRIA MEDIÇÃO 14'!$A$8:$F$202,6,FALSE)</f>
        <v>0</v>
      </c>
      <c r="V154" s="387">
        <f t="shared" si="90"/>
        <v>38.85</v>
      </c>
      <c r="W154" s="387">
        <f t="shared" si="78"/>
        <v>0</v>
      </c>
      <c r="X154" s="387">
        <f t="shared" si="79"/>
        <v>2106.8355000000001</v>
      </c>
      <c r="Y154" s="346">
        <f t="shared" si="80"/>
        <v>0</v>
      </c>
      <c r="Z154" s="346">
        <f t="shared" si="81"/>
        <v>0</v>
      </c>
      <c r="AA154" s="346">
        <f t="shared" si="74"/>
        <v>0</v>
      </c>
      <c r="AB154" s="346">
        <f t="shared" si="82"/>
        <v>0</v>
      </c>
      <c r="AC154" s="346">
        <f t="shared" si="83"/>
        <v>0</v>
      </c>
      <c r="AD154" s="346">
        <f t="shared" si="77"/>
        <v>0</v>
      </c>
      <c r="AE154" s="346">
        <f t="shared" si="91"/>
        <v>0</v>
      </c>
      <c r="AF154" s="346">
        <f t="shared" si="84"/>
        <v>2106.83</v>
      </c>
      <c r="AG154" s="346">
        <f t="shared" si="85"/>
        <v>0</v>
      </c>
      <c r="AH154" s="346">
        <f t="shared" si="86"/>
        <v>0</v>
      </c>
      <c r="AI154" s="346">
        <f t="shared" si="87"/>
        <v>0</v>
      </c>
      <c r="AJ154" s="346">
        <f t="shared" si="88"/>
        <v>0</v>
      </c>
      <c r="AK154" s="346">
        <f t="shared" si="92"/>
        <v>0</v>
      </c>
      <c r="AL154" s="346">
        <f t="shared" si="89"/>
        <v>0</v>
      </c>
      <c r="AM154" s="445">
        <f t="shared" si="93"/>
        <v>2106.83</v>
      </c>
      <c r="AN154" s="446">
        <f t="shared" si="94"/>
        <v>5.5000000002110028E-3</v>
      </c>
    </row>
    <row r="155" spans="2:40" s="167" customFormat="1" ht="56.25" x14ac:dyDescent="0.25">
      <c r="B155" s="384" t="s">
        <v>420</v>
      </c>
      <c r="C155" s="385">
        <v>91793</v>
      </c>
      <c r="D155" s="386" t="s">
        <v>422</v>
      </c>
      <c r="E155" s="277" t="s">
        <v>37</v>
      </c>
      <c r="F155" s="245">
        <v>87.3</v>
      </c>
      <c r="G155" s="387">
        <v>46.51</v>
      </c>
      <c r="H155" s="443"/>
      <c r="I155" s="444"/>
      <c r="J155" s="443"/>
      <c r="K155" s="444"/>
      <c r="L155" s="444"/>
      <c r="M155" s="444"/>
      <c r="N155" s="444"/>
      <c r="O155" s="444">
        <f>'MEMORIAL DE CALCULO 08'!K501</f>
        <v>46.51</v>
      </c>
      <c r="P155" s="444"/>
      <c r="Q155" s="444"/>
      <c r="R155" s="444">
        <v>0</v>
      </c>
      <c r="S155" s="444">
        <v>0</v>
      </c>
      <c r="T155" s="444">
        <v>0</v>
      </c>
      <c r="U155" s="444">
        <f>VLOOKUP(B155,'MEMÓRIA MEDIÇÃO 14'!$A$8:$F$202,6,FALSE)</f>
        <v>0</v>
      </c>
      <c r="V155" s="387">
        <f t="shared" si="90"/>
        <v>46.51</v>
      </c>
      <c r="W155" s="387">
        <f t="shared" si="78"/>
        <v>0</v>
      </c>
      <c r="X155" s="387">
        <f t="shared" si="79"/>
        <v>4060.3229999999999</v>
      </c>
      <c r="Y155" s="346">
        <f t="shared" si="80"/>
        <v>0</v>
      </c>
      <c r="Z155" s="346">
        <f t="shared" si="81"/>
        <v>0</v>
      </c>
      <c r="AA155" s="346">
        <f t="shared" ref="AA155:AA186" si="95">F155*J155</f>
        <v>0</v>
      </c>
      <c r="AB155" s="346">
        <f t="shared" si="82"/>
        <v>0</v>
      </c>
      <c r="AC155" s="346">
        <f t="shared" si="83"/>
        <v>0</v>
      </c>
      <c r="AD155" s="346">
        <f t="shared" si="77"/>
        <v>0</v>
      </c>
      <c r="AE155" s="346">
        <f t="shared" si="91"/>
        <v>0</v>
      </c>
      <c r="AF155" s="346">
        <f t="shared" si="84"/>
        <v>4060.32</v>
      </c>
      <c r="AG155" s="346">
        <f t="shared" si="85"/>
        <v>0</v>
      </c>
      <c r="AH155" s="346">
        <f t="shared" si="86"/>
        <v>0</v>
      </c>
      <c r="AI155" s="346">
        <f t="shared" si="87"/>
        <v>0</v>
      </c>
      <c r="AJ155" s="346">
        <f t="shared" si="88"/>
        <v>0</v>
      </c>
      <c r="AK155" s="346">
        <f t="shared" si="92"/>
        <v>0</v>
      </c>
      <c r="AL155" s="346">
        <f t="shared" si="89"/>
        <v>0</v>
      </c>
      <c r="AM155" s="445">
        <f t="shared" si="93"/>
        <v>4060.32</v>
      </c>
      <c r="AN155" s="446">
        <f t="shared" si="94"/>
        <v>2.9999999997016857E-3</v>
      </c>
    </row>
    <row r="156" spans="2:40" s="167" customFormat="1" ht="45" x14ac:dyDescent="0.25">
      <c r="B156" s="384" t="s">
        <v>423</v>
      </c>
      <c r="C156" s="385">
        <v>98107</v>
      </c>
      <c r="D156" s="386" t="s">
        <v>425</v>
      </c>
      <c r="E156" s="277" t="s">
        <v>166</v>
      </c>
      <c r="F156" s="245">
        <v>243.02</v>
      </c>
      <c r="G156" s="387">
        <v>1</v>
      </c>
      <c r="H156" s="443"/>
      <c r="I156" s="444"/>
      <c r="J156" s="443"/>
      <c r="K156" s="444"/>
      <c r="L156" s="444"/>
      <c r="M156" s="444"/>
      <c r="N156" s="444"/>
      <c r="O156" s="444"/>
      <c r="P156" s="444"/>
      <c r="Q156" s="444"/>
      <c r="R156" s="444">
        <v>1</v>
      </c>
      <c r="S156" s="444">
        <v>0</v>
      </c>
      <c r="T156" s="444">
        <v>0</v>
      </c>
      <c r="U156" s="444">
        <f>VLOOKUP(B156,'MEMÓRIA MEDIÇÃO 14'!$A$8:$F$202,6,FALSE)</f>
        <v>0</v>
      </c>
      <c r="V156" s="387">
        <f t="shared" si="90"/>
        <v>1</v>
      </c>
      <c r="W156" s="387">
        <f t="shared" si="78"/>
        <v>0</v>
      </c>
      <c r="X156" s="387">
        <f t="shared" si="79"/>
        <v>243.02</v>
      </c>
      <c r="Y156" s="346">
        <f t="shared" si="80"/>
        <v>0</v>
      </c>
      <c r="Z156" s="346">
        <f t="shared" si="81"/>
        <v>0</v>
      </c>
      <c r="AA156" s="346">
        <f t="shared" si="95"/>
        <v>0</v>
      </c>
      <c r="AB156" s="346">
        <f t="shared" si="82"/>
        <v>0</v>
      </c>
      <c r="AC156" s="346">
        <f t="shared" si="83"/>
        <v>0</v>
      </c>
      <c r="AD156" s="346">
        <f t="shared" si="77"/>
        <v>0</v>
      </c>
      <c r="AE156" s="346">
        <f t="shared" si="91"/>
        <v>0</v>
      </c>
      <c r="AF156" s="346">
        <f t="shared" si="84"/>
        <v>0</v>
      </c>
      <c r="AG156" s="346">
        <f t="shared" si="85"/>
        <v>0</v>
      </c>
      <c r="AH156" s="346">
        <f t="shared" si="86"/>
        <v>0</v>
      </c>
      <c r="AI156" s="346">
        <f t="shared" si="87"/>
        <v>243.02</v>
      </c>
      <c r="AJ156" s="346">
        <f t="shared" si="88"/>
        <v>0</v>
      </c>
      <c r="AK156" s="346">
        <f t="shared" si="92"/>
        <v>0</v>
      </c>
      <c r="AL156" s="346">
        <f t="shared" si="89"/>
        <v>0</v>
      </c>
      <c r="AM156" s="445">
        <f t="shared" si="93"/>
        <v>243.02</v>
      </c>
      <c r="AN156" s="446">
        <f t="shared" si="94"/>
        <v>0</v>
      </c>
    </row>
    <row r="157" spans="2:40" s="167" customFormat="1" ht="56.25" x14ac:dyDescent="0.25">
      <c r="B157" s="384" t="s">
        <v>426</v>
      </c>
      <c r="C157" s="385">
        <v>91795</v>
      </c>
      <c r="D157" s="386" t="s">
        <v>428</v>
      </c>
      <c r="E157" s="277" t="s">
        <v>37</v>
      </c>
      <c r="F157" s="245">
        <v>65.239999999999995</v>
      </c>
      <c r="G157" s="387">
        <v>132.77000000000001</v>
      </c>
      <c r="H157" s="443"/>
      <c r="I157" s="444"/>
      <c r="J157" s="443"/>
      <c r="K157" s="444"/>
      <c r="L157" s="444"/>
      <c r="M157" s="444"/>
      <c r="N157" s="444">
        <v>6</v>
      </c>
      <c r="O157" s="444">
        <f>'MEMORIAL DE CALCULO 08'!K507</f>
        <v>66.385000000000005</v>
      </c>
      <c r="P157" s="444"/>
      <c r="Q157" s="444"/>
      <c r="R157" s="444">
        <v>60.38</v>
      </c>
      <c r="S157" s="444">
        <v>0</v>
      </c>
      <c r="T157" s="444">
        <v>0</v>
      </c>
      <c r="U157" s="444">
        <f>VLOOKUP(B157,'MEMÓRIA MEDIÇÃO 14'!$A$8:$F$202,6,FALSE)</f>
        <v>0</v>
      </c>
      <c r="V157" s="387">
        <f t="shared" si="90"/>
        <v>132.76500000000001</v>
      </c>
      <c r="W157" s="387">
        <f t="shared" si="78"/>
        <v>4.9999999999954525E-3</v>
      </c>
      <c r="X157" s="387">
        <f t="shared" si="79"/>
        <v>8661.9148000000005</v>
      </c>
      <c r="Y157" s="346">
        <f t="shared" si="80"/>
        <v>0</v>
      </c>
      <c r="Z157" s="346">
        <f t="shared" si="81"/>
        <v>0</v>
      </c>
      <c r="AA157" s="346">
        <f t="shared" si="95"/>
        <v>0</v>
      </c>
      <c r="AB157" s="346">
        <f t="shared" si="82"/>
        <v>0</v>
      </c>
      <c r="AC157" s="346">
        <f t="shared" si="83"/>
        <v>0</v>
      </c>
      <c r="AD157" s="346">
        <f t="shared" si="77"/>
        <v>0</v>
      </c>
      <c r="AE157" s="346">
        <f t="shared" si="91"/>
        <v>391.43999999999994</v>
      </c>
      <c r="AF157" s="346">
        <f t="shared" si="84"/>
        <v>4330.95</v>
      </c>
      <c r="AG157" s="346">
        <f t="shared" si="85"/>
        <v>0</v>
      </c>
      <c r="AH157" s="346">
        <f t="shared" si="86"/>
        <v>0</v>
      </c>
      <c r="AI157" s="346">
        <f t="shared" si="87"/>
        <v>3939.19</v>
      </c>
      <c r="AJ157" s="346">
        <f t="shared" si="88"/>
        <v>0</v>
      </c>
      <c r="AK157" s="346">
        <f t="shared" si="92"/>
        <v>0</v>
      </c>
      <c r="AL157" s="346">
        <f t="shared" si="89"/>
        <v>0</v>
      </c>
      <c r="AM157" s="445">
        <f t="shared" si="93"/>
        <v>8661.58</v>
      </c>
      <c r="AN157" s="446">
        <f t="shared" si="94"/>
        <v>0.33480000000054133</v>
      </c>
    </row>
    <row r="158" spans="2:40" s="167" customFormat="1" ht="33.75" x14ac:dyDescent="0.25">
      <c r="B158" s="384" t="s">
        <v>429</v>
      </c>
      <c r="C158" s="385">
        <v>99251</v>
      </c>
      <c r="D158" s="391" t="s">
        <v>431</v>
      </c>
      <c r="E158" s="277" t="s">
        <v>166</v>
      </c>
      <c r="F158" s="245">
        <v>247.12</v>
      </c>
      <c r="G158" s="387">
        <v>2</v>
      </c>
      <c r="H158" s="443"/>
      <c r="I158" s="278"/>
      <c r="J158" s="443"/>
      <c r="K158" s="278"/>
      <c r="L158" s="278"/>
      <c r="M158" s="278"/>
      <c r="N158" s="278"/>
      <c r="O158" s="278"/>
      <c r="P158" s="278"/>
      <c r="Q158" s="278"/>
      <c r="R158" s="444">
        <v>0</v>
      </c>
      <c r="S158" s="444">
        <v>0</v>
      </c>
      <c r="T158" s="444">
        <v>0</v>
      </c>
      <c r="U158" s="444">
        <f>VLOOKUP(B158,'MEMÓRIA MEDIÇÃO 14'!$A$8:$F$202,6,FALSE)</f>
        <v>0</v>
      </c>
      <c r="V158" s="387">
        <f t="shared" si="90"/>
        <v>0</v>
      </c>
      <c r="W158" s="387">
        <f t="shared" si="78"/>
        <v>2</v>
      </c>
      <c r="X158" s="387">
        <f t="shared" si="79"/>
        <v>494.24</v>
      </c>
      <c r="Y158" s="346">
        <f t="shared" si="80"/>
        <v>0</v>
      </c>
      <c r="Z158" s="346">
        <f t="shared" si="81"/>
        <v>0</v>
      </c>
      <c r="AA158" s="346">
        <f t="shared" si="95"/>
        <v>0</v>
      </c>
      <c r="AB158" s="346">
        <f t="shared" si="82"/>
        <v>0</v>
      </c>
      <c r="AC158" s="346">
        <f t="shared" si="83"/>
        <v>0</v>
      </c>
      <c r="AD158" s="346">
        <f t="shared" si="77"/>
        <v>0</v>
      </c>
      <c r="AE158" s="346">
        <f t="shared" si="91"/>
        <v>0</v>
      </c>
      <c r="AF158" s="346">
        <f t="shared" si="84"/>
        <v>0</v>
      </c>
      <c r="AG158" s="346">
        <f t="shared" si="85"/>
        <v>0</v>
      </c>
      <c r="AH158" s="346">
        <f t="shared" si="86"/>
        <v>0</v>
      </c>
      <c r="AI158" s="346">
        <f t="shared" si="87"/>
        <v>0</v>
      </c>
      <c r="AJ158" s="346">
        <f t="shared" si="88"/>
        <v>0</v>
      </c>
      <c r="AK158" s="346">
        <f t="shared" si="92"/>
        <v>0</v>
      </c>
      <c r="AL158" s="346">
        <f t="shared" si="89"/>
        <v>0</v>
      </c>
      <c r="AM158" s="445">
        <f t="shared" si="93"/>
        <v>0</v>
      </c>
      <c r="AN158" s="446">
        <f t="shared" si="94"/>
        <v>494.24</v>
      </c>
    </row>
    <row r="159" spans="2:40" s="167" customFormat="1" ht="56.25" x14ac:dyDescent="0.25">
      <c r="B159" s="384" t="s">
        <v>432</v>
      </c>
      <c r="C159" s="385">
        <v>91790</v>
      </c>
      <c r="D159" s="391" t="s">
        <v>434</v>
      </c>
      <c r="E159" s="277" t="s">
        <v>37</v>
      </c>
      <c r="F159" s="245">
        <v>56.42</v>
      </c>
      <c r="G159" s="387">
        <v>43.01</v>
      </c>
      <c r="H159" s="443"/>
      <c r="I159" s="278"/>
      <c r="J159" s="443"/>
      <c r="K159" s="278"/>
      <c r="L159" s="278"/>
      <c r="M159" s="278"/>
      <c r="N159" s="443"/>
      <c r="O159" s="443"/>
      <c r="P159" s="443"/>
      <c r="Q159" s="443"/>
      <c r="R159" s="444">
        <v>0</v>
      </c>
      <c r="S159" s="444">
        <v>0</v>
      </c>
      <c r="T159" s="444">
        <v>8.6800000000000015</v>
      </c>
      <c r="U159" s="444">
        <f>VLOOKUP(B159,'MEMÓRIA MEDIÇÃO 14'!$A$8:$F$202,6,FALSE)</f>
        <v>0</v>
      </c>
      <c r="V159" s="387">
        <f t="shared" si="90"/>
        <v>8.6800000000000015</v>
      </c>
      <c r="W159" s="387">
        <f t="shared" si="78"/>
        <v>34.33</v>
      </c>
      <c r="X159" s="387">
        <f t="shared" si="79"/>
        <v>2426.6241999999997</v>
      </c>
      <c r="Y159" s="346">
        <f t="shared" si="80"/>
        <v>0</v>
      </c>
      <c r="Z159" s="346">
        <f t="shared" si="81"/>
        <v>0</v>
      </c>
      <c r="AA159" s="346">
        <f t="shared" si="95"/>
        <v>0</v>
      </c>
      <c r="AB159" s="346">
        <f t="shared" si="82"/>
        <v>0</v>
      </c>
      <c r="AC159" s="346">
        <f t="shared" si="83"/>
        <v>0</v>
      </c>
      <c r="AD159" s="346">
        <f t="shared" si="77"/>
        <v>0</v>
      </c>
      <c r="AE159" s="346">
        <f t="shared" si="91"/>
        <v>0</v>
      </c>
      <c r="AF159" s="346">
        <f t="shared" si="84"/>
        <v>0</v>
      </c>
      <c r="AG159" s="346">
        <f t="shared" si="85"/>
        <v>0</v>
      </c>
      <c r="AH159" s="346">
        <f t="shared" si="86"/>
        <v>0</v>
      </c>
      <c r="AI159" s="346">
        <f t="shared" si="87"/>
        <v>0</v>
      </c>
      <c r="AJ159" s="346">
        <f t="shared" si="88"/>
        <v>0</v>
      </c>
      <c r="AK159" s="346">
        <f t="shared" si="92"/>
        <v>489.73</v>
      </c>
      <c r="AL159" s="346">
        <f t="shared" si="89"/>
        <v>0</v>
      </c>
      <c r="AM159" s="445">
        <f t="shared" si="93"/>
        <v>489.73</v>
      </c>
      <c r="AN159" s="446">
        <f t="shared" si="94"/>
        <v>1936.8941999999997</v>
      </c>
    </row>
    <row r="160" spans="2:40" s="167" customFormat="1" ht="14.45" customHeight="1" x14ac:dyDescent="0.25">
      <c r="B160" s="347">
        <v>1.1399999999999999</v>
      </c>
      <c r="C160" s="348" t="s">
        <v>436</v>
      </c>
      <c r="D160" s="386"/>
      <c r="E160" s="277"/>
      <c r="F160" s="387"/>
      <c r="G160" s="387"/>
      <c r="H160" s="444"/>
      <c r="I160" s="444"/>
      <c r="J160" s="443"/>
      <c r="K160" s="444"/>
      <c r="L160" s="444"/>
      <c r="M160" s="444"/>
      <c r="N160" s="387"/>
      <c r="O160" s="387"/>
      <c r="P160" s="444"/>
      <c r="Q160" s="444"/>
      <c r="R160" s="444">
        <v>0</v>
      </c>
      <c r="S160" s="444">
        <v>0</v>
      </c>
      <c r="T160" s="444">
        <v>0</v>
      </c>
      <c r="U160" s="444">
        <f>VLOOKUP(B160,'MEMÓRIA MEDIÇÃO 14'!$A$8:$F$202,6,FALSE)</f>
        <v>0</v>
      </c>
      <c r="V160" s="387">
        <f t="shared" si="90"/>
        <v>0</v>
      </c>
      <c r="W160" s="387"/>
      <c r="X160" s="387"/>
      <c r="Y160" s="346">
        <f t="shared" si="80"/>
        <v>0</v>
      </c>
      <c r="Z160" s="346">
        <f t="shared" si="81"/>
        <v>0</v>
      </c>
      <c r="AA160" s="346">
        <f t="shared" si="95"/>
        <v>0</v>
      </c>
      <c r="AB160" s="346">
        <f t="shared" si="82"/>
        <v>0</v>
      </c>
      <c r="AC160" s="346">
        <f t="shared" si="83"/>
        <v>0</v>
      </c>
      <c r="AD160" s="346">
        <f t="shared" si="77"/>
        <v>0</v>
      </c>
      <c r="AE160" s="346">
        <f t="shared" si="91"/>
        <v>0</v>
      </c>
      <c r="AF160" s="346">
        <f t="shared" si="84"/>
        <v>0</v>
      </c>
      <c r="AG160" s="346">
        <f t="shared" si="85"/>
        <v>0</v>
      </c>
      <c r="AH160" s="346">
        <f t="shared" si="86"/>
        <v>0</v>
      </c>
      <c r="AI160" s="346">
        <f t="shared" si="87"/>
        <v>0</v>
      </c>
      <c r="AJ160" s="346">
        <f t="shared" si="88"/>
        <v>0</v>
      </c>
      <c r="AK160" s="346">
        <f t="shared" si="92"/>
        <v>0</v>
      </c>
      <c r="AL160" s="346">
        <f t="shared" si="89"/>
        <v>0</v>
      </c>
      <c r="AM160" s="445">
        <f t="shared" si="93"/>
        <v>0</v>
      </c>
      <c r="AN160" s="446">
        <f t="shared" si="94"/>
        <v>0</v>
      </c>
    </row>
    <row r="161" spans="2:40" s="167" customFormat="1" ht="22.5" x14ac:dyDescent="0.25">
      <c r="B161" s="384" t="s">
        <v>437</v>
      </c>
      <c r="C161" s="442" t="s">
        <v>438</v>
      </c>
      <c r="D161" s="386" t="s">
        <v>439</v>
      </c>
      <c r="E161" s="277" t="s">
        <v>17</v>
      </c>
      <c r="F161" s="387">
        <v>530.87</v>
      </c>
      <c r="G161" s="387">
        <v>14.07</v>
      </c>
      <c r="H161" s="444"/>
      <c r="I161" s="444"/>
      <c r="J161" s="443"/>
      <c r="K161" s="444"/>
      <c r="L161" s="444"/>
      <c r="M161" s="444"/>
      <c r="N161" s="387"/>
      <c r="O161" s="387"/>
      <c r="P161" s="444"/>
      <c r="Q161" s="444"/>
      <c r="R161" s="444">
        <v>0</v>
      </c>
      <c r="S161" s="444">
        <v>0</v>
      </c>
      <c r="T161" s="444">
        <v>0</v>
      </c>
      <c r="U161" s="444">
        <f>VLOOKUP(B161,'MEMÓRIA MEDIÇÃO 14'!$A$8:$F$202,6,FALSE)</f>
        <v>0</v>
      </c>
      <c r="V161" s="387">
        <f t="shared" si="90"/>
        <v>0</v>
      </c>
      <c r="W161" s="387">
        <f t="shared" ref="W161:W172" si="96">G161-V161</f>
        <v>14.07</v>
      </c>
      <c r="X161" s="387">
        <f t="shared" ref="X161:X172" si="97">F161*G161</f>
        <v>7469.3409000000001</v>
      </c>
      <c r="Y161" s="346">
        <f t="shared" si="80"/>
        <v>0</v>
      </c>
      <c r="Z161" s="346">
        <f t="shared" si="81"/>
        <v>0</v>
      </c>
      <c r="AA161" s="346">
        <f t="shared" si="95"/>
        <v>0</v>
      </c>
      <c r="AB161" s="346">
        <f t="shared" si="82"/>
        <v>0</v>
      </c>
      <c r="AC161" s="346">
        <f t="shared" si="83"/>
        <v>0</v>
      </c>
      <c r="AD161" s="346">
        <f t="shared" si="77"/>
        <v>0</v>
      </c>
      <c r="AE161" s="346">
        <f t="shared" si="91"/>
        <v>0</v>
      </c>
      <c r="AF161" s="346">
        <f t="shared" si="84"/>
        <v>0</v>
      </c>
      <c r="AG161" s="346">
        <f t="shared" si="85"/>
        <v>0</v>
      </c>
      <c r="AH161" s="346">
        <f t="shared" si="86"/>
        <v>0</v>
      </c>
      <c r="AI161" s="346">
        <f t="shared" si="87"/>
        <v>0</v>
      </c>
      <c r="AJ161" s="346">
        <f t="shared" si="88"/>
        <v>0</v>
      </c>
      <c r="AK161" s="346">
        <f t="shared" si="92"/>
        <v>0</v>
      </c>
      <c r="AL161" s="346">
        <f t="shared" si="89"/>
        <v>0</v>
      </c>
      <c r="AM161" s="445">
        <f t="shared" si="93"/>
        <v>0</v>
      </c>
      <c r="AN161" s="446">
        <f t="shared" si="94"/>
        <v>7469.3409000000001</v>
      </c>
    </row>
    <row r="162" spans="2:40" s="167" customFormat="1" ht="33.75" x14ac:dyDescent="0.25">
      <c r="B162" s="384" t="s">
        <v>440</v>
      </c>
      <c r="C162" s="385">
        <v>86906</v>
      </c>
      <c r="D162" s="391" t="s">
        <v>442</v>
      </c>
      <c r="E162" s="277" t="s">
        <v>166</v>
      </c>
      <c r="F162" s="277">
        <v>70.64</v>
      </c>
      <c r="G162" s="387">
        <v>10</v>
      </c>
      <c r="H162" s="278"/>
      <c r="I162" s="278"/>
      <c r="J162" s="443"/>
      <c r="K162" s="278"/>
      <c r="L162" s="278"/>
      <c r="M162" s="278"/>
      <c r="N162" s="278"/>
      <c r="O162" s="278"/>
      <c r="P162" s="278"/>
      <c r="Q162" s="278"/>
      <c r="R162" s="444">
        <v>0</v>
      </c>
      <c r="S162" s="444">
        <v>0</v>
      </c>
      <c r="T162" s="444">
        <v>0</v>
      </c>
      <c r="U162" s="444">
        <f>VLOOKUP(B162,'MEMÓRIA MEDIÇÃO 14'!$A$8:$F$202,6,FALSE)</f>
        <v>0</v>
      </c>
      <c r="V162" s="387">
        <f t="shared" si="90"/>
        <v>0</v>
      </c>
      <c r="W162" s="387">
        <f t="shared" si="96"/>
        <v>10</v>
      </c>
      <c r="X162" s="387">
        <f t="shared" si="97"/>
        <v>706.4</v>
      </c>
      <c r="Y162" s="346">
        <f t="shared" si="80"/>
        <v>0</v>
      </c>
      <c r="Z162" s="346">
        <f t="shared" si="81"/>
        <v>0</v>
      </c>
      <c r="AA162" s="346">
        <f t="shared" si="95"/>
        <v>0</v>
      </c>
      <c r="AB162" s="346">
        <f t="shared" si="82"/>
        <v>0</v>
      </c>
      <c r="AC162" s="346">
        <f t="shared" si="83"/>
        <v>0</v>
      </c>
      <c r="AD162" s="346">
        <f t="shared" ref="AD162:AD193" si="98">M162*F162</f>
        <v>0</v>
      </c>
      <c r="AE162" s="346">
        <f t="shared" si="91"/>
        <v>0</v>
      </c>
      <c r="AF162" s="346">
        <f t="shared" si="84"/>
        <v>0</v>
      </c>
      <c r="AG162" s="346">
        <f t="shared" si="85"/>
        <v>0</v>
      </c>
      <c r="AH162" s="346">
        <f t="shared" si="86"/>
        <v>0</v>
      </c>
      <c r="AI162" s="346">
        <f t="shared" si="87"/>
        <v>0</v>
      </c>
      <c r="AJ162" s="346">
        <f t="shared" si="88"/>
        <v>0</v>
      </c>
      <c r="AK162" s="346">
        <f t="shared" si="92"/>
        <v>0</v>
      </c>
      <c r="AL162" s="346">
        <f t="shared" si="89"/>
        <v>0</v>
      </c>
      <c r="AM162" s="445">
        <f t="shared" si="93"/>
        <v>0</v>
      </c>
      <c r="AN162" s="446">
        <f t="shared" si="94"/>
        <v>706.4</v>
      </c>
    </row>
    <row r="163" spans="2:40" s="167" customFormat="1" ht="33.75" x14ac:dyDescent="0.25">
      <c r="B163" s="384" t="s">
        <v>443</v>
      </c>
      <c r="C163" s="385">
        <v>86911</v>
      </c>
      <c r="D163" s="386" t="s">
        <v>445</v>
      </c>
      <c r="E163" s="277" t="s">
        <v>166</v>
      </c>
      <c r="F163" s="387">
        <v>82.65</v>
      </c>
      <c r="G163" s="387">
        <v>3</v>
      </c>
      <c r="H163" s="444"/>
      <c r="I163" s="444"/>
      <c r="J163" s="443"/>
      <c r="K163" s="444"/>
      <c r="L163" s="444"/>
      <c r="M163" s="444"/>
      <c r="N163" s="387"/>
      <c r="O163" s="387"/>
      <c r="P163" s="444"/>
      <c r="Q163" s="444"/>
      <c r="R163" s="444">
        <v>0</v>
      </c>
      <c r="S163" s="444">
        <v>0</v>
      </c>
      <c r="T163" s="444">
        <v>0</v>
      </c>
      <c r="U163" s="444">
        <f>VLOOKUP(B163,'MEMÓRIA MEDIÇÃO 14'!$A$8:$F$202,6,FALSE)</f>
        <v>0</v>
      </c>
      <c r="V163" s="387">
        <f t="shared" si="90"/>
        <v>0</v>
      </c>
      <c r="W163" s="387">
        <f t="shared" si="96"/>
        <v>3</v>
      </c>
      <c r="X163" s="387">
        <f t="shared" si="97"/>
        <v>247.95000000000002</v>
      </c>
      <c r="Y163" s="346">
        <f t="shared" si="80"/>
        <v>0</v>
      </c>
      <c r="Z163" s="346">
        <f t="shared" si="81"/>
        <v>0</v>
      </c>
      <c r="AA163" s="346">
        <f t="shared" si="95"/>
        <v>0</v>
      </c>
      <c r="AB163" s="346">
        <f t="shared" si="82"/>
        <v>0</v>
      </c>
      <c r="AC163" s="346">
        <f t="shared" si="83"/>
        <v>0</v>
      </c>
      <c r="AD163" s="346">
        <f t="shared" si="98"/>
        <v>0</v>
      </c>
      <c r="AE163" s="346">
        <f t="shared" si="91"/>
        <v>0</v>
      </c>
      <c r="AF163" s="346">
        <f t="shared" si="84"/>
        <v>0</v>
      </c>
      <c r="AG163" s="346">
        <f t="shared" si="85"/>
        <v>0</v>
      </c>
      <c r="AH163" s="346">
        <f t="shared" si="86"/>
        <v>0</v>
      </c>
      <c r="AI163" s="346">
        <f t="shared" si="87"/>
        <v>0</v>
      </c>
      <c r="AJ163" s="346">
        <f t="shared" si="88"/>
        <v>0</v>
      </c>
      <c r="AK163" s="346">
        <f t="shared" si="92"/>
        <v>0</v>
      </c>
      <c r="AL163" s="346">
        <f t="shared" si="89"/>
        <v>0</v>
      </c>
      <c r="AM163" s="445">
        <f t="shared" si="93"/>
        <v>0</v>
      </c>
      <c r="AN163" s="446">
        <f t="shared" si="94"/>
        <v>247.95000000000002</v>
      </c>
    </row>
    <row r="164" spans="2:40" s="167" customFormat="1" ht="22.5" x14ac:dyDescent="0.25">
      <c r="B164" s="384" t="s">
        <v>446</v>
      </c>
      <c r="C164" s="385">
        <v>10428</v>
      </c>
      <c r="D164" s="386" t="s">
        <v>448</v>
      </c>
      <c r="E164" s="277" t="s">
        <v>166</v>
      </c>
      <c r="F164" s="387">
        <v>500.75</v>
      </c>
      <c r="G164" s="387">
        <v>8</v>
      </c>
      <c r="H164" s="444"/>
      <c r="I164" s="444"/>
      <c r="J164" s="443"/>
      <c r="K164" s="444"/>
      <c r="L164" s="444"/>
      <c r="M164" s="444"/>
      <c r="N164" s="387"/>
      <c r="O164" s="387"/>
      <c r="P164" s="444"/>
      <c r="Q164" s="444"/>
      <c r="R164" s="444">
        <v>0</v>
      </c>
      <c r="S164" s="444">
        <v>0</v>
      </c>
      <c r="T164" s="444">
        <v>0</v>
      </c>
      <c r="U164" s="444">
        <f>VLOOKUP(B164,'MEMÓRIA MEDIÇÃO 14'!$A$8:$F$202,6,FALSE)</f>
        <v>0</v>
      </c>
      <c r="V164" s="387">
        <f t="shared" si="90"/>
        <v>0</v>
      </c>
      <c r="W164" s="387">
        <f t="shared" si="96"/>
        <v>8</v>
      </c>
      <c r="X164" s="387">
        <f t="shared" si="97"/>
        <v>4006</v>
      </c>
      <c r="Y164" s="346">
        <f t="shared" si="80"/>
        <v>0</v>
      </c>
      <c r="Z164" s="346">
        <f t="shared" si="81"/>
        <v>0</v>
      </c>
      <c r="AA164" s="346">
        <f t="shared" si="95"/>
        <v>0</v>
      </c>
      <c r="AB164" s="346">
        <f t="shared" si="82"/>
        <v>0</v>
      </c>
      <c r="AC164" s="346">
        <f t="shared" si="83"/>
        <v>0</v>
      </c>
      <c r="AD164" s="346">
        <f t="shared" si="98"/>
        <v>0</v>
      </c>
      <c r="AE164" s="346">
        <f t="shared" si="91"/>
        <v>0</v>
      </c>
      <c r="AF164" s="346">
        <f t="shared" si="84"/>
        <v>0</v>
      </c>
      <c r="AG164" s="346">
        <f t="shared" si="85"/>
        <v>0</v>
      </c>
      <c r="AH164" s="346">
        <f t="shared" si="86"/>
        <v>0</v>
      </c>
      <c r="AI164" s="346">
        <f t="shared" si="87"/>
        <v>0</v>
      </c>
      <c r="AJ164" s="346">
        <f t="shared" si="88"/>
        <v>0</v>
      </c>
      <c r="AK164" s="346">
        <f t="shared" si="92"/>
        <v>0</v>
      </c>
      <c r="AL164" s="346">
        <f t="shared" si="89"/>
        <v>0</v>
      </c>
      <c r="AM164" s="445">
        <f t="shared" si="93"/>
        <v>0</v>
      </c>
      <c r="AN164" s="446">
        <f t="shared" si="94"/>
        <v>4006</v>
      </c>
    </row>
    <row r="165" spans="2:40" s="167" customFormat="1" ht="45" x14ac:dyDescent="0.25">
      <c r="B165" s="384" t="s">
        <v>449</v>
      </c>
      <c r="C165" s="385">
        <v>86932</v>
      </c>
      <c r="D165" s="386" t="s">
        <v>451</v>
      </c>
      <c r="E165" s="277" t="s">
        <v>166</v>
      </c>
      <c r="F165" s="387">
        <v>530.35</v>
      </c>
      <c r="G165" s="387">
        <v>9</v>
      </c>
      <c r="H165" s="444"/>
      <c r="I165" s="444"/>
      <c r="J165" s="443"/>
      <c r="K165" s="444"/>
      <c r="L165" s="444"/>
      <c r="M165" s="444"/>
      <c r="N165" s="387"/>
      <c r="O165" s="387"/>
      <c r="P165" s="444"/>
      <c r="Q165" s="444"/>
      <c r="R165" s="444">
        <v>0</v>
      </c>
      <c r="S165" s="444">
        <v>0</v>
      </c>
      <c r="T165" s="444">
        <v>0</v>
      </c>
      <c r="U165" s="444">
        <f>VLOOKUP(B165,'MEMÓRIA MEDIÇÃO 14'!$A$8:$F$202,6,FALSE)</f>
        <v>0</v>
      </c>
      <c r="V165" s="387">
        <f t="shared" si="90"/>
        <v>0</v>
      </c>
      <c r="W165" s="387">
        <f t="shared" si="96"/>
        <v>9</v>
      </c>
      <c r="X165" s="387">
        <f t="shared" si="97"/>
        <v>4773.1500000000005</v>
      </c>
      <c r="Y165" s="346">
        <f t="shared" si="80"/>
        <v>0</v>
      </c>
      <c r="Z165" s="346">
        <f t="shared" si="81"/>
        <v>0</v>
      </c>
      <c r="AA165" s="346">
        <f t="shared" si="95"/>
        <v>0</v>
      </c>
      <c r="AB165" s="346">
        <f t="shared" si="82"/>
        <v>0</v>
      </c>
      <c r="AC165" s="346">
        <f t="shared" si="83"/>
        <v>0</v>
      </c>
      <c r="AD165" s="346">
        <f t="shared" si="98"/>
        <v>0</v>
      </c>
      <c r="AE165" s="346">
        <f t="shared" si="91"/>
        <v>0</v>
      </c>
      <c r="AF165" s="346">
        <f t="shared" si="84"/>
        <v>0</v>
      </c>
      <c r="AG165" s="346">
        <f t="shared" si="85"/>
        <v>0</v>
      </c>
      <c r="AH165" s="346">
        <f t="shared" si="86"/>
        <v>0</v>
      </c>
      <c r="AI165" s="346">
        <f t="shared" si="87"/>
        <v>0</v>
      </c>
      <c r="AJ165" s="346">
        <f t="shared" si="88"/>
        <v>0</v>
      </c>
      <c r="AK165" s="346">
        <f t="shared" si="92"/>
        <v>0</v>
      </c>
      <c r="AL165" s="346">
        <f t="shared" si="89"/>
        <v>0</v>
      </c>
      <c r="AM165" s="445">
        <f t="shared" si="93"/>
        <v>0</v>
      </c>
      <c r="AN165" s="446">
        <f t="shared" si="94"/>
        <v>4773.1500000000005</v>
      </c>
    </row>
    <row r="166" spans="2:40" s="167" customFormat="1" ht="45" x14ac:dyDescent="0.25">
      <c r="B166" s="384" t="s">
        <v>452</v>
      </c>
      <c r="C166" s="385">
        <v>86935</v>
      </c>
      <c r="D166" s="386" t="s">
        <v>454</v>
      </c>
      <c r="E166" s="277" t="s">
        <v>166</v>
      </c>
      <c r="F166" s="387">
        <v>324.29000000000002</v>
      </c>
      <c r="G166" s="387">
        <v>2</v>
      </c>
      <c r="H166" s="444"/>
      <c r="I166" s="444"/>
      <c r="J166" s="443"/>
      <c r="K166" s="444"/>
      <c r="L166" s="444"/>
      <c r="M166" s="444"/>
      <c r="N166" s="387"/>
      <c r="O166" s="387"/>
      <c r="P166" s="444"/>
      <c r="Q166" s="444"/>
      <c r="R166" s="444">
        <v>0</v>
      </c>
      <c r="S166" s="444">
        <v>0</v>
      </c>
      <c r="T166" s="444">
        <v>0</v>
      </c>
      <c r="U166" s="444">
        <f>VLOOKUP(B166,'MEMÓRIA MEDIÇÃO 14'!$A$8:$F$202,6,FALSE)</f>
        <v>0</v>
      </c>
      <c r="V166" s="387">
        <f t="shared" si="90"/>
        <v>0</v>
      </c>
      <c r="W166" s="387">
        <f t="shared" si="96"/>
        <v>2</v>
      </c>
      <c r="X166" s="387">
        <f t="shared" si="97"/>
        <v>648.58000000000004</v>
      </c>
      <c r="Y166" s="346">
        <f t="shared" si="80"/>
        <v>0</v>
      </c>
      <c r="Z166" s="346">
        <f t="shared" si="81"/>
        <v>0</v>
      </c>
      <c r="AA166" s="346">
        <f t="shared" si="95"/>
        <v>0</v>
      </c>
      <c r="AB166" s="346">
        <f t="shared" si="82"/>
        <v>0</v>
      </c>
      <c r="AC166" s="346">
        <f t="shared" si="83"/>
        <v>0</v>
      </c>
      <c r="AD166" s="346">
        <f t="shared" si="98"/>
        <v>0</v>
      </c>
      <c r="AE166" s="346">
        <f t="shared" si="91"/>
        <v>0</v>
      </c>
      <c r="AF166" s="346">
        <f t="shared" si="84"/>
        <v>0</v>
      </c>
      <c r="AG166" s="346">
        <f t="shared" si="85"/>
        <v>0</v>
      </c>
      <c r="AH166" s="346">
        <f t="shared" si="86"/>
        <v>0</v>
      </c>
      <c r="AI166" s="346">
        <f t="shared" si="87"/>
        <v>0</v>
      </c>
      <c r="AJ166" s="346">
        <f t="shared" si="88"/>
        <v>0</v>
      </c>
      <c r="AK166" s="346">
        <f t="shared" si="92"/>
        <v>0</v>
      </c>
      <c r="AL166" s="346">
        <f t="shared" si="89"/>
        <v>0</v>
      </c>
      <c r="AM166" s="445">
        <f t="shared" si="93"/>
        <v>0</v>
      </c>
      <c r="AN166" s="446">
        <f t="shared" si="94"/>
        <v>648.58000000000004</v>
      </c>
    </row>
    <row r="167" spans="2:40" s="167" customFormat="1" ht="33.75" x14ac:dyDescent="0.25">
      <c r="B167" s="384" t="s">
        <v>455</v>
      </c>
      <c r="C167" s="385">
        <v>100868</v>
      </c>
      <c r="D167" s="386" t="s">
        <v>457</v>
      </c>
      <c r="E167" s="277" t="s">
        <v>166</v>
      </c>
      <c r="F167" s="387">
        <v>353.45</v>
      </c>
      <c r="G167" s="387">
        <v>2</v>
      </c>
      <c r="H167" s="444"/>
      <c r="I167" s="444"/>
      <c r="J167" s="443"/>
      <c r="K167" s="444"/>
      <c r="L167" s="444"/>
      <c r="M167" s="444"/>
      <c r="N167" s="387"/>
      <c r="O167" s="387"/>
      <c r="P167" s="444"/>
      <c r="Q167" s="444"/>
      <c r="R167" s="444">
        <v>0</v>
      </c>
      <c r="S167" s="444">
        <v>0</v>
      </c>
      <c r="T167" s="444">
        <v>0</v>
      </c>
      <c r="U167" s="444">
        <f>VLOOKUP(B167,'MEMÓRIA MEDIÇÃO 14'!$A$8:$F$202,6,FALSE)</f>
        <v>0</v>
      </c>
      <c r="V167" s="387">
        <f t="shared" si="90"/>
        <v>0</v>
      </c>
      <c r="W167" s="387">
        <f t="shared" si="96"/>
        <v>2</v>
      </c>
      <c r="X167" s="387">
        <f t="shared" si="97"/>
        <v>706.9</v>
      </c>
      <c r="Y167" s="346">
        <f t="shared" si="80"/>
        <v>0</v>
      </c>
      <c r="Z167" s="346">
        <f t="shared" si="81"/>
        <v>0</v>
      </c>
      <c r="AA167" s="346">
        <f t="shared" si="95"/>
        <v>0</v>
      </c>
      <c r="AB167" s="346">
        <f t="shared" si="82"/>
        <v>0</v>
      </c>
      <c r="AC167" s="346">
        <f t="shared" si="83"/>
        <v>0</v>
      </c>
      <c r="AD167" s="346">
        <f t="shared" si="98"/>
        <v>0</v>
      </c>
      <c r="AE167" s="346">
        <f t="shared" si="91"/>
        <v>0</v>
      </c>
      <c r="AF167" s="346">
        <f t="shared" si="84"/>
        <v>0</v>
      </c>
      <c r="AG167" s="346">
        <f t="shared" si="85"/>
        <v>0</v>
      </c>
      <c r="AH167" s="346">
        <f t="shared" si="86"/>
        <v>0</v>
      </c>
      <c r="AI167" s="346">
        <f t="shared" si="87"/>
        <v>0</v>
      </c>
      <c r="AJ167" s="346">
        <f t="shared" si="88"/>
        <v>0</v>
      </c>
      <c r="AK167" s="346">
        <f t="shared" si="92"/>
        <v>0</v>
      </c>
      <c r="AL167" s="346">
        <f t="shared" si="89"/>
        <v>0</v>
      </c>
      <c r="AM167" s="445">
        <f t="shared" si="93"/>
        <v>0</v>
      </c>
      <c r="AN167" s="446">
        <f t="shared" si="94"/>
        <v>706.9</v>
      </c>
    </row>
    <row r="168" spans="2:40" s="167" customFormat="1" ht="56.25" x14ac:dyDescent="0.25">
      <c r="B168" s="384" t="s">
        <v>458</v>
      </c>
      <c r="C168" s="385">
        <v>86942</v>
      </c>
      <c r="D168" s="386" t="s">
        <v>460</v>
      </c>
      <c r="E168" s="277" t="s">
        <v>166</v>
      </c>
      <c r="F168" s="387">
        <v>260.25</v>
      </c>
      <c r="G168" s="387">
        <v>1</v>
      </c>
      <c r="H168" s="444"/>
      <c r="I168" s="444"/>
      <c r="J168" s="443"/>
      <c r="K168" s="444"/>
      <c r="L168" s="444"/>
      <c r="M168" s="444"/>
      <c r="N168" s="387"/>
      <c r="O168" s="387"/>
      <c r="P168" s="444"/>
      <c r="Q168" s="444"/>
      <c r="R168" s="444">
        <v>0</v>
      </c>
      <c r="S168" s="444">
        <v>0</v>
      </c>
      <c r="T168" s="444">
        <v>0</v>
      </c>
      <c r="U168" s="444">
        <f>VLOOKUP(B168,'MEMÓRIA MEDIÇÃO 14'!$A$8:$F$202,6,FALSE)</f>
        <v>0</v>
      </c>
      <c r="V168" s="387">
        <f t="shared" si="90"/>
        <v>0</v>
      </c>
      <c r="W168" s="387">
        <f t="shared" si="96"/>
        <v>1</v>
      </c>
      <c r="X168" s="387">
        <f t="shared" si="97"/>
        <v>260.25</v>
      </c>
      <c r="Y168" s="346">
        <f t="shared" si="80"/>
        <v>0</v>
      </c>
      <c r="Z168" s="346">
        <f t="shared" si="81"/>
        <v>0</v>
      </c>
      <c r="AA168" s="346">
        <f t="shared" si="95"/>
        <v>0</v>
      </c>
      <c r="AB168" s="346">
        <f t="shared" si="82"/>
        <v>0</v>
      </c>
      <c r="AC168" s="346">
        <f t="shared" si="83"/>
        <v>0</v>
      </c>
      <c r="AD168" s="346">
        <f t="shared" si="98"/>
        <v>0</v>
      </c>
      <c r="AE168" s="346">
        <f t="shared" si="91"/>
        <v>0</v>
      </c>
      <c r="AF168" s="346">
        <f t="shared" si="84"/>
        <v>0</v>
      </c>
      <c r="AG168" s="346">
        <f t="shared" si="85"/>
        <v>0</v>
      </c>
      <c r="AH168" s="346">
        <f t="shared" si="86"/>
        <v>0</v>
      </c>
      <c r="AI168" s="346">
        <f t="shared" si="87"/>
        <v>0</v>
      </c>
      <c r="AJ168" s="346">
        <f t="shared" si="88"/>
        <v>0</v>
      </c>
      <c r="AK168" s="346">
        <f t="shared" si="92"/>
        <v>0</v>
      </c>
      <c r="AL168" s="346">
        <f t="shared" si="89"/>
        <v>0</v>
      </c>
      <c r="AM168" s="445">
        <f t="shared" si="93"/>
        <v>0</v>
      </c>
      <c r="AN168" s="446">
        <f t="shared" si="94"/>
        <v>260.25</v>
      </c>
    </row>
    <row r="169" spans="2:40" s="167" customFormat="1" ht="56.25" x14ac:dyDescent="0.25">
      <c r="B169" s="384" t="s">
        <v>461</v>
      </c>
      <c r="C169" s="385">
        <v>86923</v>
      </c>
      <c r="D169" s="386" t="s">
        <v>463</v>
      </c>
      <c r="E169" s="277" t="s">
        <v>166</v>
      </c>
      <c r="F169" s="387">
        <v>586.14</v>
      </c>
      <c r="G169" s="387">
        <v>1</v>
      </c>
      <c r="H169" s="444"/>
      <c r="I169" s="444"/>
      <c r="J169" s="443"/>
      <c r="K169" s="444"/>
      <c r="L169" s="444"/>
      <c r="M169" s="444"/>
      <c r="N169" s="387"/>
      <c r="O169" s="387"/>
      <c r="P169" s="444"/>
      <c r="Q169" s="444"/>
      <c r="R169" s="444">
        <v>0</v>
      </c>
      <c r="S169" s="444">
        <v>0</v>
      </c>
      <c r="T169" s="444">
        <v>0</v>
      </c>
      <c r="U169" s="444">
        <f>VLOOKUP(B169,'MEMÓRIA MEDIÇÃO 14'!$A$8:$F$202,6,FALSE)</f>
        <v>0</v>
      </c>
      <c r="V169" s="387">
        <f t="shared" si="90"/>
        <v>0</v>
      </c>
      <c r="W169" s="387">
        <f t="shared" si="96"/>
        <v>1</v>
      </c>
      <c r="X169" s="387">
        <f t="shared" si="97"/>
        <v>586.14</v>
      </c>
      <c r="Y169" s="346">
        <f t="shared" si="80"/>
        <v>0</v>
      </c>
      <c r="Z169" s="346">
        <f t="shared" si="81"/>
        <v>0</v>
      </c>
      <c r="AA169" s="346">
        <f t="shared" si="95"/>
        <v>0</v>
      </c>
      <c r="AB169" s="346">
        <f t="shared" si="82"/>
        <v>0</v>
      </c>
      <c r="AC169" s="346">
        <f t="shared" si="83"/>
        <v>0</v>
      </c>
      <c r="AD169" s="346">
        <f t="shared" si="98"/>
        <v>0</v>
      </c>
      <c r="AE169" s="346">
        <f t="shared" si="91"/>
        <v>0</v>
      </c>
      <c r="AF169" s="346">
        <f t="shared" si="84"/>
        <v>0</v>
      </c>
      <c r="AG169" s="346">
        <f t="shared" si="85"/>
        <v>0</v>
      </c>
      <c r="AH169" s="346">
        <f t="shared" si="86"/>
        <v>0</v>
      </c>
      <c r="AI169" s="346">
        <f t="shared" si="87"/>
        <v>0</v>
      </c>
      <c r="AJ169" s="346">
        <f t="shared" si="88"/>
        <v>0</v>
      </c>
      <c r="AK169" s="346">
        <f t="shared" si="92"/>
        <v>0</v>
      </c>
      <c r="AL169" s="346">
        <f t="shared" si="89"/>
        <v>0</v>
      </c>
      <c r="AM169" s="445">
        <f t="shared" si="93"/>
        <v>0</v>
      </c>
      <c r="AN169" s="446">
        <f t="shared" si="94"/>
        <v>586.14</v>
      </c>
    </row>
    <row r="170" spans="2:40" s="167" customFormat="1" ht="45" x14ac:dyDescent="0.25">
      <c r="B170" s="384" t="s">
        <v>464</v>
      </c>
      <c r="C170" s="385">
        <v>95472</v>
      </c>
      <c r="D170" s="386" t="s">
        <v>466</v>
      </c>
      <c r="E170" s="277" t="s">
        <v>166</v>
      </c>
      <c r="F170" s="387">
        <v>769.27</v>
      </c>
      <c r="G170" s="387">
        <v>1</v>
      </c>
      <c r="H170" s="444"/>
      <c r="I170" s="444"/>
      <c r="J170" s="443"/>
      <c r="K170" s="444"/>
      <c r="L170" s="444"/>
      <c r="M170" s="444"/>
      <c r="N170" s="387"/>
      <c r="O170" s="387"/>
      <c r="P170" s="444"/>
      <c r="Q170" s="444"/>
      <c r="R170" s="444">
        <v>0</v>
      </c>
      <c r="S170" s="444">
        <v>0</v>
      </c>
      <c r="T170" s="444">
        <v>0</v>
      </c>
      <c r="U170" s="444">
        <f>VLOOKUP(B170,'MEMÓRIA MEDIÇÃO 14'!$A$8:$F$202,6,FALSE)</f>
        <v>0</v>
      </c>
      <c r="V170" s="387">
        <f t="shared" si="90"/>
        <v>0</v>
      </c>
      <c r="W170" s="387">
        <f t="shared" si="96"/>
        <v>1</v>
      </c>
      <c r="X170" s="387">
        <f t="shared" si="97"/>
        <v>769.27</v>
      </c>
      <c r="Y170" s="346">
        <f t="shared" si="80"/>
        <v>0</v>
      </c>
      <c r="Z170" s="346">
        <f t="shared" si="81"/>
        <v>0</v>
      </c>
      <c r="AA170" s="346">
        <f t="shared" si="95"/>
        <v>0</v>
      </c>
      <c r="AB170" s="346">
        <f t="shared" si="82"/>
        <v>0</v>
      </c>
      <c r="AC170" s="346">
        <f t="shared" si="83"/>
        <v>0</v>
      </c>
      <c r="AD170" s="346">
        <f t="shared" si="98"/>
        <v>0</v>
      </c>
      <c r="AE170" s="346">
        <f t="shared" si="91"/>
        <v>0</v>
      </c>
      <c r="AF170" s="346">
        <f t="shared" si="84"/>
        <v>0</v>
      </c>
      <c r="AG170" s="346">
        <f t="shared" si="85"/>
        <v>0</v>
      </c>
      <c r="AH170" s="346">
        <f t="shared" si="86"/>
        <v>0</v>
      </c>
      <c r="AI170" s="346">
        <f t="shared" si="87"/>
        <v>0</v>
      </c>
      <c r="AJ170" s="346">
        <f t="shared" si="88"/>
        <v>0</v>
      </c>
      <c r="AK170" s="346">
        <f t="shared" si="92"/>
        <v>0</v>
      </c>
      <c r="AL170" s="346">
        <f t="shared" si="89"/>
        <v>0</v>
      </c>
      <c r="AM170" s="445">
        <f t="shared" si="93"/>
        <v>0</v>
      </c>
      <c r="AN170" s="446">
        <f t="shared" si="94"/>
        <v>769.27</v>
      </c>
    </row>
    <row r="171" spans="2:40" s="167" customFormat="1" ht="33.75" x14ac:dyDescent="0.25">
      <c r="B171" s="384" t="s">
        <v>467</v>
      </c>
      <c r="C171" s="385">
        <v>102253</v>
      </c>
      <c r="D171" s="386" t="s">
        <v>469</v>
      </c>
      <c r="E171" s="277" t="s">
        <v>17</v>
      </c>
      <c r="F171" s="387">
        <v>692.62</v>
      </c>
      <c r="G171" s="387">
        <v>33.92</v>
      </c>
      <c r="H171" s="444"/>
      <c r="I171" s="444"/>
      <c r="J171" s="443"/>
      <c r="K171" s="444"/>
      <c r="L171" s="444"/>
      <c r="M171" s="444"/>
      <c r="N171" s="387"/>
      <c r="O171" s="387"/>
      <c r="P171" s="444"/>
      <c r="Q171" s="444"/>
      <c r="R171" s="444">
        <v>0</v>
      </c>
      <c r="S171" s="444">
        <v>0</v>
      </c>
      <c r="T171" s="444">
        <v>0</v>
      </c>
      <c r="U171" s="444">
        <f>VLOOKUP(B171,'MEMÓRIA MEDIÇÃO 14'!$A$8:$F$202,6,FALSE)</f>
        <v>0</v>
      </c>
      <c r="V171" s="387">
        <f t="shared" si="90"/>
        <v>0</v>
      </c>
      <c r="W171" s="387">
        <f t="shared" si="96"/>
        <v>33.92</v>
      </c>
      <c r="X171" s="387">
        <f t="shared" si="97"/>
        <v>23493.670400000003</v>
      </c>
      <c r="Y171" s="346">
        <f t="shared" si="80"/>
        <v>0</v>
      </c>
      <c r="Z171" s="346">
        <f t="shared" si="81"/>
        <v>0</v>
      </c>
      <c r="AA171" s="346">
        <f t="shared" si="95"/>
        <v>0</v>
      </c>
      <c r="AB171" s="346">
        <f t="shared" si="82"/>
        <v>0</v>
      </c>
      <c r="AC171" s="346">
        <f t="shared" si="83"/>
        <v>0</v>
      </c>
      <c r="AD171" s="346">
        <f t="shared" si="98"/>
        <v>0</v>
      </c>
      <c r="AE171" s="346">
        <f t="shared" si="91"/>
        <v>0</v>
      </c>
      <c r="AF171" s="346">
        <f t="shared" si="84"/>
        <v>0</v>
      </c>
      <c r="AG171" s="346">
        <f t="shared" si="85"/>
        <v>0</v>
      </c>
      <c r="AH171" s="346">
        <f t="shared" si="86"/>
        <v>0</v>
      </c>
      <c r="AI171" s="346">
        <f t="shared" si="87"/>
        <v>0</v>
      </c>
      <c r="AJ171" s="346">
        <f t="shared" si="88"/>
        <v>0</v>
      </c>
      <c r="AK171" s="346">
        <f t="shared" si="92"/>
        <v>0</v>
      </c>
      <c r="AL171" s="346">
        <f t="shared" si="89"/>
        <v>0</v>
      </c>
      <c r="AM171" s="445">
        <f t="shared" si="93"/>
        <v>0</v>
      </c>
      <c r="AN171" s="446">
        <f t="shared" si="94"/>
        <v>23493.670400000003</v>
      </c>
    </row>
    <row r="172" spans="2:40" s="167" customFormat="1" ht="22.5" x14ac:dyDescent="0.25">
      <c r="B172" s="384" t="s">
        <v>470</v>
      </c>
      <c r="C172" s="385">
        <v>100860</v>
      </c>
      <c r="D172" s="386" t="s">
        <v>472</v>
      </c>
      <c r="E172" s="277" t="s">
        <v>166</v>
      </c>
      <c r="F172" s="387">
        <v>111.12</v>
      </c>
      <c r="G172" s="387">
        <v>4</v>
      </c>
      <c r="H172" s="444"/>
      <c r="I172" s="444"/>
      <c r="J172" s="443"/>
      <c r="K172" s="444"/>
      <c r="L172" s="444"/>
      <c r="M172" s="444"/>
      <c r="N172" s="387"/>
      <c r="O172" s="387"/>
      <c r="P172" s="444"/>
      <c r="Q172" s="444"/>
      <c r="R172" s="444">
        <v>0</v>
      </c>
      <c r="S172" s="444">
        <v>0</v>
      </c>
      <c r="T172" s="444">
        <v>0</v>
      </c>
      <c r="U172" s="444">
        <f>VLOOKUP(B172,'MEMÓRIA MEDIÇÃO 14'!$A$8:$F$202,6,FALSE)</f>
        <v>0</v>
      </c>
      <c r="V172" s="387">
        <f t="shared" si="90"/>
        <v>0</v>
      </c>
      <c r="W172" s="387">
        <f t="shared" si="96"/>
        <v>4</v>
      </c>
      <c r="X172" s="387">
        <f t="shared" si="97"/>
        <v>444.48</v>
      </c>
      <c r="Y172" s="346">
        <f t="shared" si="80"/>
        <v>0</v>
      </c>
      <c r="Z172" s="346">
        <f t="shared" si="81"/>
        <v>0</v>
      </c>
      <c r="AA172" s="346">
        <f t="shared" si="95"/>
        <v>0</v>
      </c>
      <c r="AB172" s="346">
        <f t="shared" si="82"/>
        <v>0</v>
      </c>
      <c r="AC172" s="346">
        <f t="shared" si="83"/>
        <v>0</v>
      </c>
      <c r="AD172" s="346">
        <f t="shared" si="98"/>
        <v>0</v>
      </c>
      <c r="AE172" s="346">
        <f t="shared" si="91"/>
        <v>0</v>
      </c>
      <c r="AF172" s="346">
        <f t="shared" si="84"/>
        <v>0</v>
      </c>
      <c r="AG172" s="346">
        <f t="shared" si="85"/>
        <v>0</v>
      </c>
      <c r="AH172" s="346">
        <f t="shared" si="86"/>
        <v>0</v>
      </c>
      <c r="AI172" s="346">
        <f t="shared" si="87"/>
        <v>0</v>
      </c>
      <c r="AJ172" s="346">
        <f t="shared" si="88"/>
        <v>0</v>
      </c>
      <c r="AK172" s="346">
        <f t="shared" si="92"/>
        <v>0</v>
      </c>
      <c r="AL172" s="346">
        <f t="shared" si="89"/>
        <v>0</v>
      </c>
      <c r="AM172" s="445">
        <f t="shared" si="93"/>
        <v>0</v>
      </c>
      <c r="AN172" s="446">
        <f t="shared" si="94"/>
        <v>444.48</v>
      </c>
    </row>
    <row r="173" spans="2:40" s="167" customFormat="1" ht="14.45" customHeight="1" x14ac:dyDescent="0.25">
      <c r="B173" s="347">
        <v>1.1499999999999999</v>
      </c>
      <c r="C173" s="348" t="s">
        <v>474</v>
      </c>
      <c r="D173" s="386"/>
      <c r="E173" s="277"/>
      <c r="F173" s="387"/>
      <c r="G173" s="387"/>
      <c r="H173" s="444"/>
      <c r="I173" s="444"/>
      <c r="J173" s="443"/>
      <c r="K173" s="444"/>
      <c r="L173" s="444"/>
      <c r="M173" s="444"/>
      <c r="N173" s="387"/>
      <c r="O173" s="387"/>
      <c r="P173" s="444"/>
      <c r="Q173" s="444"/>
      <c r="R173" s="444">
        <v>0</v>
      </c>
      <c r="S173" s="444">
        <v>0</v>
      </c>
      <c r="T173" s="444">
        <v>0</v>
      </c>
      <c r="U173" s="444">
        <f>VLOOKUP(B173,'MEMÓRIA MEDIÇÃO 14'!$A$8:$F$202,6,FALSE)</f>
        <v>0</v>
      </c>
      <c r="V173" s="387">
        <f t="shared" si="90"/>
        <v>0</v>
      </c>
      <c r="W173" s="387"/>
      <c r="X173" s="387"/>
      <c r="Y173" s="346">
        <f t="shared" si="80"/>
        <v>0</v>
      </c>
      <c r="Z173" s="346">
        <f t="shared" si="81"/>
        <v>0</v>
      </c>
      <c r="AA173" s="346">
        <f t="shared" si="95"/>
        <v>0</v>
      </c>
      <c r="AB173" s="346">
        <f t="shared" si="82"/>
        <v>0</v>
      </c>
      <c r="AC173" s="346">
        <f t="shared" si="83"/>
        <v>0</v>
      </c>
      <c r="AD173" s="346">
        <f t="shared" si="98"/>
        <v>0</v>
      </c>
      <c r="AE173" s="346">
        <f t="shared" si="91"/>
        <v>0</v>
      </c>
      <c r="AF173" s="346">
        <f t="shared" si="84"/>
        <v>0</v>
      </c>
      <c r="AG173" s="346">
        <f t="shared" si="85"/>
        <v>0</v>
      </c>
      <c r="AH173" s="346">
        <f t="shared" si="86"/>
        <v>0</v>
      </c>
      <c r="AI173" s="346">
        <f t="shared" si="87"/>
        <v>0</v>
      </c>
      <c r="AJ173" s="346">
        <f t="shared" si="88"/>
        <v>0</v>
      </c>
      <c r="AK173" s="346">
        <f t="shared" si="92"/>
        <v>0</v>
      </c>
      <c r="AL173" s="346">
        <f t="shared" si="89"/>
        <v>0</v>
      </c>
      <c r="AM173" s="445">
        <f t="shared" si="93"/>
        <v>0</v>
      </c>
      <c r="AN173" s="446">
        <f t="shared" si="94"/>
        <v>0</v>
      </c>
    </row>
    <row r="174" spans="2:40" s="167" customFormat="1" ht="33.75" x14ac:dyDescent="0.25">
      <c r="B174" s="384" t="s">
        <v>475</v>
      </c>
      <c r="C174" s="385">
        <v>99059</v>
      </c>
      <c r="D174" s="386" t="s">
        <v>36</v>
      </c>
      <c r="E174" s="277" t="s">
        <v>37</v>
      </c>
      <c r="F174" s="387">
        <v>52.4</v>
      </c>
      <c r="G174" s="387">
        <v>130.85</v>
      </c>
      <c r="H174" s="444">
        <f>'MEMORIAL DE CALCULO 01'!K183</f>
        <v>130.85</v>
      </c>
      <c r="I174" s="444"/>
      <c r="J174" s="443"/>
      <c r="K174" s="444"/>
      <c r="L174" s="444"/>
      <c r="M174" s="444"/>
      <c r="N174" s="387"/>
      <c r="O174" s="387"/>
      <c r="P174" s="444"/>
      <c r="Q174" s="444"/>
      <c r="R174" s="444">
        <v>0</v>
      </c>
      <c r="S174" s="444">
        <v>0</v>
      </c>
      <c r="T174" s="444">
        <v>0</v>
      </c>
      <c r="U174" s="444">
        <f>VLOOKUP(B174,'MEMÓRIA MEDIÇÃO 14'!$A$8:$F$202,6,FALSE)</f>
        <v>0</v>
      </c>
      <c r="V174" s="387">
        <f t="shared" si="90"/>
        <v>130.85</v>
      </c>
      <c r="W174" s="387">
        <f t="shared" ref="W174:W192" si="99">G174-V174</f>
        <v>0</v>
      </c>
      <c r="X174" s="387">
        <f t="shared" ref="X174:X192" si="100">F174*G174</f>
        <v>6856.54</v>
      </c>
      <c r="Y174" s="346">
        <f t="shared" ref="Y174:Y208" si="101">F174*H174</f>
        <v>6856.54</v>
      </c>
      <c r="Z174" s="346">
        <f t="shared" ref="Z174:Z208" si="102">F174*I174</f>
        <v>0</v>
      </c>
      <c r="AA174" s="346">
        <f t="shared" si="95"/>
        <v>0</v>
      </c>
      <c r="AB174" s="346">
        <f t="shared" ref="AB174:AB208" si="103">TRUNC(F174*K174,2)</f>
        <v>0</v>
      </c>
      <c r="AC174" s="346">
        <f t="shared" ref="AC174:AC208" si="104">TRUNC(F174*L174,2)</f>
        <v>0</v>
      </c>
      <c r="AD174" s="346">
        <f t="shared" si="98"/>
        <v>0</v>
      </c>
      <c r="AE174" s="346">
        <f t="shared" si="91"/>
        <v>0</v>
      </c>
      <c r="AF174" s="346">
        <f t="shared" ref="AF174:AF208" si="105">TRUNC(F174*O174,2)</f>
        <v>0</v>
      </c>
      <c r="AG174" s="346">
        <f t="shared" ref="AG174:AG208" si="106">TRUNC(F174*P174,2)</f>
        <v>0</v>
      </c>
      <c r="AH174" s="346">
        <f t="shared" ref="AH174:AH195" si="107">TRUNC(F174*Q174,2)</f>
        <v>0</v>
      </c>
      <c r="AI174" s="346">
        <f t="shared" ref="AI174:AI208" si="108">ROUND(R174*F174,2)</f>
        <v>0</v>
      </c>
      <c r="AJ174" s="346">
        <f t="shared" ref="AJ174:AJ208" si="109">ROUND(S174*F174,2)</f>
        <v>0</v>
      </c>
      <c r="AK174" s="346">
        <f t="shared" si="92"/>
        <v>0</v>
      </c>
      <c r="AL174" s="346">
        <f t="shared" ref="AL174:AL208" si="110">ROUND(U174*F174,2)</f>
        <v>0</v>
      </c>
      <c r="AM174" s="445">
        <f t="shared" si="93"/>
        <v>6856.54</v>
      </c>
      <c r="AN174" s="446">
        <f t="shared" si="94"/>
        <v>0</v>
      </c>
    </row>
    <row r="175" spans="2:40" s="167" customFormat="1" ht="22.5" x14ac:dyDescent="0.25">
      <c r="B175" s="384" t="s">
        <v>476</v>
      </c>
      <c r="C175" s="385">
        <v>93358</v>
      </c>
      <c r="D175" s="386" t="s">
        <v>40</v>
      </c>
      <c r="E175" s="277" t="s">
        <v>41</v>
      </c>
      <c r="F175" s="387">
        <v>64.95</v>
      </c>
      <c r="G175" s="387">
        <v>32.68</v>
      </c>
      <c r="H175" s="444">
        <v>32.68</v>
      </c>
      <c r="I175" s="444"/>
      <c r="J175" s="443"/>
      <c r="K175" s="444"/>
      <c r="L175" s="444"/>
      <c r="M175" s="444"/>
      <c r="N175" s="387"/>
      <c r="O175" s="387"/>
      <c r="P175" s="444"/>
      <c r="Q175" s="444"/>
      <c r="R175" s="444">
        <v>0</v>
      </c>
      <c r="S175" s="444">
        <v>0</v>
      </c>
      <c r="T175" s="444">
        <v>0</v>
      </c>
      <c r="U175" s="444">
        <f>VLOOKUP(B175,'MEMÓRIA MEDIÇÃO 14'!$A$8:$F$202,6,FALSE)</f>
        <v>0</v>
      </c>
      <c r="V175" s="387">
        <f t="shared" si="90"/>
        <v>32.68</v>
      </c>
      <c r="W175" s="387">
        <f t="shared" si="99"/>
        <v>0</v>
      </c>
      <c r="X175" s="387">
        <f t="shared" si="100"/>
        <v>2122.5660000000003</v>
      </c>
      <c r="Y175" s="346">
        <f t="shared" si="101"/>
        <v>2122.5660000000003</v>
      </c>
      <c r="Z175" s="346">
        <f t="shared" si="102"/>
        <v>0</v>
      </c>
      <c r="AA175" s="346">
        <f t="shared" si="95"/>
        <v>0</v>
      </c>
      <c r="AB175" s="346">
        <f t="shared" si="103"/>
        <v>0</v>
      </c>
      <c r="AC175" s="346">
        <f t="shared" si="104"/>
        <v>0</v>
      </c>
      <c r="AD175" s="346">
        <f t="shared" si="98"/>
        <v>0</v>
      </c>
      <c r="AE175" s="346">
        <f t="shared" ref="AE175:AE208" si="111">F175*N175</f>
        <v>0</v>
      </c>
      <c r="AF175" s="346">
        <f t="shared" si="105"/>
        <v>0</v>
      </c>
      <c r="AG175" s="346">
        <f t="shared" si="106"/>
        <v>0</v>
      </c>
      <c r="AH175" s="346">
        <f t="shared" si="107"/>
        <v>0</v>
      </c>
      <c r="AI175" s="346">
        <f t="shared" si="108"/>
        <v>0</v>
      </c>
      <c r="AJ175" s="346">
        <f t="shared" si="109"/>
        <v>0</v>
      </c>
      <c r="AK175" s="346">
        <f t="shared" si="92"/>
        <v>0</v>
      </c>
      <c r="AL175" s="346">
        <f t="shared" si="110"/>
        <v>0</v>
      </c>
      <c r="AM175" s="445">
        <f t="shared" si="93"/>
        <v>2122.5660000000003</v>
      </c>
      <c r="AN175" s="446">
        <f t="shared" si="94"/>
        <v>0</v>
      </c>
    </row>
    <row r="176" spans="2:40" s="167" customFormat="1" x14ac:dyDescent="0.25">
      <c r="B176" s="384" t="s">
        <v>477</v>
      </c>
      <c r="C176" s="385">
        <v>96995</v>
      </c>
      <c r="D176" s="386" t="s">
        <v>44</v>
      </c>
      <c r="E176" s="277" t="s">
        <v>41</v>
      </c>
      <c r="F176" s="387">
        <v>39.369999999999997</v>
      </c>
      <c r="G176" s="387">
        <v>11.01</v>
      </c>
      <c r="H176" s="444"/>
      <c r="I176" s="444">
        <f>'MEMORIAL DE CALCULO 02'!K418</f>
        <v>11.01</v>
      </c>
      <c r="J176" s="443"/>
      <c r="K176" s="444"/>
      <c r="L176" s="444"/>
      <c r="M176" s="444"/>
      <c r="N176" s="387"/>
      <c r="O176" s="387"/>
      <c r="P176" s="444"/>
      <c r="Q176" s="444"/>
      <c r="R176" s="444">
        <v>0</v>
      </c>
      <c r="S176" s="444">
        <v>0</v>
      </c>
      <c r="T176" s="444">
        <v>0</v>
      </c>
      <c r="U176" s="444">
        <f>VLOOKUP(B176,'MEMÓRIA MEDIÇÃO 14'!$A$8:$F$202,6,FALSE)</f>
        <v>0</v>
      </c>
      <c r="V176" s="387">
        <f t="shared" si="90"/>
        <v>11.01</v>
      </c>
      <c r="W176" s="387">
        <f t="shared" si="99"/>
        <v>0</v>
      </c>
      <c r="X176" s="387">
        <f t="shared" si="100"/>
        <v>433.46369999999996</v>
      </c>
      <c r="Y176" s="346">
        <f t="shared" si="101"/>
        <v>0</v>
      </c>
      <c r="Z176" s="346">
        <f t="shared" si="102"/>
        <v>433.46369999999996</v>
      </c>
      <c r="AA176" s="346">
        <f t="shared" si="95"/>
        <v>0</v>
      </c>
      <c r="AB176" s="346">
        <f t="shared" si="103"/>
        <v>0</v>
      </c>
      <c r="AC176" s="346">
        <f t="shared" si="104"/>
        <v>0</v>
      </c>
      <c r="AD176" s="346">
        <f t="shared" si="98"/>
        <v>0</v>
      </c>
      <c r="AE176" s="346">
        <f t="shared" si="111"/>
        <v>0</v>
      </c>
      <c r="AF176" s="346">
        <f t="shared" si="105"/>
        <v>0</v>
      </c>
      <c r="AG176" s="346">
        <f t="shared" si="106"/>
        <v>0</v>
      </c>
      <c r="AH176" s="346">
        <f t="shared" si="107"/>
        <v>0</v>
      </c>
      <c r="AI176" s="346">
        <f t="shared" si="108"/>
        <v>0</v>
      </c>
      <c r="AJ176" s="346">
        <f t="shared" si="109"/>
        <v>0</v>
      </c>
      <c r="AK176" s="346">
        <f t="shared" si="92"/>
        <v>0</v>
      </c>
      <c r="AL176" s="346">
        <f t="shared" si="110"/>
        <v>0</v>
      </c>
      <c r="AM176" s="445">
        <f t="shared" si="93"/>
        <v>433.46369999999996</v>
      </c>
      <c r="AN176" s="446">
        <f t="shared" si="94"/>
        <v>0</v>
      </c>
    </row>
    <row r="177" spans="2:40" s="168" customFormat="1" ht="22.5" x14ac:dyDescent="0.25">
      <c r="B177" s="384" t="s">
        <v>478</v>
      </c>
      <c r="C177" s="385">
        <v>93205</v>
      </c>
      <c r="D177" s="386" t="s">
        <v>480</v>
      </c>
      <c r="E177" s="277" t="s">
        <v>37</v>
      </c>
      <c r="F177" s="387">
        <v>39.79</v>
      </c>
      <c r="G177" s="387">
        <v>244.5</v>
      </c>
      <c r="H177" s="444"/>
      <c r="I177" s="444"/>
      <c r="J177" s="443">
        <f>'MEMORIAL DE CALCULO 03'!K524</f>
        <v>67.27</v>
      </c>
      <c r="K177" s="444">
        <f>'MEMORIAL DE CALCULO 04'!K617</f>
        <v>42.8</v>
      </c>
      <c r="L177" s="444">
        <f>'MEMORIAL DE CALCULO 05'!K622</f>
        <v>134.43</v>
      </c>
      <c r="M177" s="444"/>
      <c r="N177" s="387"/>
      <c r="O177" s="387"/>
      <c r="P177" s="444"/>
      <c r="Q177" s="444"/>
      <c r="R177" s="444">
        <v>0</v>
      </c>
      <c r="S177" s="444">
        <v>0</v>
      </c>
      <c r="T177" s="444">
        <v>0</v>
      </c>
      <c r="U177" s="444">
        <f>VLOOKUP(B177,'MEMÓRIA MEDIÇÃO 14'!$A$8:$F$202,6,FALSE)</f>
        <v>0</v>
      </c>
      <c r="V177" s="387">
        <f t="shared" si="90"/>
        <v>244.5</v>
      </c>
      <c r="W177" s="387">
        <f t="shared" si="99"/>
        <v>0</v>
      </c>
      <c r="X177" s="387">
        <f t="shared" si="100"/>
        <v>9728.6550000000007</v>
      </c>
      <c r="Y177" s="346">
        <f t="shared" si="101"/>
        <v>0</v>
      </c>
      <c r="Z177" s="346">
        <f t="shared" si="102"/>
        <v>0</v>
      </c>
      <c r="AA177" s="346">
        <f t="shared" si="95"/>
        <v>2676.6732999999999</v>
      </c>
      <c r="AB177" s="346">
        <f t="shared" si="103"/>
        <v>1703.01</v>
      </c>
      <c r="AC177" s="346">
        <f t="shared" si="104"/>
        <v>5348.96</v>
      </c>
      <c r="AD177" s="346">
        <f t="shared" si="98"/>
        <v>0</v>
      </c>
      <c r="AE177" s="346">
        <f t="shared" si="111"/>
        <v>0</v>
      </c>
      <c r="AF177" s="346">
        <f t="shared" si="105"/>
        <v>0</v>
      </c>
      <c r="AG177" s="346">
        <f t="shared" si="106"/>
        <v>0</v>
      </c>
      <c r="AH177" s="346">
        <f t="shared" si="107"/>
        <v>0</v>
      </c>
      <c r="AI177" s="346">
        <f t="shared" si="108"/>
        <v>0</v>
      </c>
      <c r="AJ177" s="346">
        <f t="shared" si="109"/>
        <v>0</v>
      </c>
      <c r="AK177" s="346">
        <f t="shared" si="92"/>
        <v>0</v>
      </c>
      <c r="AL177" s="346">
        <f t="shared" si="110"/>
        <v>0</v>
      </c>
      <c r="AM177" s="445">
        <f t="shared" si="93"/>
        <v>9728.6432999999997</v>
      </c>
      <c r="AN177" s="446">
        <f t="shared" si="94"/>
        <v>1.1700000000928412E-2</v>
      </c>
    </row>
    <row r="178" spans="2:40" s="167" customFormat="1" ht="22.5" x14ac:dyDescent="0.25">
      <c r="B178" s="384" t="s">
        <v>481</v>
      </c>
      <c r="C178" s="385">
        <v>101616</v>
      </c>
      <c r="D178" s="386" t="s">
        <v>55</v>
      </c>
      <c r="E178" s="277" t="s">
        <v>17</v>
      </c>
      <c r="F178" s="387">
        <v>4.91</v>
      </c>
      <c r="G178" s="387">
        <v>15.48</v>
      </c>
      <c r="H178" s="444">
        <f>'MEMORIAL DE CALCULO 01'!K191</f>
        <v>12.6</v>
      </c>
      <c r="I178" s="444">
        <f>'MEMORIAL DE CALCULO 02'!K422</f>
        <v>2.88</v>
      </c>
      <c r="J178" s="443"/>
      <c r="K178" s="444"/>
      <c r="L178" s="444"/>
      <c r="M178" s="444"/>
      <c r="N178" s="387"/>
      <c r="O178" s="387"/>
      <c r="P178" s="444"/>
      <c r="Q178" s="444"/>
      <c r="R178" s="444">
        <v>0</v>
      </c>
      <c r="S178" s="444">
        <v>0</v>
      </c>
      <c r="T178" s="444">
        <v>0</v>
      </c>
      <c r="U178" s="444">
        <f>VLOOKUP(B178,'MEMÓRIA MEDIÇÃO 14'!$A$8:$F$202,6,FALSE)</f>
        <v>0</v>
      </c>
      <c r="V178" s="387">
        <f t="shared" si="90"/>
        <v>15.48</v>
      </c>
      <c r="W178" s="387">
        <f t="shared" si="99"/>
        <v>0</v>
      </c>
      <c r="X178" s="387">
        <f t="shared" si="100"/>
        <v>76.006799999999998</v>
      </c>
      <c r="Y178" s="346">
        <f t="shared" si="101"/>
        <v>61.866</v>
      </c>
      <c r="Z178" s="346">
        <f t="shared" si="102"/>
        <v>14.1408</v>
      </c>
      <c r="AA178" s="346">
        <f t="shared" si="95"/>
        <v>0</v>
      </c>
      <c r="AB178" s="346">
        <f t="shared" si="103"/>
        <v>0</v>
      </c>
      <c r="AC178" s="346">
        <f t="shared" si="104"/>
        <v>0</v>
      </c>
      <c r="AD178" s="346">
        <f t="shared" si="98"/>
        <v>0</v>
      </c>
      <c r="AE178" s="346">
        <f t="shared" si="111"/>
        <v>0</v>
      </c>
      <c r="AF178" s="346">
        <f t="shared" si="105"/>
        <v>0</v>
      </c>
      <c r="AG178" s="346">
        <f t="shared" si="106"/>
        <v>0</v>
      </c>
      <c r="AH178" s="346">
        <f t="shared" si="107"/>
        <v>0</v>
      </c>
      <c r="AI178" s="346">
        <f t="shared" si="108"/>
        <v>0</v>
      </c>
      <c r="AJ178" s="346">
        <f t="shared" si="109"/>
        <v>0</v>
      </c>
      <c r="AK178" s="346">
        <f t="shared" si="92"/>
        <v>0</v>
      </c>
      <c r="AL178" s="346">
        <f t="shared" si="110"/>
        <v>0</v>
      </c>
      <c r="AM178" s="445">
        <f t="shared" si="93"/>
        <v>76.006799999999998</v>
      </c>
      <c r="AN178" s="446">
        <f t="shared" si="94"/>
        <v>0</v>
      </c>
    </row>
    <row r="179" spans="2:40" s="167" customFormat="1" ht="33.75" x14ac:dyDescent="0.25">
      <c r="B179" s="384" t="s">
        <v>482</v>
      </c>
      <c r="C179" s="385">
        <v>96619</v>
      </c>
      <c r="D179" s="386" t="s">
        <v>58</v>
      </c>
      <c r="E179" s="277" t="s">
        <v>17</v>
      </c>
      <c r="F179" s="387">
        <v>30.67</v>
      </c>
      <c r="G179" s="387">
        <v>15.48</v>
      </c>
      <c r="H179" s="444">
        <f>'MEMORIAL DE CALCULO 01'!K192</f>
        <v>12.6</v>
      </c>
      <c r="I179" s="444">
        <f>'MEMORIAL DE CALCULO 02'!K423</f>
        <v>2.88</v>
      </c>
      <c r="J179" s="443"/>
      <c r="K179" s="444"/>
      <c r="L179" s="444"/>
      <c r="M179" s="444"/>
      <c r="N179" s="387"/>
      <c r="O179" s="387"/>
      <c r="P179" s="444"/>
      <c r="Q179" s="444"/>
      <c r="R179" s="444">
        <v>0</v>
      </c>
      <c r="S179" s="444">
        <v>0</v>
      </c>
      <c r="T179" s="444">
        <v>0</v>
      </c>
      <c r="U179" s="444">
        <f>VLOOKUP(B179,'MEMÓRIA MEDIÇÃO 14'!$A$8:$F$202,6,FALSE)</f>
        <v>0</v>
      </c>
      <c r="V179" s="387">
        <f t="shared" si="90"/>
        <v>15.48</v>
      </c>
      <c r="W179" s="387">
        <f t="shared" si="99"/>
        <v>0</v>
      </c>
      <c r="X179" s="387">
        <f t="shared" si="100"/>
        <v>474.77160000000003</v>
      </c>
      <c r="Y179" s="346">
        <f t="shared" si="101"/>
        <v>386.44200000000001</v>
      </c>
      <c r="Z179" s="346">
        <f t="shared" si="102"/>
        <v>88.329599999999999</v>
      </c>
      <c r="AA179" s="346">
        <f t="shared" si="95"/>
        <v>0</v>
      </c>
      <c r="AB179" s="346">
        <f t="shared" si="103"/>
        <v>0</v>
      </c>
      <c r="AC179" s="346">
        <f t="shared" si="104"/>
        <v>0</v>
      </c>
      <c r="AD179" s="346">
        <f t="shared" si="98"/>
        <v>0</v>
      </c>
      <c r="AE179" s="346">
        <f t="shared" si="111"/>
        <v>0</v>
      </c>
      <c r="AF179" s="346">
        <f t="shared" si="105"/>
        <v>0</v>
      </c>
      <c r="AG179" s="346">
        <f t="shared" si="106"/>
        <v>0</v>
      </c>
      <c r="AH179" s="346">
        <f t="shared" si="107"/>
        <v>0</v>
      </c>
      <c r="AI179" s="346">
        <f t="shared" si="108"/>
        <v>0</v>
      </c>
      <c r="AJ179" s="346">
        <f t="shared" si="109"/>
        <v>0</v>
      </c>
      <c r="AK179" s="346">
        <f t="shared" si="92"/>
        <v>0</v>
      </c>
      <c r="AL179" s="346">
        <f t="shared" si="110"/>
        <v>0</v>
      </c>
      <c r="AM179" s="445">
        <f t="shared" si="93"/>
        <v>474.77160000000003</v>
      </c>
      <c r="AN179" s="446">
        <f t="shared" si="94"/>
        <v>0</v>
      </c>
    </row>
    <row r="180" spans="2:40" s="167" customFormat="1" ht="22.5" x14ac:dyDescent="0.25">
      <c r="B180" s="384" t="s">
        <v>483</v>
      </c>
      <c r="C180" s="385">
        <v>96545</v>
      </c>
      <c r="D180" s="391" t="s">
        <v>61</v>
      </c>
      <c r="E180" s="277" t="s">
        <v>62</v>
      </c>
      <c r="F180" s="277">
        <v>15.99</v>
      </c>
      <c r="G180" s="387">
        <v>167.13</v>
      </c>
      <c r="H180" s="443">
        <f>'MEMORIAL DE CALCULO 01'!K193</f>
        <v>133.69999999999999</v>
      </c>
      <c r="I180" s="443">
        <f>'MEMORIAL DE CALCULO 02'!K424</f>
        <v>33.43</v>
      </c>
      <c r="J180" s="443"/>
      <c r="K180" s="278"/>
      <c r="L180" s="278"/>
      <c r="M180" s="278"/>
      <c r="N180" s="278"/>
      <c r="O180" s="278"/>
      <c r="P180" s="278"/>
      <c r="Q180" s="278"/>
      <c r="R180" s="444">
        <v>0</v>
      </c>
      <c r="S180" s="444">
        <v>0</v>
      </c>
      <c r="T180" s="444">
        <v>0</v>
      </c>
      <c r="U180" s="444">
        <f>VLOOKUP(B180,'MEMÓRIA MEDIÇÃO 14'!$A$8:$F$202,6,FALSE)</f>
        <v>0</v>
      </c>
      <c r="V180" s="387">
        <f t="shared" si="90"/>
        <v>167.13</v>
      </c>
      <c r="W180" s="387">
        <f t="shared" si="99"/>
        <v>0</v>
      </c>
      <c r="X180" s="387">
        <f t="shared" si="100"/>
        <v>2672.4087</v>
      </c>
      <c r="Y180" s="346">
        <f t="shared" si="101"/>
        <v>2137.8629999999998</v>
      </c>
      <c r="Z180" s="346">
        <f t="shared" si="102"/>
        <v>534.54570000000001</v>
      </c>
      <c r="AA180" s="346">
        <f t="shared" si="95"/>
        <v>0</v>
      </c>
      <c r="AB180" s="346">
        <f t="shared" si="103"/>
        <v>0</v>
      </c>
      <c r="AC180" s="346">
        <f t="shared" si="104"/>
        <v>0</v>
      </c>
      <c r="AD180" s="346">
        <f t="shared" si="98"/>
        <v>0</v>
      </c>
      <c r="AE180" s="346">
        <f t="shared" si="111"/>
        <v>0</v>
      </c>
      <c r="AF180" s="346">
        <f t="shared" si="105"/>
        <v>0</v>
      </c>
      <c r="AG180" s="346">
        <f t="shared" si="106"/>
        <v>0</v>
      </c>
      <c r="AH180" s="346">
        <f t="shared" si="107"/>
        <v>0</v>
      </c>
      <c r="AI180" s="346">
        <f t="shared" si="108"/>
        <v>0</v>
      </c>
      <c r="AJ180" s="346">
        <f t="shared" si="109"/>
        <v>0</v>
      </c>
      <c r="AK180" s="346">
        <f t="shared" si="92"/>
        <v>0</v>
      </c>
      <c r="AL180" s="346">
        <f t="shared" si="110"/>
        <v>0</v>
      </c>
      <c r="AM180" s="445">
        <f t="shared" si="93"/>
        <v>2672.4087</v>
      </c>
      <c r="AN180" s="446">
        <f t="shared" si="94"/>
        <v>0</v>
      </c>
    </row>
    <row r="181" spans="2:40" s="168" customFormat="1" ht="33.75" x14ac:dyDescent="0.25">
      <c r="B181" s="384" t="s">
        <v>484</v>
      </c>
      <c r="C181" s="385">
        <v>94966</v>
      </c>
      <c r="D181" s="391" t="s">
        <v>65</v>
      </c>
      <c r="E181" s="277" t="s">
        <v>41</v>
      </c>
      <c r="F181" s="277">
        <v>530.88</v>
      </c>
      <c r="G181" s="387">
        <v>15.03</v>
      </c>
      <c r="H181" s="443">
        <f>'MEMORIAL DE CALCULO 01'!K195</f>
        <v>4.5500000000000007</v>
      </c>
      <c r="I181" s="443">
        <f>'MEMORIAL DE CALCULO 02'!K426</f>
        <v>1.04</v>
      </c>
      <c r="J181" s="443">
        <f>'MEMORIAL DE CALCULO 03'!K530</f>
        <v>1.5192000000000005</v>
      </c>
      <c r="K181" s="443">
        <f>'MEMORIAL DE CALCULO 04'!K624</f>
        <v>2.3652000000000002</v>
      </c>
      <c r="L181" s="443">
        <f>'MEMORIAL DE CALCULO 05'!K629</f>
        <v>0.41560999999999998</v>
      </c>
      <c r="M181" s="278"/>
      <c r="N181" s="278"/>
      <c r="O181" s="278"/>
      <c r="P181" s="278"/>
      <c r="Q181" s="278">
        <v>5.14</v>
      </c>
      <c r="R181" s="444">
        <v>0</v>
      </c>
      <c r="S181" s="444">
        <v>0</v>
      </c>
      <c r="T181" s="444">
        <v>0</v>
      </c>
      <c r="U181" s="444">
        <f>VLOOKUP(B181,'MEMÓRIA MEDIÇÃO 14'!$A$8:$F$202,6,FALSE)</f>
        <v>0</v>
      </c>
      <c r="V181" s="387">
        <f t="shared" si="90"/>
        <v>15.030010000000001</v>
      </c>
      <c r="W181" s="387">
        <f t="shared" si="99"/>
        <v>-1.000000000139778E-5</v>
      </c>
      <c r="X181" s="387">
        <f t="shared" si="100"/>
        <v>7979.1263999999992</v>
      </c>
      <c r="Y181" s="346">
        <f t="shared" si="101"/>
        <v>2415.5040000000004</v>
      </c>
      <c r="Z181" s="346">
        <f t="shared" si="102"/>
        <v>552.11519999999996</v>
      </c>
      <c r="AA181" s="346">
        <f t="shared" si="95"/>
        <v>806.5128960000003</v>
      </c>
      <c r="AB181" s="346">
        <f t="shared" si="103"/>
        <v>1255.6300000000001</v>
      </c>
      <c r="AC181" s="346">
        <f t="shared" si="104"/>
        <v>220.63</v>
      </c>
      <c r="AD181" s="346">
        <f t="shared" si="98"/>
        <v>0</v>
      </c>
      <c r="AE181" s="346">
        <f t="shared" si="111"/>
        <v>0</v>
      </c>
      <c r="AF181" s="346">
        <f t="shared" si="105"/>
        <v>0</v>
      </c>
      <c r="AG181" s="346">
        <f t="shared" si="106"/>
        <v>0</v>
      </c>
      <c r="AH181" s="346">
        <f t="shared" si="107"/>
        <v>2728.72</v>
      </c>
      <c r="AI181" s="346">
        <f t="shared" si="108"/>
        <v>0</v>
      </c>
      <c r="AJ181" s="346">
        <f t="shared" si="109"/>
        <v>0</v>
      </c>
      <c r="AK181" s="346">
        <f t="shared" si="92"/>
        <v>0</v>
      </c>
      <c r="AL181" s="346">
        <f t="shared" si="110"/>
        <v>0</v>
      </c>
      <c r="AM181" s="445">
        <f t="shared" si="93"/>
        <v>7979.1120960000007</v>
      </c>
      <c r="AN181" s="446">
        <f>X181-AM181</f>
        <v>1.430399999844667E-2</v>
      </c>
    </row>
    <row r="182" spans="2:40" s="167" customFormat="1" ht="41.45" customHeight="1" x14ac:dyDescent="0.25">
      <c r="B182" s="384" t="s">
        <v>485</v>
      </c>
      <c r="C182" s="385">
        <v>103800</v>
      </c>
      <c r="D182" s="386" t="s">
        <v>487</v>
      </c>
      <c r="E182" s="277" t="s">
        <v>41</v>
      </c>
      <c r="F182" s="387">
        <v>496.62</v>
      </c>
      <c r="G182" s="387">
        <v>11.78</v>
      </c>
      <c r="H182" s="444">
        <v>0.9</v>
      </c>
      <c r="I182" s="444">
        <v>10.88</v>
      </c>
      <c r="J182" s="443"/>
      <c r="K182" s="444"/>
      <c r="L182" s="444"/>
      <c r="M182" s="444"/>
      <c r="N182" s="387"/>
      <c r="O182" s="387"/>
      <c r="P182" s="444"/>
      <c r="Q182" s="444"/>
      <c r="R182" s="444">
        <v>0</v>
      </c>
      <c r="S182" s="444">
        <v>0</v>
      </c>
      <c r="T182" s="444">
        <v>0</v>
      </c>
      <c r="U182" s="444">
        <f>VLOOKUP(B182,'MEMÓRIA MEDIÇÃO 14'!$A$8:$F$202,6,FALSE)</f>
        <v>0</v>
      </c>
      <c r="V182" s="387">
        <f t="shared" si="90"/>
        <v>11.780000000000001</v>
      </c>
      <c r="W182" s="387">
        <f t="shared" si="99"/>
        <v>0</v>
      </c>
      <c r="X182" s="387">
        <f t="shared" si="100"/>
        <v>5850.1835999999994</v>
      </c>
      <c r="Y182" s="346">
        <f t="shared" si="101"/>
        <v>446.95800000000003</v>
      </c>
      <c r="Z182" s="346">
        <f t="shared" si="102"/>
        <v>5403.2256000000007</v>
      </c>
      <c r="AA182" s="346">
        <f t="shared" si="95"/>
        <v>0</v>
      </c>
      <c r="AB182" s="346">
        <f t="shared" si="103"/>
        <v>0</v>
      </c>
      <c r="AC182" s="346">
        <f t="shared" si="104"/>
        <v>0</v>
      </c>
      <c r="AD182" s="346">
        <f t="shared" si="98"/>
        <v>0</v>
      </c>
      <c r="AE182" s="346">
        <f t="shared" si="111"/>
        <v>0</v>
      </c>
      <c r="AF182" s="346">
        <f t="shared" si="105"/>
        <v>0</v>
      </c>
      <c r="AG182" s="346">
        <f t="shared" si="106"/>
        <v>0</v>
      </c>
      <c r="AH182" s="346">
        <f t="shared" si="107"/>
        <v>0</v>
      </c>
      <c r="AI182" s="346">
        <f t="shared" si="108"/>
        <v>0</v>
      </c>
      <c r="AJ182" s="346">
        <f t="shared" si="109"/>
        <v>0</v>
      </c>
      <c r="AK182" s="346">
        <f t="shared" si="92"/>
        <v>0</v>
      </c>
      <c r="AL182" s="346">
        <f t="shared" si="110"/>
        <v>0</v>
      </c>
      <c r="AM182" s="445">
        <f t="shared" si="93"/>
        <v>5850.1836000000003</v>
      </c>
      <c r="AN182" s="446">
        <f t="shared" si="94"/>
        <v>0</v>
      </c>
    </row>
    <row r="183" spans="2:40" s="168" customFormat="1" ht="22.5" x14ac:dyDescent="0.25">
      <c r="B183" s="384" t="s">
        <v>488</v>
      </c>
      <c r="C183" s="385">
        <v>103670</v>
      </c>
      <c r="D183" s="386" t="s">
        <v>71</v>
      </c>
      <c r="E183" s="277" t="s">
        <v>41</v>
      </c>
      <c r="F183" s="387">
        <v>230.55</v>
      </c>
      <c r="G183" s="387">
        <v>15.03</v>
      </c>
      <c r="H183" s="444">
        <f>'MEMORIAL DE CALCULO 01'!K200</f>
        <v>4.5500000000000007</v>
      </c>
      <c r="I183" s="444">
        <f>'MEMORIAL DE CALCULO 02'!K431</f>
        <v>1.04</v>
      </c>
      <c r="J183" s="443">
        <f>'MEMORIAL DE CALCULO 03'!K543</f>
        <v>1.5192000000000005</v>
      </c>
      <c r="K183" s="444">
        <f>'MEMORIAL DE CALCULO 04'!K644</f>
        <v>2.3652000000000002</v>
      </c>
      <c r="L183" s="444">
        <f>'MEMORIAL DE CALCULO 05'!K632</f>
        <v>0.41563</v>
      </c>
      <c r="M183" s="444"/>
      <c r="N183" s="387"/>
      <c r="O183" s="387"/>
      <c r="P183" s="444"/>
      <c r="Q183" s="444">
        <v>5.14</v>
      </c>
      <c r="R183" s="444">
        <v>0</v>
      </c>
      <c r="S183" s="444">
        <v>0</v>
      </c>
      <c r="T183" s="444">
        <v>0</v>
      </c>
      <c r="U183" s="444">
        <f>VLOOKUP(B183,'MEMÓRIA MEDIÇÃO 14'!$A$8:$F$202,6,FALSE)</f>
        <v>0</v>
      </c>
      <c r="V183" s="387">
        <f t="shared" si="90"/>
        <v>15.03003</v>
      </c>
      <c r="W183" s="387">
        <f t="shared" si="99"/>
        <v>-3.0000000000640625E-5</v>
      </c>
      <c r="X183" s="387">
        <f t="shared" si="100"/>
        <v>3465.1664999999998</v>
      </c>
      <c r="Y183" s="346">
        <f t="shared" si="101"/>
        <v>1049.0025000000003</v>
      </c>
      <c r="Z183" s="346">
        <f t="shared" si="102"/>
        <v>239.77200000000002</v>
      </c>
      <c r="AA183" s="346">
        <f t="shared" si="95"/>
        <v>350.25156000000015</v>
      </c>
      <c r="AB183" s="346">
        <f t="shared" si="103"/>
        <v>545.29</v>
      </c>
      <c r="AC183" s="346">
        <f t="shared" si="104"/>
        <v>95.82</v>
      </c>
      <c r="AD183" s="346">
        <f t="shared" si="98"/>
        <v>0</v>
      </c>
      <c r="AE183" s="346">
        <f t="shared" si="111"/>
        <v>0</v>
      </c>
      <c r="AF183" s="346">
        <f t="shared" si="105"/>
        <v>0</v>
      </c>
      <c r="AG183" s="346">
        <f t="shared" si="106"/>
        <v>0</v>
      </c>
      <c r="AH183" s="346">
        <f t="shared" si="107"/>
        <v>1185.02</v>
      </c>
      <c r="AI183" s="346">
        <f t="shared" si="108"/>
        <v>0</v>
      </c>
      <c r="AJ183" s="346">
        <f t="shared" si="109"/>
        <v>0</v>
      </c>
      <c r="AK183" s="346">
        <f t="shared" si="92"/>
        <v>0</v>
      </c>
      <c r="AL183" s="346">
        <f t="shared" si="110"/>
        <v>0</v>
      </c>
      <c r="AM183" s="445">
        <f t="shared" si="93"/>
        <v>3465.1560600000003</v>
      </c>
      <c r="AN183" s="446">
        <f t="shared" si="94"/>
        <v>1.0439999999562133E-2</v>
      </c>
    </row>
    <row r="184" spans="2:40" s="168" customFormat="1" ht="22.5" x14ac:dyDescent="0.25">
      <c r="B184" s="384" t="s">
        <v>489</v>
      </c>
      <c r="C184" s="385">
        <v>96543</v>
      </c>
      <c r="D184" s="386" t="s">
        <v>74</v>
      </c>
      <c r="E184" s="277" t="s">
        <v>62</v>
      </c>
      <c r="F184" s="387">
        <v>17.5</v>
      </c>
      <c r="G184" s="387">
        <v>219.15</v>
      </c>
      <c r="H184" s="444">
        <f>'MEMORIAL DE CALCULO 01'!K202</f>
        <v>42.149799999999992</v>
      </c>
      <c r="I184" s="444">
        <f>'MEMORIAL DE CALCULO 02'!K433</f>
        <v>9.6342399999999984</v>
      </c>
      <c r="J184" s="443">
        <f>'MEMORIAL DE CALCULO 03'!K545</f>
        <v>39.772656000000005</v>
      </c>
      <c r="K184" s="444">
        <f>'MEMORIAL DE CALCULO 04'!K646</f>
        <v>62.025655999999977</v>
      </c>
      <c r="L184" s="444">
        <f>'MEMORIAL DE CALCULO 05'!K634</f>
        <v>8.4384999999999994</v>
      </c>
      <c r="M184" s="444"/>
      <c r="N184" s="387"/>
      <c r="O184" s="387"/>
      <c r="P184" s="444"/>
      <c r="Q184" s="444">
        <v>57.13</v>
      </c>
      <c r="R184" s="444">
        <v>0</v>
      </c>
      <c r="S184" s="444">
        <v>0</v>
      </c>
      <c r="T184" s="444">
        <v>0</v>
      </c>
      <c r="U184" s="444">
        <f>VLOOKUP(B184,'MEMÓRIA MEDIÇÃO 14'!$A$8:$F$202,6,FALSE)</f>
        <v>0</v>
      </c>
      <c r="V184" s="387">
        <f t="shared" si="90"/>
        <v>219.15085199999996</v>
      </c>
      <c r="W184" s="387">
        <f t="shared" si="99"/>
        <v>-8.5199999995211328E-4</v>
      </c>
      <c r="X184" s="387">
        <f t="shared" si="100"/>
        <v>3835.125</v>
      </c>
      <c r="Y184" s="346">
        <f t="shared" si="101"/>
        <v>737.62149999999986</v>
      </c>
      <c r="Z184" s="346">
        <f t="shared" si="102"/>
        <v>168.59919999999997</v>
      </c>
      <c r="AA184" s="346">
        <f t="shared" si="95"/>
        <v>696.02148000000011</v>
      </c>
      <c r="AB184" s="346">
        <f t="shared" si="103"/>
        <v>1085.44</v>
      </c>
      <c r="AC184" s="346">
        <f t="shared" si="104"/>
        <v>147.66999999999999</v>
      </c>
      <c r="AD184" s="346">
        <f t="shared" si="98"/>
        <v>0</v>
      </c>
      <c r="AE184" s="346">
        <f t="shared" si="111"/>
        <v>0</v>
      </c>
      <c r="AF184" s="346">
        <f t="shared" si="105"/>
        <v>0</v>
      </c>
      <c r="AG184" s="346">
        <f t="shared" si="106"/>
        <v>0</v>
      </c>
      <c r="AH184" s="346">
        <f t="shared" si="107"/>
        <v>999.77</v>
      </c>
      <c r="AI184" s="346">
        <f t="shared" si="108"/>
        <v>0</v>
      </c>
      <c r="AJ184" s="346">
        <f t="shared" si="109"/>
        <v>0</v>
      </c>
      <c r="AK184" s="346">
        <f t="shared" si="92"/>
        <v>0</v>
      </c>
      <c r="AL184" s="346">
        <f t="shared" si="110"/>
        <v>0</v>
      </c>
      <c r="AM184" s="445">
        <f t="shared" si="93"/>
        <v>3835.1221799999998</v>
      </c>
      <c r="AN184" s="446">
        <f t="shared" si="94"/>
        <v>2.8200000001561421E-3</v>
      </c>
    </row>
    <row r="185" spans="2:40" s="168" customFormat="1" ht="22.5" x14ac:dyDescent="0.25">
      <c r="B185" s="384" t="s">
        <v>490</v>
      </c>
      <c r="C185" s="385">
        <v>96546</v>
      </c>
      <c r="D185" s="391" t="s">
        <v>80</v>
      </c>
      <c r="E185" s="277" t="s">
        <v>62</v>
      </c>
      <c r="F185" s="277">
        <v>14.35</v>
      </c>
      <c r="G185" s="387">
        <v>421.51</v>
      </c>
      <c r="H185" s="443">
        <f>'MEMORIAL DE CALCULO 01'!K204</f>
        <v>99.337000000000003</v>
      </c>
      <c r="I185" s="443">
        <f>'MEMORIAL DE CALCULO 02'!K435</f>
        <v>22.705599999999997</v>
      </c>
      <c r="J185" s="443">
        <f>'MEMORIAL DE CALCULO 03'!K556</f>
        <v>93.734639999999985</v>
      </c>
      <c r="K185" s="443">
        <f>'MEMORIAL DE CALCULO 04'!K664</f>
        <v>146.17963999999998</v>
      </c>
      <c r="L185" s="443">
        <f>'MEMORIAL DE CALCULO 05'!K636</f>
        <v>15.84</v>
      </c>
      <c r="M185" s="278"/>
      <c r="N185" s="278"/>
      <c r="O185" s="278"/>
      <c r="P185" s="278"/>
      <c r="Q185" s="278">
        <v>43.7</v>
      </c>
      <c r="R185" s="444">
        <v>0</v>
      </c>
      <c r="S185" s="444">
        <v>0</v>
      </c>
      <c r="T185" s="444">
        <v>0</v>
      </c>
      <c r="U185" s="444">
        <f>VLOOKUP(B185,'MEMÓRIA MEDIÇÃO 14'!$A$8:$F$202,6,FALSE)</f>
        <v>0</v>
      </c>
      <c r="V185" s="387">
        <f t="shared" si="90"/>
        <v>421.49687999999992</v>
      </c>
      <c r="W185" s="387">
        <f t="shared" si="99"/>
        <v>1.3120000000071741E-2</v>
      </c>
      <c r="X185" s="387">
        <f t="shared" si="100"/>
        <v>6048.6684999999998</v>
      </c>
      <c r="Y185" s="346">
        <f t="shared" si="101"/>
        <v>1425.48595</v>
      </c>
      <c r="Z185" s="346">
        <f t="shared" si="102"/>
        <v>325.82535999999993</v>
      </c>
      <c r="AA185" s="346">
        <f t="shared" si="95"/>
        <v>1345.0920839999997</v>
      </c>
      <c r="AB185" s="346">
        <f t="shared" si="103"/>
        <v>2097.67</v>
      </c>
      <c r="AC185" s="346">
        <f t="shared" si="104"/>
        <v>227.3</v>
      </c>
      <c r="AD185" s="346">
        <f t="shared" si="98"/>
        <v>0</v>
      </c>
      <c r="AE185" s="346">
        <f t="shared" si="111"/>
        <v>0</v>
      </c>
      <c r="AF185" s="346">
        <f t="shared" si="105"/>
        <v>0</v>
      </c>
      <c r="AG185" s="346">
        <f t="shared" si="106"/>
        <v>0</v>
      </c>
      <c r="AH185" s="346">
        <f t="shared" si="107"/>
        <v>627.09</v>
      </c>
      <c r="AI185" s="346">
        <f t="shared" si="108"/>
        <v>0</v>
      </c>
      <c r="AJ185" s="346">
        <f t="shared" si="109"/>
        <v>0</v>
      </c>
      <c r="AK185" s="346">
        <f t="shared" si="92"/>
        <v>0</v>
      </c>
      <c r="AL185" s="346">
        <f t="shared" si="110"/>
        <v>0</v>
      </c>
      <c r="AM185" s="445">
        <f t="shared" si="93"/>
        <v>6048.4633940000003</v>
      </c>
      <c r="AN185" s="446">
        <f t="shared" si="94"/>
        <v>0.20510599999943224</v>
      </c>
    </row>
    <row r="186" spans="2:40" s="168" customFormat="1" ht="33.75" x14ac:dyDescent="0.25">
      <c r="B186" s="384" t="s">
        <v>491</v>
      </c>
      <c r="C186" s="385">
        <v>96536</v>
      </c>
      <c r="D186" s="386" t="s">
        <v>86</v>
      </c>
      <c r="E186" s="277" t="s">
        <v>17</v>
      </c>
      <c r="F186" s="387">
        <v>69.64</v>
      </c>
      <c r="G186" s="387">
        <v>162.43</v>
      </c>
      <c r="H186" s="444">
        <f>'MEMORIAL DE CALCULO 01'!K206</f>
        <v>53.2</v>
      </c>
      <c r="I186" s="444">
        <f>'MEMORIAL DE CALCULO 02'!K437</f>
        <v>12.16</v>
      </c>
      <c r="J186" s="443">
        <f>'MEMORIAL DE CALCULO 03'!K567</f>
        <v>30.383999999999997</v>
      </c>
      <c r="K186" s="444">
        <f>'MEMORIAL DE CALCULO 04'!K682</f>
        <v>47.304000000000002</v>
      </c>
      <c r="L186" s="444">
        <f>'MEMORIAL DE CALCULO 05'!K638</f>
        <v>6.55</v>
      </c>
      <c r="M186" s="444"/>
      <c r="N186" s="387"/>
      <c r="O186" s="387"/>
      <c r="P186" s="444"/>
      <c r="Q186" s="444">
        <v>12.832000000000022</v>
      </c>
      <c r="R186" s="444">
        <v>0</v>
      </c>
      <c r="S186" s="444">
        <v>0</v>
      </c>
      <c r="T186" s="444">
        <v>0</v>
      </c>
      <c r="U186" s="444">
        <f>VLOOKUP(B186,'MEMÓRIA MEDIÇÃO 14'!$A$8:$F$202,6,FALSE)</f>
        <v>0</v>
      </c>
      <c r="V186" s="387">
        <f t="shared" si="90"/>
        <v>162.43000000000004</v>
      </c>
      <c r="W186" s="387">
        <f t="shared" si="99"/>
        <v>0</v>
      </c>
      <c r="X186" s="387">
        <f t="shared" si="100"/>
        <v>11311.6252</v>
      </c>
      <c r="Y186" s="346">
        <f t="shared" si="101"/>
        <v>3704.8480000000004</v>
      </c>
      <c r="Z186" s="346">
        <f t="shared" si="102"/>
        <v>846.82240000000002</v>
      </c>
      <c r="AA186" s="346">
        <f t="shared" si="95"/>
        <v>2115.9417599999997</v>
      </c>
      <c r="AB186" s="346">
        <f t="shared" si="103"/>
        <v>3294.25</v>
      </c>
      <c r="AC186" s="346">
        <f t="shared" si="104"/>
        <v>456.14</v>
      </c>
      <c r="AD186" s="346">
        <f t="shared" si="98"/>
        <v>0</v>
      </c>
      <c r="AE186" s="346">
        <f t="shared" si="111"/>
        <v>0</v>
      </c>
      <c r="AF186" s="346">
        <f t="shared" si="105"/>
        <v>0</v>
      </c>
      <c r="AG186" s="346">
        <f t="shared" si="106"/>
        <v>0</v>
      </c>
      <c r="AH186" s="346">
        <f t="shared" si="107"/>
        <v>893.62</v>
      </c>
      <c r="AI186" s="346">
        <f t="shared" si="108"/>
        <v>0</v>
      </c>
      <c r="AJ186" s="346">
        <f t="shared" si="109"/>
        <v>0</v>
      </c>
      <c r="AK186" s="346">
        <f t="shared" si="92"/>
        <v>0</v>
      </c>
      <c r="AL186" s="346">
        <f t="shared" si="110"/>
        <v>0</v>
      </c>
      <c r="AM186" s="445">
        <f t="shared" si="93"/>
        <v>11311.622160000001</v>
      </c>
      <c r="AN186" s="446">
        <f t="shared" si="94"/>
        <v>3.0399999996006954E-3</v>
      </c>
    </row>
    <row r="187" spans="2:40" s="169" customFormat="1" ht="22.5" x14ac:dyDescent="0.25">
      <c r="B187" s="384" t="s">
        <v>492</v>
      </c>
      <c r="C187" s="385">
        <v>98557</v>
      </c>
      <c r="D187" s="386" t="s">
        <v>89</v>
      </c>
      <c r="E187" s="277" t="s">
        <v>17</v>
      </c>
      <c r="F187" s="387">
        <v>48.22</v>
      </c>
      <c r="G187" s="387">
        <v>65.430000000000007</v>
      </c>
      <c r="H187" s="444"/>
      <c r="I187" s="444"/>
      <c r="J187" s="443">
        <f>'MEMORIAL DE CALCULO 03'!K580</f>
        <v>33.634999999999998</v>
      </c>
      <c r="K187" s="444">
        <v>31.8</v>
      </c>
      <c r="L187" s="444"/>
      <c r="M187" s="444"/>
      <c r="N187" s="387"/>
      <c r="O187" s="387"/>
      <c r="P187" s="444"/>
      <c r="Q187" s="444"/>
      <c r="R187" s="444">
        <v>0</v>
      </c>
      <c r="S187" s="444">
        <v>0</v>
      </c>
      <c r="T187" s="444">
        <v>0</v>
      </c>
      <c r="U187" s="444">
        <f>VLOOKUP(B187,'MEMÓRIA MEDIÇÃO 14'!$A$8:$F$202,6,FALSE)</f>
        <v>0</v>
      </c>
      <c r="V187" s="387">
        <f t="shared" si="90"/>
        <v>65.435000000000002</v>
      </c>
      <c r="W187" s="387">
        <f t="shared" si="99"/>
        <v>-4.9999999999954525E-3</v>
      </c>
      <c r="X187" s="387">
        <f t="shared" si="100"/>
        <v>3155.0346000000004</v>
      </c>
      <c r="Y187" s="346">
        <f t="shared" si="101"/>
        <v>0</v>
      </c>
      <c r="Z187" s="346">
        <f t="shared" si="102"/>
        <v>0</v>
      </c>
      <c r="AA187" s="346">
        <f t="shared" ref="AA187:AA208" si="112">F187*J187</f>
        <v>1621.8797</v>
      </c>
      <c r="AB187" s="346">
        <f t="shared" si="103"/>
        <v>1533.39</v>
      </c>
      <c r="AC187" s="346">
        <f t="shared" si="104"/>
        <v>0</v>
      </c>
      <c r="AD187" s="346">
        <f t="shared" si="98"/>
        <v>0</v>
      </c>
      <c r="AE187" s="346">
        <f t="shared" si="111"/>
        <v>0</v>
      </c>
      <c r="AF187" s="346">
        <f t="shared" si="105"/>
        <v>0</v>
      </c>
      <c r="AG187" s="346">
        <f t="shared" si="106"/>
        <v>0</v>
      </c>
      <c r="AH187" s="346">
        <f t="shared" si="107"/>
        <v>0</v>
      </c>
      <c r="AI187" s="346">
        <f t="shared" si="108"/>
        <v>0</v>
      </c>
      <c r="AJ187" s="346">
        <f t="shared" si="109"/>
        <v>0</v>
      </c>
      <c r="AK187" s="346">
        <f t="shared" si="92"/>
        <v>0</v>
      </c>
      <c r="AL187" s="346">
        <f t="shared" si="110"/>
        <v>0</v>
      </c>
      <c r="AM187" s="445">
        <f t="shared" si="93"/>
        <v>3155.2696999999998</v>
      </c>
      <c r="AN187" s="446">
        <f t="shared" si="94"/>
        <v>-0.23509999999942011</v>
      </c>
    </row>
    <row r="188" spans="2:40" s="169" customFormat="1" ht="45" x14ac:dyDescent="0.25">
      <c r="B188" s="384" t="s">
        <v>493</v>
      </c>
      <c r="C188" s="385">
        <v>103356</v>
      </c>
      <c r="D188" s="386" t="s">
        <v>137</v>
      </c>
      <c r="E188" s="277" t="s">
        <v>17</v>
      </c>
      <c r="F188" s="387">
        <v>46.86</v>
      </c>
      <c r="G188" s="387">
        <v>405.64</v>
      </c>
      <c r="H188" s="444"/>
      <c r="I188" s="444"/>
      <c r="J188" s="443">
        <f>'MEMORIAL DE CALCULO 03'!K581</f>
        <v>208.53700000000003</v>
      </c>
      <c r="K188" s="444">
        <f>'MEMORIAL DE CALCULO 04'!K703</f>
        <v>177.38200000000001</v>
      </c>
      <c r="L188" s="444">
        <f>'MEMORIAL DE CALCULO 05'!K642</f>
        <v>19.721239000000001</v>
      </c>
      <c r="M188" s="444"/>
      <c r="N188" s="387"/>
      <c r="O188" s="387"/>
      <c r="P188" s="444"/>
      <c r="Q188" s="444"/>
      <c r="R188" s="444">
        <v>0</v>
      </c>
      <c r="S188" s="444">
        <v>0</v>
      </c>
      <c r="T188" s="444">
        <v>0</v>
      </c>
      <c r="U188" s="444">
        <f>VLOOKUP(B188,'MEMÓRIA MEDIÇÃO 14'!$A$8:$F$202,6,FALSE)</f>
        <v>0</v>
      </c>
      <c r="V188" s="387">
        <f t="shared" si="90"/>
        <v>405.64023900000007</v>
      </c>
      <c r="W188" s="387">
        <f t="shared" si="99"/>
        <v>-2.3900000007870403E-4</v>
      </c>
      <c r="X188" s="387">
        <f t="shared" si="100"/>
        <v>19008.290399999998</v>
      </c>
      <c r="Y188" s="346">
        <f t="shared" si="101"/>
        <v>0</v>
      </c>
      <c r="Z188" s="346">
        <f t="shared" si="102"/>
        <v>0</v>
      </c>
      <c r="AA188" s="346">
        <f t="shared" si="112"/>
        <v>9772.0438200000008</v>
      </c>
      <c r="AB188" s="346">
        <f t="shared" si="103"/>
        <v>8312.1200000000008</v>
      </c>
      <c r="AC188" s="346">
        <f t="shared" si="104"/>
        <v>924.13</v>
      </c>
      <c r="AD188" s="346">
        <f t="shared" si="98"/>
        <v>0</v>
      </c>
      <c r="AE188" s="346">
        <f t="shared" si="111"/>
        <v>0</v>
      </c>
      <c r="AF188" s="346">
        <f t="shared" si="105"/>
        <v>0</v>
      </c>
      <c r="AG188" s="346">
        <f t="shared" si="106"/>
        <v>0</v>
      </c>
      <c r="AH188" s="346">
        <f t="shared" si="107"/>
        <v>0</v>
      </c>
      <c r="AI188" s="346">
        <f t="shared" si="108"/>
        <v>0</v>
      </c>
      <c r="AJ188" s="346">
        <f t="shared" si="109"/>
        <v>0</v>
      </c>
      <c r="AK188" s="346">
        <f t="shared" si="92"/>
        <v>0</v>
      </c>
      <c r="AL188" s="346">
        <f t="shared" si="110"/>
        <v>0</v>
      </c>
      <c r="AM188" s="445">
        <f t="shared" si="93"/>
        <v>19008.293820000003</v>
      </c>
      <c r="AN188" s="446">
        <f t="shared" si="94"/>
        <v>-3.4200000045530032E-3</v>
      </c>
    </row>
    <row r="189" spans="2:40" s="169" customFormat="1" ht="45" x14ac:dyDescent="0.25">
      <c r="B189" s="384" t="s">
        <v>494</v>
      </c>
      <c r="C189" s="385">
        <v>87893</v>
      </c>
      <c r="D189" s="386" t="s">
        <v>151</v>
      </c>
      <c r="E189" s="277" t="s">
        <v>17</v>
      </c>
      <c r="F189" s="387">
        <v>6.08</v>
      </c>
      <c r="G189" s="387">
        <v>883.13</v>
      </c>
      <c r="H189" s="444"/>
      <c r="I189" s="444"/>
      <c r="J189" s="443"/>
      <c r="K189" s="444">
        <f>'MEMORIAL DE CALCULO 04'!K705</f>
        <v>124.52700000000002</v>
      </c>
      <c r="L189" s="444">
        <f>'MEMORIAL DE CALCULO 05'!K644</f>
        <v>686.74300000000005</v>
      </c>
      <c r="M189" s="444"/>
      <c r="N189" s="387"/>
      <c r="O189" s="387"/>
      <c r="P189" s="444"/>
      <c r="Q189" s="444">
        <v>71.859750000000076</v>
      </c>
      <c r="R189" s="444">
        <v>0</v>
      </c>
      <c r="S189" s="444">
        <v>0</v>
      </c>
      <c r="T189" s="444">
        <v>0</v>
      </c>
      <c r="U189" s="444">
        <f>VLOOKUP(B189,'MEMÓRIA MEDIÇÃO 14'!$A$8:$F$202,6,FALSE)</f>
        <v>0</v>
      </c>
      <c r="V189" s="387">
        <f t="shared" si="90"/>
        <v>883.12975000000017</v>
      </c>
      <c r="W189" s="387">
        <f t="shared" si="99"/>
        <v>2.4999999982355803E-4</v>
      </c>
      <c r="X189" s="387">
        <f t="shared" si="100"/>
        <v>5369.4304000000002</v>
      </c>
      <c r="Y189" s="346">
        <f t="shared" si="101"/>
        <v>0</v>
      </c>
      <c r="Z189" s="346">
        <f t="shared" si="102"/>
        <v>0</v>
      </c>
      <c r="AA189" s="346">
        <f t="shared" si="112"/>
        <v>0</v>
      </c>
      <c r="AB189" s="346">
        <f t="shared" si="103"/>
        <v>757.12</v>
      </c>
      <c r="AC189" s="346">
        <f t="shared" si="104"/>
        <v>4175.3900000000003</v>
      </c>
      <c r="AD189" s="346">
        <f t="shared" si="98"/>
        <v>0</v>
      </c>
      <c r="AE189" s="346">
        <f t="shared" si="111"/>
        <v>0</v>
      </c>
      <c r="AF189" s="346">
        <f t="shared" si="105"/>
        <v>0</v>
      </c>
      <c r="AG189" s="346">
        <f t="shared" si="106"/>
        <v>0</v>
      </c>
      <c r="AH189" s="346">
        <f t="shared" si="107"/>
        <v>436.9</v>
      </c>
      <c r="AI189" s="346">
        <f t="shared" si="108"/>
        <v>0</v>
      </c>
      <c r="AJ189" s="346">
        <f t="shared" si="109"/>
        <v>0</v>
      </c>
      <c r="AK189" s="346">
        <f t="shared" si="92"/>
        <v>0</v>
      </c>
      <c r="AL189" s="346">
        <f t="shared" si="110"/>
        <v>0</v>
      </c>
      <c r="AM189" s="445">
        <f t="shared" si="93"/>
        <v>5369.41</v>
      </c>
      <c r="AN189" s="446">
        <f t="shared" si="94"/>
        <v>2.0400000000336149E-2</v>
      </c>
    </row>
    <row r="190" spans="2:40" s="167" customFormat="1" ht="56.25" x14ac:dyDescent="0.25">
      <c r="B190" s="384" t="s">
        <v>495</v>
      </c>
      <c r="C190" s="385">
        <v>87548</v>
      </c>
      <c r="D190" s="386" t="s">
        <v>154</v>
      </c>
      <c r="E190" s="277" t="s">
        <v>17</v>
      </c>
      <c r="F190" s="387">
        <v>22.4</v>
      </c>
      <c r="G190" s="387">
        <v>883.13</v>
      </c>
      <c r="H190" s="444"/>
      <c r="I190" s="444"/>
      <c r="J190" s="443"/>
      <c r="K190" s="444"/>
      <c r="L190" s="444">
        <f>'MEMORIAL DE CALCULO 05'!K646</f>
        <v>405.66600000000005</v>
      </c>
      <c r="M190" s="444">
        <f>'MEMORIAL DE CALCULO 06'!K420</f>
        <v>405.60400000000004</v>
      </c>
      <c r="N190" s="387"/>
      <c r="O190" s="387"/>
      <c r="P190" s="444"/>
      <c r="Q190" s="444">
        <v>71.859750000000076</v>
      </c>
      <c r="R190" s="444">
        <v>0</v>
      </c>
      <c r="S190" s="444">
        <v>0</v>
      </c>
      <c r="T190" s="444">
        <v>0</v>
      </c>
      <c r="U190" s="444">
        <f>VLOOKUP(B190,'MEMÓRIA MEDIÇÃO 14'!$A$8:$F$202,6,FALSE)</f>
        <v>0</v>
      </c>
      <c r="V190" s="387">
        <f t="shared" si="90"/>
        <v>883.12975000000017</v>
      </c>
      <c r="W190" s="387">
        <f t="shared" si="99"/>
        <v>2.4999999982355803E-4</v>
      </c>
      <c r="X190" s="387">
        <f t="shared" si="100"/>
        <v>19782.111999999997</v>
      </c>
      <c r="Y190" s="346">
        <f t="shared" si="101"/>
        <v>0</v>
      </c>
      <c r="Z190" s="346">
        <f t="shared" si="102"/>
        <v>0</v>
      </c>
      <c r="AA190" s="346">
        <f t="shared" si="112"/>
        <v>0</v>
      </c>
      <c r="AB190" s="346">
        <f t="shared" si="103"/>
        <v>0</v>
      </c>
      <c r="AC190" s="346">
        <f t="shared" si="104"/>
        <v>9086.91</v>
      </c>
      <c r="AD190" s="346">
        <f t="shared" si="98"/>
        <v>9085.5295999999998</v>
      </c>
      <c r="AE190" s="346">
        <f t="shared" si="111"/>
        <v>0</v>
      </c>
      <c r="AF190" s="346">
        <f t="shared" si="105"/>
        <v>0</v>
      </c>
      <c r="AG190" s="346">
        <f t="shared" si="106"/>
        <v>0</v>
      </c>
      <c r="AH190" s="346">
        <f t="shared" si="107"/>
        <v>1609.65</v>
      </c>
      <c r="AI190" s="346">
        <f t="shared" si="108"/>
        <v>0</v>
      </c>
      <c r="AJ190" s="346">
        <f t="shared" si="109"/>
        <v>0</v>
      </c>
      <c r="AK190" s="346">
        <f t="shared" si="92"/>
        <v>0</v>
      </c>
      <c r="AL190" s="346">
        <f t="shared" si="110"/>
        <v>0</v>
      </c>
      <c r="AM190" s="445">
        <f t="shared" si="93"/>
        <v>19782.089599999999</v>
      </c>
      <c r="AN190" s="446">
        <f t="shared" si="94"/>
        <v>2.2399999998015119E-2</v>
      </c>
    </row>
    <row r="191" spans="2:40" s="167" customFormat="1" ht="22.5" x14ac:dyDescent="0.25">
      <c r="B191" s="384" t="s">
        <v>496</v>
      </c>
      <c r="C191" s="385">
        <v>88489</v>
      </c>
      <c r="D191" s="386" t="s">
        <v>198</v>
      </c>
      <c r="E191" s="277" t="s">
        <v>17</v>
      </c>
      <c r="F191" s="387">
        <v>12.16</v>
      </c>
      <c r="G191" s="387">
        <v>883.13</v>
      </c>
      <c r="H191" s="444"/>
      <c r="I191" s="444"/>
      <c r="J191" s="443"/>
      <c r="K191" s="444"/>
      <c r="L191" s="444"/>
      <c r="M191" s="444"/>
      <c r="N191" s="387"/>
      <c r="O191" s="387"/>
      <c r="P191" s="444"/>
      <c r="Q191" s="444"/>
      <c r="R191" s="444">
        <v>0</v>
      </c>
      <c r="S191" s="444">
        <v>0</v>
      </c>
      <c r="T191" s="444">
        <v>0</v>
      </c>
      <c r="U191" s="444">
        <f>VLOOKUP(B191,'MEMÓRIA MEDIÇÃO 14'!$A$8:$F$202,6,FALSE)</f>
        <v>0</v>
      </c>
      <c r="V191" s="387">
        <f t="shared" si="90"/>
        <v>0</v>
      </c>
      <c r="W191" s="387">
        <f t="shared" si="99"/>
        <v>883.13</v>
      </c>
      <c r="X191" s="387">
        <f t="shared" si="100"/>
        <v>10738.8608</v>
      </c>
      <c r="Y191" s="346">
        <f t="shared" si="101"/>
        <v>0</v>
      </c>
      <c r="Z191" s="346">
        <f t="shared" si="102"/>
        <v>0</v>
      </c>
      <c r="AA191" s="346">
        <f t="shared" si="112"/>
        <v>0</v>
      </c>
      <c r="AB191" s="346">
        <f t="shared" si="103"/>
        <v>0</v>
      </c>
      <c r="AC191" s="346">
        <f t="shared" si="104"/>
        <v>0</v>
      </c>
      <c r="AD191" s="346">
        <f t="shared" si="98"/>
        <v>0</v>
      </c>
      <c r="AE191" s="346">
        <f t="shared" si="111"/>
        <v>0</v>
      </c>
      <c r="AF191" s="346">
        <f t="shared" si="105"/>
        <v>0</v>
      </c>
      <c r="AG191" s="346">
        <f t="shared" si="106"/>
        <v>0</v>
      </c>
      <c r="AH191" s="346">
        <f t="shared" si="107"/>
        <v>0</v>
      </c>
      <c r="AI191" s="346">
        <f t="shared" si="108"/>
        <v>0</v>
      </c>
      <c r="AJ191" s="346">
        <f t="shared" si="109"/>
        <v>0</v>
      </c>
      <c r="AK191" s="346">
        <f t="shared" si="92"/>
        <v>0</v>
      </c>
      <c r="AL191" s="346">
        <f t="shared" si="110"/>
        <v>0</v>
      </c>
      <c r="AM191" s="445">
        <f t="shared" si="93"/>
        <v>0</v>
      </c>
      <c r="AN191" s="446">
        <f t="shared" si="94"/>
        <v>10738.8608</v>
      </c>
    </row>
    <row r="192" spans="2:40" s="167" customFormat="1" ht="22.5" x14ac:dyDescent="0.25">
      <c r="B192" s="384" t="s">
        <v>497</v>
      </c>
      <c r="C192" s="385">
        <v>95305</v>
      </c>
      <c r="D192" s="386" t="s">
        <v>499</v>
      </c>
      <c r="E192" s="277" t="s">
        <v>17</v>
      </c>
      <c r="F192" s="387">
        <v>10.95</v>
      </c>
      <c r="G192" s="387">
        <v>883.13</v>
      </c>
      <c r="H192" s="444"/>
      <c r="I192" s="444"/>
      <c r="J192" s="443"/>
      <c r="K192" s="444"/>
      <c r="L192" s="444"/>
      <c r="M192" s="444"/>
      <c r="N192" s="387"/>
      <c r="O192" s="387"/>
      <c r="P192" s="444"/>
      <c r="Q192" s="444"/>
      <c r="R192" s="444">
        <v>0</v>
      </c>
      <c r="S192" s="444">
        <v>0</v>
      </c>
      <c r="T192" s="444">
        <v>0</v>
      </c>
      <c r="U192" s="444">
        <f>VLOOKUP(B192,'MEMÓRIA MEDIÇÃO 14'!$A$8:$F$202,6,FALSE)</f>
        <v>706.50400000000002</v>
      </c>
      <c r="V192" s="387">
        <f t="shared" si="90"/>
        <v>706.50400000000002</v>
      </c>
      <c r="W192" s="387">
        <f t="shared" si="99"/>
        <v>176.62599999999998</v>
      </c>
      <c r="X192" s="387">
        <f t="shared" si="100"/>
        <v>9670.2734999999993</v>
      </c>
      <c r="Y192" s="346">
        <f t="shared" si="101"/>
        <v>0</v>
      </c>
      <c r="Z192" s="346">
        <f t="shared" si="102"/>
        <v>0</v>
      </c>
      <c r="AA192" s="346">
        <f t="shared" si="112"/>
        <v>0</v>
      </c>
      <c r="AB192" s="346">
        <f t="shared" si="103"/>
        <v>0</v>
      </c>
      <c r="AC192" s="346">
        <f t="shared" si="104"/>
        <v>0</v>
      </c>
      <c r="AD192" s="346">
        <f t="shared" si="98"/>
        <v>0</v>
      </c>
      <c r="AE192" s="346">
        <f t="shared" si="111"/>
        <v>0</v>
      </c>
      <c r="AF192" s="346">
        <f t="shared" si="105"/>
        <v>0</v>
      </c>
      <c r="AG192" s="346">
        <f t="shared" si="106"/>
        <v>0</v>
      </c>
      <c r="AH192" s="346">
        <f t="shared" si="107"/>
        <v>0</v>
      </c>
      <c r="AI192" s="346">
        <f t="shared" si="108"/>
        <v>0</v>
      </c>
      <c r="AJ192" s="346">
        <f t="shared" si="109"/>
        <v>0</v>
      </c>
      <c r="AK192" s="346">
        <f t="shared" si="92"/>
        <v>0</v>
      </c>
      <c r="AL192" s="346">
        <f t="shared" si="110"/>
        <v>7736.22</v>
      </c>
      <c r="AM192" s="445">
        <f t="shared" si="93"/>
        <v>7736.22</v>
      </c>
      <c r="AN192" s="446">
        <f t="shared" si="94"/>
        <v>1934.0534999999991</v>
      </c>
    </row>
    <row r="193" spans="2:40" s="167" customFormat="1" ht="14.45" customHeight="1" x14ac:dyDescent="0.25">
      <c r="B193" s="347">
        <v>1.1599999999999999</v>
      </c>
      <c r="C193" s="348" t="s">
        <v>501</v>
      </c>
      <c r="D193" s="386"/>
      <c r="E193" s="277"/>
      <c r="F193" s="387"/>
      <c r="G193" s="387"/>
      <c r="H193" s="444"/>
      <c r="I193" s="444"/>
      <c r="J193" s="443"/>
      <c r="K193" s="444"/>
      <c r="L193" s="444"/>
      <c r="M193" s="444"/>
      <c r="N193" s="387"/>
      <c r="O193" s="387"/>
      <c r="P193" s="444"/>
      <c r="Q193" s="444"/>
      <c r="R193" s="444">
        <v>0</v>
      </c>
      <c r="S193" s="444">
        <v>0</v>
      </c>
      <c r="T193" s="444">
        <v>0</v>
      </c>
      <c r="U193" s="444">
        <f>VLOOKUP(B193,'MEMÓRIA MEDIÇÃO 14'!$A$8:$F$202,6,FALSE)</f>
        <v>0</v>
      </c>
      <c r="V193" s="387">
        <f t="shared" si="90"/>
        <v>0</v>
      </c>
      <c r="W193" s="387"/>
      <c r="X193" s="387"/>
      <c r="Y193" s="346">
        <f t="shared" si="101"/>
        <v>0</v>
      </c>
      <c r="Z193" s="346">
        <f t="shared" si="102"/>
        <v>0</v>
      </c>
      <c r="AA193" s="346">
        <f t="shared" si="112"/>
        <v>0</v>
      </c>
      <c r="AB193" s="346">
        <f t="shared" si="103"/>
        <v>0</v>
      </c>
      <c r="AC193" s="346">
        <f t="shared" si="104"/>
        <v>0</v>
      </c>
      <c r="AD193" s="346">
        <f t="shared" si="98"/>
        <v>0</v>
      </c>
      <c r="AE193" s="346">
        <f t="shared" si="111"/>
        <v>0</v>
      </c>
      <c r="AF193" s="346">
        <f t="shared" si="105"/>
        <v>0</v>
      </c>
      <c r="AG193" s="346">
        <f t="shared" si="106"/>
        <v>0</v>
      </c>
      <c r="AH193" s="346">
        <f t="shared" si="107"/>
        <v>0</v>
      </c>
      <c r="AI193" s="346">
        <f t="shared" si="108"/>
        <v>0</v>
      </c>
      <c r="AJ193" s="346">
        <f t="shared" si="109"/>
        <v>0</v>
      </c>
      <c r="AK193" s="346">
        <f t="shared" si="92"/>
        <v>0</v>
      </c>
      <c r="AL193" s="346">
        <f t="shared" si="110"/>
        <v>0</v>
      </c>
      <c r="AM193" s="445">
        <f t="shared" si="93"/>
        <v>0</v>
      </c>
      <c r="AN193" s="446">
        <f t="shared" si="94"/>
        <v>0</v>
      </c>
    </row>
    <row r="194" spans="2:40" s="167" customFormat="1" ht="33.75" x14ac:dyDescent="0.25">
      <c r="B194" s="384" t="s">
        <v>502</v>
      </c>
      <c r="C194" s="442" t="s">
        <v>503</v>
      </c>
      <c r="D194" s="386" t="s">
        <v>504</v>
      </c>
      <c r="E194" s="277" t="s">
        <v>166</v>
      </c>
      <c r="F194" s="387">
        <v>4877.91</v>
      </c>
      <c r="G194" s="387">
        <v>0</v>
      </c>
      <c r="H194" s="444"/>
      <c r="I194" s="444"/>
      <c r="J194" s="443"/>
      <c r="K194" s="444"/>
      <c r="L194" s="444"/>
      <c r="M194" s="444"/>
      <c r="N194" s="387"/>
      <c r="O194" s="387"/>
      <c r="P194" s="444"/>
      <c r="Q194" s="444"/>
      <c r="R194" s="444">
        <v>0</v>
      </c>
      <c r="S194" s="444">
        <v>0</v>
      </c>
      <c r="T194" s="444">
        <v>0</v>
      </c>
      <c r="U194" s="444">
        <f>VLOOKUP(B194,'MEMÓRIA MEDIÇÃO 14'!$A$8:$F$202,6,FALSE)</f>
        <v>0</v>
      </c>
      <c r="V194" s="387">
        <f t="shared" si="90"/>
        <v>0</v>
      </c>
      <c r="W194" s="387">
        <f>G194-V194</f>
        <v>0</v>
      </c>
      <c r="X194" s="387">
        <f>F194*G194</f>
        <v>0</v>
      </c>
      <c r="Y194" s="346">
        <f t="shared" si="101"/>
        <v>0</v>
      </c>
      <c r="Z194" s="346">
        <f t="shared" si="102"/>
        <v>0</v>
      </c>
      <c r="AA194" s="346">
        <f t="shared" si="112"/>
        <v>0</v>
      </c>
      <c r="AB194" s="346">
        <f t="shared" si="103"/>
        <v>0</v>
      </c>
      <c r="AC194" s="346">
        <f t="shared" si="104"/>
        <v>0</v>
      </c>
      <c r="AD194" s="346">
        <f t="shared" ref="AD194:AD208" si="113">M194*F194</f>
        <v>0</v>
      </c>
      <c r="AE194" s="346">
        <f t="shared" si="111"/>
        <v>0</v>
      </c>
      <c r="AF194" s="346">
        <f t="shared" si="105"/>
        <v>0</v>
      </c>
      <c r="AG194" s="346">
        <f t="shared" si="106"/>
        <v>0</v>
      </c>
      <c r="AH194" s="346">
        <f t="shared" si="107"/>
        <v>0</v>
      </c>
      <c r="AI194" s="346">
        <f t="shared" si="108"/>
        <v>0</v>
      </c>
      <c r="AJ194" s="346">
        <f t="shared" si="109"/>
        <v>0</v>
      </c>
      <c r="AK194" s="346">
        <f t="shared" si="92"/>
        <v>0</v>
      </c>
      <c r="AL194" s="346">
        <f t="shared" si="110"/>
        <v>0</v>
      </c>
      <c r="AM194" s="445">
        <f t="shared" si="93"/>
        <v>0</v>
      </c>
      <c r="AN194" s="446">
        <f t="shared" si="94"/>
        <v>0</v>
      </c>
    </row>
    <row r="195" spans="2:40" s="167" customFormat="1" ht="45.75" thickBot="1" x14ac:dyDescent="0.3">
      <c r="B195" s="384" t="s">
        <v>505</v>
      </c>
      <c r="C195" s="442" t="s">
        <v>506</v>
      </c>
      <c r="D195" s="448" t="s">
        <v>507</v>
      </c>
      <c r="E195" s="277" t="s">
        <v>166</v>
      </c>
      <c r="F195" s="387">
        <v>3733.15</v>
      </c>
      <c r="G195" s="449">
        <v>0</v>
      </c>
      <c r="H195" s="450"/>
      <c r="I195" s="450"/>
      <c r="J195" s="451"/>
      <c r="K195" s="450"/>
      <c r="L195" s="450"/>
      <c r="M195" s="450"/>
      <c r="N195" s="452"/>
      <c r="O195" s="452"/>
      <c r="P195" s="450"/>
      <c r="Q195" s="453"/>
      <c r="R195" s="444">
        <v>0</v>
      </c>
      <c r="S195" s="444">
        <v>0</v>
      </c>
      <c r="T195" s="444">
        <v>0</v>
      </c>
      <c r="U195" s="444">
        <f>VLOOKUP(B195,'MEMÓRIA MEDIÇÃO 14'!$A$8:$F$202,6,FALSE)</f>
        <v>0</v>
      </c>
      <c r="V195" s="387">
        <f t="shared" si="90"/>
        <v>0</v>
      </c>
      <c r="W195" s="449">
        <f>G195-V195</f>
        <v>0</v>
      </c>
      <c r="X195" s="449">
        <f>F195*G195</f>
        <v>0</v>
      </c>
      <c r="Y195" s="346">
        <f t="shared" si="101"/>
        <v>0</v>
      </c>
      <c r="Z195" s="346">
        <f t="shared" si="102"/>
        <v>0</v>
      </c>
      <c r="AA195" s="346">
        <f t="shared" si="112"/>
        <v>0</v>
      </c>
      <c r="AB195" s="346">
        <f t="shared" si="103"/>
        <v>0</v>
      </c>
      <c r="AC195" s="346">
        <f t="shared" si="104"/>
        <v>0</v>
      </c>
      <c r="AD195" s="346">
        <f t="shared" si="113"/>
        <v>0</v>
      </c>
      <c r="AE195" s="346">
        <f t="shared" si="111"/>
        <v>0</v>
      </c>
      <c r="AF195" s="346">
        <f t="shared" si="105"/>
        <v>0</v>
      </c>
      <c r="AG195" s="346">
        <f t="shared" si="106"/>
        <v>0</v>
      </c>
      <c r="AH195" s="346">
        <f t="shared" si="107"/>
        <v>0</v>
      </c>
      <c r="AI195" s="346">
        <f t="shared" si="108"/>
        <v>0</v>
      </c>
      <c r="AJ195" s="346">
        <f t="shared" si="109"/>
        <v>0</v>
      </c>
      <c r="AK195" s="346">
        <f t="shared" si="92"/>
        <v>0</v>
      </c>
      <c r="AL195" s="346">
        <f t="shared" si="110"/>
        <v>0</v>
      </c>
      <c r="AM195" s="445">
        <f t="shared" si="93"/>
        <v>0</v>
      </c>
      <c r="AN195" s="454">
        <f t="shared" si="94"/>
        <v>0</v>
      </c>
    </row>
    <row r="196" spans="2:40" s="167" customFormat="1" x14ac:dyDescent="0.25">
      <c r="B196" s="455">
        <v>1.17</v>
      </c>
      <c r="C196" s="456" t="s">
        <v>1030</v>
      </c>
      <c r="D196" s="457"/>
      <c r="E196" s="458"/>
      <c r="F196" s="459"/>
      <c r="G196" s="387"/>
      <c r="H196" s="444"/>
      <c r="I196" s="444"/>
      <c r="J196" s="443"/>
      <c r="K196" s="444"/>
      <c r="L196" s="444"/>
      <c r="M196" s="444"/>
      <c r="N196" s="387"/>
      <c r="O196" s="387"/>
      <c r="P196" s="444"/>
      <c r="Q196" s="444"/>
      <c r="R196" s="444">
        <v>0</v>
      </c>
      <c r="S196" s="444">
        <v>0</v>
      </c>
      <c r="T196" s="444">
        <v>0</v>
      </c>
      <c r="U196" s="444">
        <f>VLOOKUP(B196,'MEMÓRIA MEDIÇÃO 14'!$A$8:$F$202,6,FALSE)</f>
        <v>0</v>
      </c>
      <c r="V196" s="387">
        <f t="shared" si="90"/>
        <v>0</v>
      </c>
      <c r="W196" s="449"/>
      <c r="X196" s="449"/>
      <c r="Y196" s="346">
        <f t="shared" si="101"/>
        <v>0</v>
      </c>
      <c r="Z196" s="346">
        <f t="shared" si="102"/>
        <v>0</v>
      </c>
      <c r="AA196" s="346">
        <f t="shared" si="112"/>
        <v>0</v>
      </c>
      <c r="AB196" s="346">
        <f t="shared" si="103"/>
        <v>0</v>
      </c>
      <c r="AC196" s="346">
        <f t="shared" si="104"/>
        <v>0</v>
      </c>
      <c r="AD196" s="346">
        <f t="shared" si="113"/>
        <v>0</v>
      </c>
      <c r="AE196" s="346">
        <f t="shared" si="111"/>
        <v>0</v>
      </c>
      <c r="AF196" s="346">
        <f t="shared" si="105"/>
        <v>0</v>
      </c>
      <c r="AG196" s="346">
        <f t="shared" si="106"/>
        <v>0</v>
      </c>
      <c r="AH196" s="346"/>
      <c r="AI196" s="346">
        <f t="shared" si="108"/>
        <v>0</v>
      </c>
      <c r="AJ196" s="346">
        <f t="shared" si="109"/>
        <v>0</v>
      </c>
      <c r="AK196" s="346">
        <f t="shared" si="92"/>
        <v>0</v>
      </c>
      <c r="AL196" s="346">
        <f t="shared" si="110"/>
        <v>0</v>
      </c>
      <c r="AM196" s="445">
        <f t="shared" si="93"/>
        <v>0</v>
      </c>
      <c r="AN196" s="454"/>
    </row>
    <row r="197" spans="2:40" s="167" customFormat="1" ht="30.6" customHeight="1" x14ac:dyDescent="0.25">
      <c r="B197" s="384" t="s">
        <v>1017</v>
      </c>
      <c r="C197" s="385">
        <v>94316</v>
      </c>
      <c r="D197" s="386" t="s">
        <v>1035</v>
      </c>
      <c r="E197" s="277" t="s">
        <v>41</v>
      </c>
      <c r="F197" s="387">
        <v>65.36</v>
      </c>
      <c r="G197" s="387">
        <v>620.19000000000005</v>
      </c>
      <c r="H197" s="444"/>
      <c r="I197" s="444"/>
      <c r="J197" s="443"/>
      <c r="K197" s="444"/>
      <c r="L197" s="444"/>
      <c r="M197" s="444"/>
      <c r="N197" s="387"/>
      <c r="O197" s="387"/>
      <c r="P197" s="444"/>
      <c r="Q197" s="444">
        <v>431.86</v>
      </c>
      <c r="R197" s="444">
        <v>0</v>
      </c>
      <c r="S197" s="444">
        <v>0</v>
      </c>
      <c r="T197" s="444">
        <v>0</v>
      </c>
      <c r="U197" s="444">
        <f>VLOOKUP(B197,'MEMÓRIA MEDIÇÃO 14'!$A$8:$F$202,6,FALSE)</f>
        <v>188.33</v>
      </c>
      <c r="V197" s="387">
        <f t="shared" si="90"/>
        <v>620.19000000000005</v>
      </c>
      <c r="W197" s="387">
        <f t="shared" ref="W197:W208" si="114">G197-V197</f>
        <v>0</v>
      </c>
      <c r="X197" s="387">
        <f t="shared" ref="X197:X208" si="115">F197*G197</f>
        <v>40535.618400000007</v>
      </c>
      <c r="Y197" s="346">
        <f t="shared" si="101"/>
        <v>0</v>
      </c>
      <c r="Z197" s="346">
        <f t="shared" si="102"/>
        <v>0</v>
      </c>
      <c r="AA197" s="346">
        <f t="shared" si="112"/>
        <v>0</v>
      </c>
      <c r="AB197" s="346">
        <f t="shared" si="103"/>
        <v>0</v>
      </c>
      <c r="AC197" s="346">
        <f t="shared" si="104"/>
        <v>0</v>
      </c>
      <c r="AD197" s="346">
        <f t="shared" si="113"/>
        <v>0</v>
      </c>
      <c r="AE197" s="346">
        <f t="shared" si="111"/>
        <v>0</v>
      </c>
      <c r="AF197" s="346">
        <f t="shared" si="105"/>
        <v>0</v>
      </c>
      <c r="AG197" s="346">
        <f t="shared" si="106"/>
        <v>0</v>
      </c>
      <c r="AH197" s="346">
        <f t="shared" ref="AH197:AH208" si="116">TRUNC(F197*Q197,2)</f>
        <v>28226.36</v>
      </c>
      <c r="AI197" s="346">
        <f t="shared" si="108"/>
        <v>0</v>
      </c>
      <c r="AJ197" s="346">
        <f t="shared" si="109"/>
        <v>0</v>
      </c>
      <c r="AK197" s="346">
        <f t="shared" si="92"/>
        <v>0</v>
      </c>
      <c r="AL197" s="346">
        <f t="shared" si="110"/>
        <v>12309.25</v>
      </c>
      <c r="AM197" s="445">
        <f t="shared" si="93"/>
        <v>40535.61</v>
      </c>
      <c r="AN197" s="446">
        <f t="shared" ref="AN197:AN208" si="117">X197-AM197</f>
        <v>8.4000000060768798E-3</v>
      </c>
    </row>
    <row r="198" spans="2:40" s="167" customFormat="1" ht="30.6" customHeight="1" x14ac:dyDescent="0.25">
      <c r="B198" s="384" t="s">
        <v>1018</v>
      </c>
      <c r="C198" s="385">
        <v>97626</v>
      </c>
      <c r="D198" s="386" t="s">
        <v>1036</v>
      </c>
      <c r="E198" s="277" t="s">
        <v>41</v>
      </c>
      <c r="F198" s="387">
        <v>512.69000000000005</v>
      </c>
      <c r="G198" s="387">
        <v>0.09</v>
      </c>
      <c r="H198" s="444"/>
      <c r="I198" s="444"/>
      <c r="J198" s="443"/>
      <c r="K198" s="444"/>
      <c r="L198" s="444"/>
      <c r="M198" s="444"/>
      <c r="N198" s="387"/>
      <c r="O198" s="387"/>
      <c r="P198" s="444"/>
      <c r="Q198" s="444"/>
      <c r="R198" s="444">
        <v>0</v>
      </c>
      <c r="S198" s="444">
        <v>0</v>
      </c>
      <c r="T198" s="444">
        <v>0</v>
      </c>
      <c r="U198" s="444">
        <f>VLOOKUP(B198,'MEMÓRIA MEDIÇÃO 14'!$A$8:$F$202,6,FALSE)</f>
        <v>0</v>
      </c>
      <c r="V198" s="387">
        <f t="shared" si="90"/>
        <v>0</v>
      </c>
      <c r="W198" s="449">
        <f t="shared" si="114"/>
        <v>0.09</v>
      </c>
      <c r="X198" s="449">
        <f t="shared" si="115"/>
        <v>46.142100000000006</v>
      </c>
      <c r="Y198" s="346">
        <f t="shared" si="101"/>
        <v>0</v>
      </c>
      <c r="Z198" s="346">
        <f t="shared" si="102"/>
        <v>0</v>
      </c>
      <c r="AA198" s="346">
        <f t="shared" si="112"/>
        <v>0</v>
      </c>
      <c r="AB198" s="346">
        <f t="shared" si="103"/>
        <v>0</v>
      </c>
      <c r="AC198" s="346">
        <f t="shared" si="104"/>
        <v>0</v>
      </c>
      <c r="AD198" s="346">
        <f t="shared" si="113"/>
        <v>0</v>
      </c>
      <c r="AE198" s="346">
        <f t="shared" si="111"/>
        <v>0</v>
      </c>
      <c r="AF198" s="346">
        <f t="shared" si="105"/>
        <v>0</v>
      </c>
      <c r="AG198" s="346">
        <f t="shared" si="106"/>
        <v>0</v>
      </c>
      <c r="AH198" s="346">
        <f t="shared" si="116"/>
        <v>0</v>
      </c>
      <c r="AI198" s="346">
        <f t="shared" si="108"/>
        <v>0</v>
      </c>
      <c r="AJ198" s="346">
        <f t="shared" si="109"/>
        <v>0</v>
      </c>
      <c r="AK198" s="346">
        <f t="shared" si="92"/>
        <v>0</v>
      </c>
      <c r="AL198" s="346">
        <f t="shared" si="110"/>
        <v>0</v>
      </c>
      <c r="AM198" s="445">
        <f t="shared" si="93"/>
        <v>0</v>
      </c>
      <c r="AN198" s="454">
        <f t="shared" si="117"/>
        <v>46.142100000000006</v>
      </c>
    </row>
    <row r="199" spans="2:40" s="167" customFormat="1" ht="30.6" customHeight="1" x14ac:dyDescent="0.25">
      <c r="B199" s="384" t="s">
        <v>1019</v>
      </c>
      <c r="C199" s="385">
        <v>97622</v>
      </c>
      <c r="D199" s="386" t="s">
        <v>1037</v>
      </c>
      <c r="E199" s="277" t="s">
        <v>41</v>
      </c>
      <c r="F199" s="387">
        <v>47.12</v>
      </c>
      <c r="G199" s="387">
        <v>0.19</v>
      </c>
      <c r="H199" s="444"/>
      <c r="I199" s="444"/>
      <c r="J199" s="443"/>
      <c r="K199" s="444"/>
      <c r="L199" s="444"/>
      <c r="M199" s="444"/>
      <c r="N199" s="387"/>
      <c r="O199" s="387"/>
      <c r="P199" s="444"/>
      <c r="Q199" s="444"/>
      <c r="R199" s="444">
        <v>0</v>
      </c>
      <c r="S199" s="444">
        <v>0</v>
      </c>
      <c r="T199" s="444">
        <v>0</v>
      </c>
      <c r="U199" s="444">
        <f>VLOOKUP(B199,'MEMÓRIA MEDIÇÃO 14'!$A$8:$F$202,6,FALSE)</f>
        <v>0</v>
      </c>
      <c r="V199" s="387">
        <f t="shared" si="90"/>
        <v>0</v>
      </c>
      <c r="W199" s="449">
        <f t="shared" si="114"/>
        <v>0.19</v>
      </c>
      <c r="X199" s="449">
        <f t="shared" si="115"/>
        <v>8.9527999999999999</v>
      </c>
      <c r="Y199" s="346">
        <f t="shared" si="101"/>
        <v>0</v>
      </c>
      <c r="Z199" s="346">
        <f t="shared" si="102"/>
        <v>0</v>
      </c>
      <c r="AA199" s="346">
        <f t="shared" si="112"/>
        <v>0</v>
      </c>
      <c r="AB199" s="346">
        <f t="shared" si="103"/>
        <v>0</v>
      </c>
      <c r="AC199" s="346">
        <f t="shared" si="104"/>
        <v>0</v>
      </c>
      <c r="AD199" s="346">
        <f t="shared" si="113"/>
        <v>0</v>
      </c>
      <c r="AE199" s="346">
        <f t="shared" si="111"/>
        <v>0</v>
      </c>
      <c r="AF199" s="346">
        <f t="shared" si="105"/>
        <v>0</v>
      </c>
      <c r="AG199" s="346">
        <f t="shared" si="106"/>
        <v>0</v>
      </c>
      <c r="AH199" s="346">
        <f t="shared" si="116"/>
        <v>0</v>
      </c>
      <c r="AI199" s="346">
        <f t="shared" si="108"/>
        <v>0</v>
      </c>
      <c r="AJ199" s="346">
        <f t="shared" si="109"/>
        <v>0</v>
      </c>
      <c r="AK199" s="346">
        <f t="shared" si="92"/>
        <v>0</v>
      </c>
      <c r="AL199" s="346">
        <f t="shared" si="110"/>
        <v>0</v>
      </c>
      <c r="AM199" s="445">
        <f t="shared" si="93"/>
        <v>0</v>
      </c>
      <c r="AN199" s="454">
        <f t="shared" si="117"/>
        <v>8.9527999999999999</v>
      </c>
    </row>
    <row r="200" spans="2:40" s="167" customFormat="1" ht="30.6" customHeight="1" x14ac:dyDescent="0.25">
      <c r="B200" s="384" t="s">
        <v>1020</v>
      </c>
      <c r="C200" s="385" t="s">
        <v>1031</v>
      </c>
      <c r="D200" s="386" t="s">
        <v>1038</v>
      </c>
      <c r="E200" s="277" t="s">
        <v>1046</v>
      </c>
      <c r="F200" s="387">
        <v>370.95</v>
      </c>
      <c r="G200" s="387">
        <v>1.1000000000000001</v>
      </c>
      <c r="H200" s="444"/>
      <c r="I200" s="444"/>
      <c r="J200" s="443"/>
      <c r="K200" s="444"/>
      <c r="L200" s="444"/>
      <c r="M200" s="444"/>
      <c r="N200" s="387"/>
      <c r="O200" s="387"/>
      <c r="P200" s="444"/>
      <c r="Q200" s="444"/>
      <c r="R200" s="444">
        <v>0</v>
      </c>
      <c r="S200" s="444">
        <v>0</v>
      </c>
      <c r="T200" s="444">
        <v>0</v>
      </c>
      <c r="U200" s="444">
        <f>VLOOKUP(B200,'MEMÓRIA MEDIÇÃO 14'!$A$8:$F$202,6,FALSE)</f>
        <v>0</v>
      </c>
      <c r="V200" s="387">
        <f t="shared" si="90"/>
        <v>0</v>
      </c>
      <c r="W200" s="449">
        <f t="shared" si="114"/>
        <v>1.1000000000000001</v>
      </c>
      <c r="X200" s="449">
        <f t="shared" si="115"/>
        <v>408.04500000000002</v>
      </c>
      <c r="Y200" s="346">
        <f t="shared" si="101"/>
        <v>0</v>
      </c>
      <c r="Z200" s="346">
        <f t="shared" si="102"/>
        <v>0</v>
      </c>
      <c r="AA200" s="346">
        <f t="shared" si="112"/>
        <v>0</v>
      </c>
      <c r="AB200" s="346">
        <f t="shared" si="103"/>
        <v>0</v>
      </c>
      <c r="AC200" s="346">
        <f t="shared" si="104"/>
        <v>0</v>
      </c>
      <c r="AD200" s="346">
        <f t="shared" si="113"/>
        <v>0</v>
      </c>
      <c r="AE200" s="346">
        <f t="shared" si="111"/>
        <v>0</v>
      </c>
      <c r="AF200" s="346">
        <f t="shared" si="105"/>
        <v>0</v>
      </c>
      <c r="AG200" s="346">
        <f t="shared" si="106"/>
        <v>0</v>
      </c>
      <c r="AH200" s="346">
        <f t="shared" si="116"/>
        <v>0</v>
      </c>
      <c r="AI200" s="346">
        <f t="shared" si="108"/>
        <v>0</v>
      </c>
      <c r="AJ200" s="346">
        <f t="shared" si="109"/>
        <v>0</v>
      </c>
      <c r="AK200" s="346">
        <f t="shared" si="92"/>
        <v>0</v>
      </c>
      <c r="AL200" s="346">
        <f t="shared" si="110"/>
        <v>0</v>
      </c>
      <c r="AM200" s="445">
        <f t="shared" si="93"/>
        <v>0</v>
      </c>
      <c r="AN200" s="454">
        <f t="shared" si="117"/>
        <v>408.04500000000002</v>
      </c>
    </row>
    <row r="201" spans="2:40" s="167" customFormat="1" ht="30.6" customHeight="1" x14ac:dyDescent="0.25">
      <c r="B201" s="384" t="s">
        <v>1021</v>
      </c>
      <c r="C201" s="385">
        <v>101493</v>
      </c>
      <c r="D201" s="386" t="s">
        <v>1039</v>
      </c>
      <c r="E201" s="277" t="s">
        <v>166</v>
      </c>
      <c r="F201" s="387">
        <v>1368.04</v>
      </c>
      <c r="G201" s="387">
        <v>1</v>
      </c>
      <c r="H201" s="444"/>
      <c r="I201" s="444"/>
      <c r="J201" s="443"/>
      <c r="K201" s="444"/>
      <c r="L201" s="444"/>
      <c r="M201" s="444"/>
      <c r="N201" s="387"/>
      <c r="O201" s="387"/>
      <c r="P201" s="444"/>
      <c r="Q201" s="444">
        <v>1</v>
      </c>
      <c r="R201" s="444">
        <v>0</v>
      </c>
      <c r="S201" s="444">
        <v>0</v>
      </c>
      <c r="T201" s="444">
        <v>0</v>
      </c>
      <c r="U201" s="444">
        <f>VLOOKUP(B201,'MEMÓRIA MEDIÇÃO 14'!$A$8:$F$202,6,FALSE)</f>
        <v>0</v>
      </c>
      <c r="V201" s="387">
        <f t="shared" si="90"/>
        <v>1</v>
      </c>
      <c r="W201" s="449">
        <f t="shared" si="114"/>
        <v>0</v>
      </c>
      <c r="X201" s="449">
        <f t="shared" si="115"/>
        <v>1368.04</v>
      </c>
      <c r="Y201" s="346">
        <f t="shared" si="101"/>
        <v>0</v>
      </c>
      <c r="Z201" s="346">
        <f t="shared" si="102"/>
        <v>0</v>
      </c>
      <c r="AA201" s="346">
        <f t="shared" si="112"/>
        <v>0</v>
      </c>
      <c r="AB201" s="346">
        <f t="shared" si="103"/>
        <v>0</v>
      </c>
      <c r="AC201" s="346">
        <f t="shared" si="104"/>
        <v>0</v>
      </c>
      <c r="AD201" s="346">
        <f t="shared" si="113"/>
        <v>0</v>
      </c>
      <c r="AE201" s="346">
        <f t="shared" si="111"/>
        <v>0</v>
      </c>
      <c r="AF201" s="346">
        <f t="shared" si="105"/>
        <v>0</v>
      </c>
      <c r="AG201" s="346">
        <f t="shared" si="106"/>
        <v>0</v>
      </c>
      <c r="AH201" s="346">
        <f t="shared" si="116"/>
        <v>1368.04</v>
      </c>
      <c r="AI201" s="346">
        <f t="shared" si="108"/>
        <v>0</v>
      </c>
      <c r="AJ201" s="346">
        <f t="shared" si="109"/>
        <v>0</v>
      </c>
      <c r="AK201" s="346">
        <f t="shared" si="92"/>
        <v>0</v>
      </c>
      <c r="AL201" s="346">
        <f t="shared" si="110"/>
        <v>0</v>
      </c>
      <c r="AM201" s="445">
        <f t="shared" si="93"/>
        <v>1368.04</v>
      </c>
      <c r="AN201" s="454">
        <f t="shared" si="117"/>
        <v>0</v>
      </c>
    </row>
    <row r="202" spans="2:40" s="167" customFormat="1" ht="30.6" customHeight="1" x14ac:dyDescent="0.25">
      <c r="B202" s="384" t="s">
        <v>1022</v>
      </c>
      <c r="C202" s="385" t="s">
        <v>1032</v>
      </c>
      <c r="D202" s="386" t="s">
        <v>1040</v>
      </c>
      <c r="E202" s="277" t="s">
        <v>166</v>
      </c>
      <c r="F202" s="387">
        <v>580.22</v>
      </c>
      <c r="G202" s="387">
        <v>1</v>
      </c>
      <c r="H202" s="444"/>
      <c r="I202" s="444"/>
      <c r="J202" s="443"/>
      <c r="K202" s="444"/>
      <c r="L202" s="444"/>
      <c r="M202" s="444"/>
      <c r="N202" s="387"/>
      <c r="O202" s="387"/>
      <c r="P202" s="444"/>
      <c r="Q202" s="444">
        <v>1</v>
      </c>
      <c r="R202" s="444">
        <v>0</v>
      </c>
      <c r="S202" s="444">
        <v>0</v>
      </c>
      <c r="T202" s="444">
        <v>0</v>
      </c>
      <c r="U202" s="444">
        <f>VLOOKUP(B202,'MEMÓRIA MEDIÇÃO 14'!$A$8:$F$202,6,FALSE)</f>
        <v>0</v>
      </c>
      <c r="V202" s="387">
        <f t="shared" si="90"/>
        <v>1</v>
      </c>
      <c r="W202" s="449">
        <f t="shared" si="114"/>
        <v>0</v>
      </c>
      <c r="X202" s="449">
        <f t="shared" si="115"/>
        <v>580.22</v>
      </c>
      <c r="Y202" s="346">
        <f t="shared" si="101"/>
        <v>0</v>
      </c>
      <c r="Z202" s="346">
        <f t="shared" si="102"/>
        <v>0</v>
      </c>
      <c r="AA202" s="346">
        <f t="shared" si="112"/>
        <v>0</v>
      </c>
      <c r="AB202" s="346">
        <f t="shared" si="103"/>
        <v>0</v>
      </c>
      <c r="AC202" s="346">
        <f t="shared" si="104"/>
        <v>0</v>
      </c>
      <c r="AD202" s="346">
        <f t="shared" si="113"/>
        <v>0</v>
      </c>
      <c r="AE202" s="346">
        <f t="shared" si="111"/>
        <v>0</v>
      </c>
      <c r="AF202" s="346">
        <f t="shared" si="105"/>
        <v>0</v>
      </c>
      <c r="AG202" s="346">
        <f t="shared" si="106"/>
        <v>0</v>
      </c>
      <c r="AH202" s="346">
        <f t="shared" si="116"/>
        <v>580.22</v>
      </c>
      <c r="AI202" s="346">
        <f t="shared" si="108"/>
        <v>0</v>
      </c>
      <c r="AJ202" s="346">
        <f t="shared" si="109"/>
        <v>0</v>
      </c>
      <c r="AK202" s="346">
        <f t="shared" si="92"/>
        <v>0</v>
      </c>
      <c r="AL202" s="346">
        <f t="shared" si="110"/>
        <v>0</v>
      </c>
      <c r="AM202" s="445">
        <f t="shared" si="93"/>
        <v>580.22</v>
      </c>
      <c r="AN202" s="454">
        <f t="shared" si="117"/>
        <v>0</v>
      </c>
    </row>
    <row r="203" spans="2:40" s="167" customFormat="1" ht="30.6" customHeight="1" x14ac:dyDescent="0.25">
      <c r="B203" s="384" t="s">
        <v>1023</v>
      </c>
      <c r="C203" s="385" t="s">
        <v>1033</v>
      </c>
      <c r="D203" s="386" t="s">
        <v>1041</v>
      </c>
      <c r="E203" s="277" t="s">
        <v>37</v>
      </c>
      <c r="F203" s="387">
        <v>67.069999999999993</v>
      </c>
      <c r="G203" s="387">
        <v>32</v>
      </c>
      <c r="H203" s="444"/>
      <c r="I203" s="444"/>
      <c r="J203" s="443"/>
      <c r="K203" s="444"/>
      <c r="L203" s="444"/>
      <c r="M203" s="444"/>
      <c r="N203" s="387"/>
      <c r="O203" s="387"/>
      <c r="P203" s="444"/>
      <c r="Q203" s="444"/>
      <c r="R203" s="444">
        <v>32</v>
      </c>
      <c r="S203" s="444">
        <v>0</v>
      </c>
      <c r="T203" s="444">
        <v>0</v>
      </c>
      <c r="U203" s="444">
        <f>VLOOKUP(B203,'MEMÓRIA MEDIÇÃO 14'!$A$8:$F$202,6,FALSE)</f>
        <v>0</v>
      </c>
      <c r="V203" s="387">
        <f t="shared" si="90"/>
        <v>32</v>
      </c>
      <c r="W203" s="449">
        <f t="shared" si="114"/>
        <v>0</v>
      </c>
      <c r="X203" s="449">
        <f t="shared" si="115"/>
        <v>2146.2399999999998</v>
      </c>
      <c r="Y203" s="346">
        <f t="shared" si="101"/>
        <v>0</v>
      </c>
      <c r="Z203" s="346">
        <f t="shared" si="102"/>
        <v>0</v>
      </c>
      <c r="AA203" s="346">
        <f t="shared" si="112"/>
        <v>0</v>
      </c>
      <c r="AB203" s="346">
        <f t="shared" si="103"/>
        <v>0</v>
      </c>
      <c r="AC203" s="346">
        <f t="shared" si="104"/>
        <v>0</v>
      </c>
      <c r="AD203" s="346">
        <f t="shared" si="113"/>
        <v>0</v>
      </c>
      <c r="AE203" s="346">
        <f t="shared" si="111"/>
        <v>0</v>
      </c>
      <c r="AF203" s="346">
        <f t="shared" si="105"/>
        <v>0</v>
      </c>
      <c r="AG203" s="346">
        <f t="shared" si="106"/>
        <v>0</v>
      </c>
      <c r="AH203" s="346">
        <f t="shared" si="116"/>
        <v>0</v>
      </c>
      <c r="AI203" s="346">
        <f t="shared" si="108"/>
        <v>2146.2399999999998</v>
      </c>
      <c r="AJ203" s="346">
        <f t="shared" si="109"/>
        <v>0</v>
      </c>
      <c r="AK203" s="346">
        <f t="shared" si="92"/>
        <v>0</v>
      </c>
      <c r="AL203" s="346">
        <f t="shared" si="110"/>
        <v>0</v>
      </c>
      <c r="AM203" s="445">
        <f t="shared" si="93"/>
        <v>2146.2399999999998</v>
      </c>
      <c r="AN203" s="454">
        <f t="shared" si="117"/>
        <v>0</v>
      </c>
    </row>
    <row r="204" spans="2:40" s="167" customFormat="1" ht="30.6" customHeight="1" x14ac:dyDescent="0.25">
      <c r="B204" s="384" t="s">
        <v>1024</v>
      </c>
      <c r="C204" s="385" t="s">
        <v>1034</v>
      </c>
      <c r="D204" s="386" t="s">
        <v>1042</v>
      </c>
      <c r="E204" s="277" t="s">
        <v>37</v>
      </c>
      <c r="F204" s="387">
        <v>87.41</v>
      </c>
      <c r="G204" s="387">
        <v>13</v>
      </c>
      <c r="H204" s="444"/>
      <c r="I204" s="444"/>
      <c r="J204" s="443"/>
      <c r="K204" s="444"/>
      <c r="L204" s="444"/>
      <c r="M204" s="444"/>
      <c r="N204" s="387"/>
      <c r="O204" s="387"/>
      <c r="P204" s="444"/>
      <c r="Q204" s="444"/>
      <c r="R204" s="444">
        <v>13</v>
      </c>
      <c r="S204" s="444">
        <v>0</v>
      </c>
      <c r="T204" s="444">
        <v>0</v>
      </c>
      <c r="U204" s="444">
        <f>VLOOKUP(B204,'MEMÓRIA MEDIÇÃO 14'!$A$8:$F$202,6,FALSE)</f>
        <v>0</v>
      </c>
      <c r="V204" s="387">
        <f t="shared" si="90"/>
        <v>13</v>
      </c>
      <c r="W204" s="449">
        <f t="shared" si="114"/>
        <v>0</v>
      </c>
      <c r="X204" s="449">
        <f t="shared" si="115"/>
        <v>1136.33</v>
      </c>
      <c r="Y204" s="346">
        <f t="shared" si="101"/>
        <v>0</v>
      </c>
      <c r="Z204" s="346">
        <f t="shared" si="102"/>
        <v>0</v>
      </c>
      <c r="AA204" s="346">
        <f t="shared" si="112"/>
        <v>0</v>
      </c>
      <c r="AB204" s="346">
        <f t="shared" si="103"/>
        <v>0</v>
      </c>
      <c r="AC204" s="346">
        <f t="shared" si="104"/>
        <v>0</v>
      </c>
      <c r="AD204" s="346">
        <f t="shared" si="113"/>
        <v>0</v>
      </c>
      <c r="AE204" s="346">
        <f t="shared" si="111"/>
        <v>0</v>
      </c>
      <c r="AF204" s="346">
        <f t="shared" si="105"/>
        <v>0</v>
      </c>
      <c r="AG204" s="346">
        <f t="shared" si="106"/>
        <v>0</v>
      </c>
      <c r="AH204" s="346">
        <f t="shared" si="116"/>
        <v>0</v>
      </c>
      <c r="AI204" s="346">
        <f t="shared" si="108"/>
        <v>1136.33</v>
      </c>
      <c r="AJ204" s="346">
        <f t="shared" si="109"/>
        <v>0</v>
      </c>
      <c r="AK204" s="346">
        <f t="shared" si="92"/>
        <v>0</v>
      </c>
      <c r="AL204" s="346">
        <f t="shared" si="110"/>
        <v>0</v>
      </c>
      <c r="AM204" s="445">
        <f t="shared" si="93"/>
        <v>1136.33</v>
      </c>
      <c r="AN204" s="454">
        <f t="shared" si="117"/>
        <v>0</v>
      </c>
    </row>
    <row r="205" spans="2:40" s="167" customFormat="1" ht="30.6" customHeight="1" x14ac:dyDescent="0.25">
      <c r="B205" s="384" t="s">
        <v>1025</v>
      </c>
      <c r="C205" s="385">
        <v>87887</v>
      </c>
      <c r="D205" s="386" t="s">
        <v>1043</v>
      </c>
      <c r="E205" s="277" t="s">
        <v>17</v>
      </c>
      <c r="F205" s="387">
        <v>14.94</v>
      </c>
      <c r="G205" s="387">
        <v>83.36</v>
      </c>
      <c r="H205" s="444"/>
      <c r="I205" s="444"/>
      <c r="J205" s="443"/>
      <c r="K205" s="444"/>
      <c r="L205" s="444"/>
      <c r="M205" s="444"/>
      <c r="N205" s="387"/>
      <c r="O205" s="387"/>
      <c r="P205" s="444"/>
      <c r="Q205" s="444">
        <v>37.43</v>
      </c>
      <c r="R205" s="444">
        <v>0</v>
      </c>
      <c r="S205" s="444">
        <v>12.75</v>
      </c>
      <c r="T205" s="444">
        <v>0</v>
      </c>
      <c r="U205" s="444">
        <f>VLOOKUP(B205,'MEMÓRIA MEDIÇÃO 14'!$A$8:$F$202,6,FALSE)</f>
        <v>31.663999999999994</v>
      </c>
      <c r="V205" s="387">
        <f t="shared" si="90"/>
        <v>81.843999999999994</v>
      </c>
      <c r="W205" s="449">
        <f t="shared" si="114"/>
        <v>1.5160000000000053</v>
      </c>
      <c r="X205" s="449">
        <f t="shared" si="115"/>
        <v>1245.3984</v>
      </c>
      <c r="Y205" s="346">
        <f t="shared" si="101"/>
        <v>0</v>
      </c>
      <c r="Z205" s="346">
        <f t="shared" si="102"/>
        <v>0</v>
      </c>
      <c r="AA205" s="346">
        <f t="shared" si="112"/>
        <v>0</v>
      </c>
      <c r="AB205" s="346">
        <f t="shared" si="103"/>
        <v>0</v>
      </c>
      <c r="AC205" s="346">
        <f t="shared" si="104"/>
        <v>0</v>
      </c>
      <c r="AD205" s="346">
        <f t="shared" si="113"/>
        <v>0</v>
      </c>
      <c r="AE205" s="346">
        <f t="shared" si="111"/>
        <v>0</v>
      </c>
      <c r="AF205" s="346">
        <f t="shared" si="105"/>
        <v>0</v>
      </c>
      <c r="AG205" s="346">
        <f t="shared" si="106"/>
        <v>0</v>
      </c>
      <c r="AH205" s="346">
        <f t="shared" si="116"/>
        <v>559.20000000000005</v>
      </c>
      <c r="AI205" s="346">
        <f t="shared" si="108"/>
        <v>0</v>
      </c>
      <c r="AJ205" s="346">
        <f t="shared" si="109"/>
        <v>190.49</v>
      </c>
      <c r="AK205" s="346">
        <f t="shared" si="92"/>
        <v>0</v>
      </c>
      <c r="AL205" s="346">
        <f t="shared" si="110"/>
        <v>473.06</v>
      </c>
      <c r="AM205" s="445">
        <f t="shared" si="93"/>
        <v>1222.75</v>
      </c>
      <c r="AN205" s="454">
        <f t="shared" si="117"/>
        <v>22.648400000000038</v>
      </c>
    </row>
    <row r="206" spans="2:40" s="167" customFormat="1" ht="30.6" customHeight="1" x14ac:dyDescent="0.25">
      <c r="B206" s="384" t="s">
        <v>1026</v>
      </c>
      <c r="C206" s="385">
        <v>90408</v>
      </c>
      <c r="D206" s="386" t="s">
        <v>1044</v>
      </c>
      <c r="E206" s="277" t="s">
        <v>17</v>
      </c>
      <c r="F206" s="387">
        <v>30.5</v>
      </c>
      <c r="G206" s="387">
        <v>85.97</v>
      </c>
      <c r="H206" s="444"/>
      <c r="I206" s="444"/>
      <c r="J206" s="443"/>
      <c r="K206" s="444"/>
      <c r="L206" s="444"/>
      <c r="M206" s="444"/>
      <c r="N206" s="387"/>
      <c r="O206" s="387"/>
      <c r="P206" s="444"/>
      <c r="Q206" s="444">
        <v>37.43</v>
      </c>
      <c r="R206" s="444">
        <v>0</v>
      </c>
      <c r="S206" s="444">
        <v>12.75</v>
      </c>
      <c r="T206" s="444">
        <v>0</v>
      </c>
      <c r="U206" s="444">
        <f>VLOOKUP(B206,'MEMÓRIA MEDIÇÃO 14'!$A$8:$F$202,6,FALSE)</f>
        <v>31.663999999999994</v>
      </c>
      <c r="V206" s="387">
        <f t="shared" si="90"/>
        <v>81.843999999999994</v>
      </c>
      <c r="W206" s="449">
        <f t="shared" si="114"/>
        <v>4.1260000000000048</v>
      </c>
      <c r="X206" s="449">
        <f t="shared" si="115"/>
        <v>2622.085</v>
      </c>
      <c r="Y206" s="346">
        <f t="shared" si="101"/>
        <v>0</v>
      </c>
      <c r="Z206" s="346">
        <f t="shared" si="102"/>
        <v>0</v>
      </c>
      <c r="AA206" s="346">
        <f t="shared" si="112"/>
        <v>0</v>
      </c>
      <c r="AB206" s="346">
        <f t="shared" si="103"/>
        <v>0</v>
      </c>
      <c r="AC206" s="346">
        <f t="shared" si="104"/>
        <v>0</v>
      </c>
      <c r="AD206" s="346">
        <f t="shared" si="113"/>
        <v>0</v>
      </c>
      <c r="AE206" s="346">
        <f t="shared" si="111"/>
        <v>0</v>
      </c>
      <c r="AF206" s="346">
        <f t="shared" si="105"/>
        <v>0</v>
      </c>
      <c r="AG206" s="346">
        <f t="shared" si="106"/>
        <v>0</v>
      </c>
      <c r="AH206" s="346">
        <f t="shared" si="116"/>
        <v>1141.6099999999999</v>
      </c>
      <c r="AI206" s="346">
        <f t="shared" si="108"/>
        <v>0</v>
      </c>
      <c r="AJ206" s="346">
        <f t="shared" si="109"/>
        <v>388.88</v>
      </c>
      <c r="AK206" s="346">
        <f t="shared" si="92"/>
        <v>0</v>
      </c>
      <c r="AL206" s="346">
        <f t="shared" si="110"/>
        <v>965.75</v>
      </c>
      <c r="AM206" s="445">
        <f t="shared" si="93"/>
        <v>2496.2399999999998</v>
      </c>
      <c r="AN206" s="454">
        <f t="shared" si="117"/>
        <v>125.84500000000025</v>
      </c>
    </row>
    <row r="207" spans="2:40" s="167" customFormat="1" ht="30.6" customHeight="1" x14ac:dyDescent="0.25">
      <c r="B207" s="384" t="s">
        <v>1027</v>
      </c>
      <c r="C207" s="385">
        <v>88494</v>
      </c>
      <c r="D207" s="386" t="s">
        <v>204</v>
      </c>
      <c r="E207" s="277" t="s">
        <v>17</v>
      </c>
      <c r="F207" s="387">
        <v>18.88</v>
      </c>
      <c r="G207" s="387">
        <v>88.58</v>
      </c>
      <c r="H207" s="444"/>
      <c r="I207" s="444"/>
      <c r="J207" s="443"/>
      <c r="K207" s="444"/>
      <c r="L207" s="444"/>
      <c r="M207" s="444"/>
      <c r="N207" s="387"/>
      <c r="O207" s="387"/>
      <c r="P207" s="444"/>
      <c r="Q207" s="444"/>
      <c r="R207" s="444">
        <v>0</v>
      </c>
      <c r="S207" s="444">
        <v>0</v>
      </c>
      <c r="T207" s="444">
        <v>0</v>
      </c>
      <c r="U207" s="444">
        <f>VLOOKUP(B207,'MEMÓRIA MEDIÇÃO 14'!$A$8:$F$202,6,FALSE)</f>
        <v>0</v>
      </c>
      <c r="V207" s="387">
        <f t="shared" ref="V207:V208" si="118">H207+I207+J207+K207+L207+M207+N207+O207+P207+Q207+R207+S207+T207+U207</f>
        <v>0</v>
      </c>
      <c r="W207" s="449">
        <f t="shared" si="114"/>
        <v>88.58</v>
      </c>
      <c r="X207" s="449">
        <f t="shared" si="115"/>
        <v>1672.3903999999998</v>
      </c>
      <c r="Y207" s="346">
        <f t="shared" si="101"/>
        <v>0</v>
      </c>
      <c r="Z207" s="346">
        <f t="shared" si="102"/>
        <v>0</v>
      </c>
      <c r="AA207" s="346">
        <f t="shared" si="112"/>
        <v>0</v>
      </c>
      <c r="AB207" s="346">
        <f t="shared" si="103"/>
        <v>0</v>
      </c>
      <c r="AC207" s="346">
        <f t="shared" si="104"/>
        <v>0</v>
      </c>
      <c r="AD207" s="346">
        <f t="shared" si="113"/>
        <v>0</v>
      </c>
      <c r="AE207" s="346">
        <f t="shared" si="111"/>
        <v>0</v>
      </c>
      <c r="AF207" s="346">
        <f t="shared" si="105"/>
        <v>0</v>
      </c>
      <c r="AG207" s="346">
        <f t="shared" si="106"/>
        <v>0</v>
      </c>
      <c r="AH207" s="346">
        <f t="shared" si="116"/>
        <v>0</v>
      </c>
      <c r="AI207" s="346">
        <f t="shared" si="108"/>
        <v>0</v>
      </c>
      <c r="AJ207" s="346">
        <f t="shared" si="109"/>
        <v>0</v>
      </c>
      <c r="AK207" s="346">
        <f t="shared" ref="AK207:AK208" si="119">ROUND(T207*F207,2)</f>
        <v>0</v>
      </c>
      <c r="AL207" s="346">
        <f t="shared" si="110"/>
        <v>0</v>
      </c>
      <c r="AM207" s="445">
        <f t="shared" ref="AM207:AM208" si="120">Y207+Z207+AA207+AB207+AC207+AD207+AE207+AF207+AG207+AH207+AI207+AJ207+AK207+AL207</f>
        <v>0</v>
      </c>
      <c r="AN207" s="454">
        <f t="shared" si="117"/>
        <v>1672.3903999999998</v>
      </c>
    </row>
    <row r="208" spans="2:40" s="167" customFormat="1" ht="30.6" customHeight="1" thickBot="1" x14ac:dyDescent="0.3">
      <c r="B208" s="460" t="s">
        <v>1028</v>
      </c>
      <c r="C208" s="461">
        <v>88486</v>
      </c>
      <c r="D208" s="462" t="s">
        <v>1045</v>
      </c>
      <c r="E208" s="463" t="s">
        <v>17</v>
      </c>
      <c r="F208" s="449">
        <v>12.17</v>
      </c>
      <c r="G208" s="449">
        <v>88.58</v>
      </c>
      <c r="H208" s="444"/>
      <c r="I208" s="444"/>
      <c r="J208" s="443"/>
      <c r="K208" s="444"/>
      <c r="L208" s="444"/>
      <c r="M208" s="444"/>
      <c r="N208" s="387"/>
      <c r="O208" s="387"/>
      <c r="P208" s="444"/>
      <c r="Q208" s="444"/>
      <c r="R208" s="444">
        <v>0</v>
      </c>
      <c r="S208" s="444">
        <v>0</v>
      </c>
      <c r="T208" s="444">
        <v>0</v>
      </c>
      <c r="U208" s="444">
        <f>VLOOKUP(B208,'MEMÓRIA MEDIÇÃO 14'!$A$8:$F$202,6,FALSE)</f>
        <v>0</v>
      </c>
      <c r="V208" s="387">
        <f t="shared" si="118"/>
        <v>0</v>
      </c>
      <c r="W208" s="449">
        <f t="shared" si="114"/>
        <v>88.58</v>
      </c>
      <c r="X208" s="449">
        <f t="shared" si="115"/>
        <v>1078.0185999999999</v>
      </c>
      <c r="Y208" s="346">
        <f t="shared" si="101"/>
        <v>0</v>
      </c>
      <c r="Z208" s="346">
        <f t="shared" si="102"/>
        <v>0</v>
      </c>
      <c r="AA208" s="346">
        <f t="shared" si="112"/>
        <v>0</v>
      </c>
      <c r="AB208" s="346">
        <f t="shared" si="103"/>
        <v>0</v>
      </c>
      <c r="AC208" s="346">
        <f t="shared" si="104"/>
        <v>0</v>
      </c>
      <c r="AD208" s="346">
        <f t="shared" si="113"/>
        <v>0</v>
      </c>
      <c r="AE208" s="346">
        <f t="shared" si="111"/>
        <v>0</v>
      </c>
      <c r="AF208" s="346">
        <f t="shared" si="105"/>
        <v>0</v>
      </c>
      <c r="AG208" s="346">
        <f t="shared" si="106"/>
        <v>0</v>
      </c>
      <c r="AH208" s="346">
        <f t="shared" si="116"/>
        <v>0</v>
      </c>
      <c r="AI208" s="346">
        <f t="shared" si="108"/>
        <v>0</v>
      </c>
      <c r="AJ208" s="346">
        <f t="shared" si="109"/>
        <v>0</v>
      </c>
      <c r="AK208" s="346">
        <f t="shared" si="119"/>
        <v>0</v>
      </c>
      <c r="AL208" s="346">
        <f t="shared" si="110"/>
        <v>0</v>
      </c>
      <c r="AM208" s="445">
        <f t="shared" si="120"/>
        <v>0</v>
      </c>
      <c r="AN208" s="454">
        <f t="shared" si="117"/>
        <v>1078.0185999999999</v>
      </c>
    </row>
    <row r="209" spans="2:49" ht="15.75" thickBot="1" x14ac:dyDescent="0.3">
      <c r="B209" s="167"/>
      <c r="C209" s="167"/>
      <c r="D209" s="167"/>
      <c r="E209" s="231"/>
      <c r="F209" s="231"/>
      <c r="G209" s="231"/>
      <c r="H209" s="195"/>
      <c r="I209" s="230"/>
      <c r="J209" s="230"/>
      <c r="K209" s="230"/>
      <c r="L209" s="230"/>
      <c r="M209" s="230"/>
      <c r="N209" s="230"/>
      <c r="O209" s="230"/>
      <c r="P209" s="230"/>
      <c r="Q209" s="231"/>
      <c r="R209" s="231"/>
      <c r="S209" s="231"/>
      <c r="T209" s="231"/>
      <c r="U209" s="231"/>
      <c r="V209" s="231"/>
      <c r="W209" s="232"/>
      <c r="X209" s="233">
        <f>SUM(X14:X208)</f>
        <v>1382014.517357999</v>
      </c>
      <c r="Y209" s="233">
        <f t="shared" ref="Y209:AI209" si="121">SUM(Y14:Y208)</f>
        <v>66571.964737500006</v>
      </c>
      <c r="Z209" s="233">
        <f t="shared" si="121"/>
        <v>61443.00776244999</v>
      </c>
      <c r="AA209" s="233">
        <f t="shared" si="121"/>
        <v>66865.073129099997</v>
      </c>
      <c r="AB209" s="233">
        <f t="shared" si="121"/>
        <v>79712.63</v>
      </c>
      <c r="AC209" s="233">
        <f t="shared" si="121"/>
        <v>103177.48000000005</v>
      </c>
      <c r="AD209" s="233">
        <f t="shared" si="121"/>
        <v>70347.038280000008</v>
      </c>
      <c r="AE209" s="233">
        <f t="shared" si="121"/>
        <v>40632.783196400007</v>
      </c>
      <c r="AF209" s="233">
        <f t="shared" si="121"/>
        <v>68231.630000000019</v>
      </c>
      <c r="AG209" s="233">
        <f t="shared" si="121"/>
        <v>31441.260000000006</v>
      </c>
      <c r="AH209" s="233">
        <f t="shared" si="121"/>
        <v>102367.23999999998</v>
      </c>
      <c r="AI209" s="233">
        <f t="shared" si="121"/>
        <v>125103.41000000003</v>
      </c>
      <c r="AJ209" s="233">
        <f>SUM(AJ14:AJ208)</f>
        <v>42245.579999999994</v>
      </c>
      <c r="AK209" s="233">
        <f>SUM(AK14:AK208)</f>
        <v>162569.01999999999</v>
      </c>
      <c r="AL209" s="233">
        <f>SUM(AL14:AL208)</f>
        <v>62180.25</v>
      </c>
      <c r="AM209" s="233">
        <f>SUM(AM14:AM208)</f>
        <v>1082888.3671054498</v>
      </c>
      <c r="AN209" s="233">
        <f>SUM(AN14:AN208)</f>
        <v>299126.15025254973</v>
      </c>
      <c r="AO209" s="233">
        <f t="shared" ref="AO209" si="122">SUM(AO14:AO208)</f>
        <v>0</v>
      </c>
      <c r="AP209" s="233">
        <f t="shared" ref="AP209" si="123">SUM(AP14:AP208)</f>
        <v>0</v>
      </c>
      <c r="AQ209" s="233">
        <f t="shared" ref="AQ209" si="124">SUM(AQ14:AQ208)</f>
        <v>0</v>
      </c>
      <c r="AR209" s="233">
        <f t="shared" ref="AR209" si="125">SUM(AR14:AR208)</f>
        <v>0</v>
      </c>
      <c r="AS209" s="233">
        <f t="shared" ref="AS209" si="126">SUM(AS14:AS208)</f>
        <v>0</v>
      </c>
      <c r="AT209" s="233">
        <f t="shared" ref="AT209" si="127">SUM(AT14:AT208)</f>
        <v>0</v>
      </c>
      <c r="AU209" s="233">
        <f t="shared" ref="AU209" si="128">SUM(AU14:AU208)</f>
        <v>0</v>
      </c>
      <c r="AV209" s="233">
        <f t="shared" ref="AV209" si="129">SUM(AV14:AV208)</f>
        <v>0</v>
      </c>
      <c r="AW209" s="233">
        <f t="shared" ref="AW209" si="130">SUM(AW14:AW208)</f>
        <v>0</v>
      </c>
    </row>
    <row r="210" spans="2:49" ht="15.75" thickBot="1" x14ac:dyDescent="0.3">
      <c r="W210" s="79"/>
      <c r="X210" s="478" t="s">
        <v>546</v>
      </c>
      <c r="Y210" s="478" t="s">
        <v>547</v>
      </c>
      <c r="Z210" s="478" t="s">
        <v>549</v>
      </c>
      <c r="AA210" s="478" t="s">
        <v>550</v>
      </c>
      <c r="AB210" s="478" t="s">
        <v>551</v>
      </c>
      <c r="AC210" s="478" t="s">
        <v>552</v>
      </c>
      <c r="AD210" s="478" t="s">
        <v>553</v>
      </c>
      <c r="AE210" s="478" t="s">
        <v>554</v>
      </c>
      <c r="AF210" s="478" t="s">
        <v>990</v>
      </c>
      <c r="AG210" s="478" t="s">
        <v>991</v>
      </c>
      <c r="AH210" s="484" t="s">
        <v>1029</v>
      </c>
      <c r="AI210" s="484" t="s">
        <v>1088</v>
      </c>
      <c r="AJ210" s="484" t="s">
        <v>1096</v>
      </c>
      <c r="AK210" s="484" t="s">
        <v>1100</v>
      </c>
      <c r="AL210" s="484" t="s">
        <v>1104</v>
      </c>
      <c r="AM210" s="483" t="s">
        <v>548</v>
      </c>
      <c r="AN210" s="478" t="s">
        <v>541</v>
      </c>
    </row>
    <row r="211" spans="2:49" ht="24" customHeight="1" thickBot="1" x14ac:dyDescent="0.3">
      <c r="W211" s="79"/>
      <c r="X211" s="478"/>
      <c r="Y211" s="478"/>
      <c r="Z211" s="478"/>
      <c r="AA211" s="478"/>
      <c r="AB211" s="478"/>
      <c r="AC211" s="478"/>
      <c r="AD211" s="478"/>
      <c r="AE211" s="478"/>
      <c r="AF211" s="478"/>
      <c r="AG211" s="478"/>
      <c r="AH211" s="485"/>
      <c r="AI211" s="485"/>
      <c r="AJ211" s="485"/>
      <c r="AK211" s="485"/>
      <c r="AL211" s="485"/>
      <c r="AM211" s="483"/>
      <c r="AN211" s="478"/>
      <c r="AP211" s="470"/>
    </row>
    <row r="212" spans="2:49" x14ac:dyDescent="0.25">
      <c r="W212"/>
      <c r="AP212" s="470"/>
    </row>
    <row r="213" spans="2:49" x14ac:dyDescent="0.25">
      <c r="W213"/>
    </row>
    <row r="214" spans="2:49" x14ac:dyDescent="0.25">
      <c r="W214"/>
    </row>
    <row r="215" spans="2:49" x14ac:dyDescent="0.25">
      <c r="W215"/>
    </row>
    <row r="216" spans="2:49" x14ac:dyDescent="0.25">
      <c r="W216"/>
    </row>
    <row r="217" spans="2:49" x14ac:dyDescent="0.25">
      <c r="W217"/>
    </row>
    <row r="224" spans="2:49" x14ac:dyDescent="0.25">
      <c r="D224" s="486" t="s">
        <v>1089</v>
      </c>
      <c r="E224" s="486"/>
      <c r="F224" s="486"/>
      <c r="G224" s="467"/>
      <c r="R224" s="510" t="s">
        <v>1090</v>
      </c>
      <c r="S224" s="510"/>
      <c r="T224" s="510"/>
      <c r="U224" s="510"/>
      <c r="V224" s="510"/>
      <c r="W224" s="510"/>
      <c r="X224" s="510"/>
      <c r="Y224" s="466"/>
      <c r="Z224" s="466"/>
      <c r="AI224" s="510" t="s">
        <v>1091</v>
      </c>
      <c r="AJ224" s="510"/>
      <c r="AK224" s="510"/>
      <c r="AL224" s="510"/>
      <c r="AM224" s="510"/>
      <c r="AN224" s="510"/>
      <c r="AO224" s="466"/>
      <c r="AP224" s="466"/>
    </row>
    <row r="225" spans="4:42" x14ac:dyDescent="0.25">
      <c r="D225" s="486" t="s">
        <v>1092</v>
      </c>
      <c r="E225" s="486"/>
      <c r="F225" s="486"/>
      <c r="G225" s="467"/>
      <c r="R225" s="510" t="s">
        <v>1093</v>
      </c>
      <c r="S225" s="510"/>
      <c r="T225" s="510"/>
      <c r="U225" s="510"/>
      <c r="V225" s="510"/>
      <c r="W225" s="510"/>
      <c r="X225" s="510"/>
      <c r="Y225" s="466"/>
      <c r="Z225" s="466"/>
      <c r="AI225" s="510" t="s">
        <v>1094</v>
      </c>
      <c r="AJ225" s="510"/>
      <c r="AK225" s="510"/>
      <c r="AL225" s="510"/>
      <c r="AM225" s="510"/>
      <c r="AN225" s="510"/>
      <c r="AO225" s="466"/>
      <c r="AP225" s="466"/>
    </row>
  </sheetData>
  <mergeCells count="39">
    <mergeCell ref="AL210:AL211"/>
    <mergeCell ref="AI224:AN224"/>
    <mergeCell ref="AI225:AN225"/>
    <mergeCell ref="R224:X224"/>
    <mergeCell ref="R225:X225"/>
    <mergeCell ref="AJ210:AJ211"/>
    <mergeCell ref="AK210:AK211"/>
    <mergeCell ref="D224:F224"/>
    <mergeCell ref="D225:F225"/>
    <mergeCell ref="G10:W10"/>
    <mergeCell ref="B2:AN2"/>
    <mergeCell ref="B4:N4"/>
    <mergeCell ref="X4:AE4"/>
    <mergeCell ref="B6:D6"/>
    <mergeCell ref="E6:N6"/>
    <mergeCell ref="V6:AE6"/>
    <mergeCell ref="B8:C8"/>
    <mergeCell ref="X8:AE8"/>
    <mergeCell ref="B10:B11"/>
    <mergeCell ref="C10:C11"/>
    <mergeCell ref="D10:D11"/>
    <mergeCell ref="E10:E11"/>
    <mergeCell ref="F10:F11"/>
    <mergeCell ref="AH3:AN8"/>
    <mergeCell ref="AN210:AN211"/>
    <mergeCell ref="X10:AN10"/>
    <mergeCell ref="X210:X211"/>
    <mergeCell ref="Y210:Y211"/>
    <mergeCell ref="Z210:Z211"/>
    <mergeCell ref="AA210:AA211"/>
    <mergeCell ref="AB210:AB211"/>
    <mergeCell ref="AC210:AC211"/>
    <mergeCell ref="AD210:AD211"/>
    <mergeCell ref="AE210:AE211"/>
    <mergeCell ref="AM210:AM211"/>
    <mergeCell ref="AF210:AF211"/>
    <mergeCell ref="AG210:AG211"/>
    <mergeCell ref="AH210:AH211"/>
    <mergeCell ref="AI210:AI211"/>
  </mergeCells>
  <phoneticPr fontId="20" type="noConversion"/>
  <pageMargins left="0.511811024" right="0.511811024" top="0.78740157499999996" bottom="0.78740157499999996" header="0.31496062000000002" footer="0.31496062000000002"/>
  <pageSetup paperSize="9" scale="56" fitToHeight="0" orientation="landscape" r:id="rId1"/>
  <ignoredErrors>
    <ignoredError sqref="C203:C20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ACB0-B694-42CE-A5AF-A7C17777A871}">
  <sheetPr>
    <pageSetUpPr fitToPage="1"/>
  </sheetPr>
  <dimension ref="A2:J205"/>
  <sheetViews>
    <sheetView tabSelected="1" view="pageBreakPreview" topLeftCell="A110" zoomScale="90" zoomScaleNormal="85" zoomScaleSheetLayoutView="90" workbookViewId="0">
      <selection activeCell="I114" sqref="I114"/>
    </sheetView>
  </sheetViews>
  <sheetFormatPr defaultRowHeight="15" x14ac:dyDescent="0.25"/>
  <cols>
    <col min="1" max="1" width="6.28515625" customWidth="1"/>
    <col min="2" max="2" width="11.85546875" customWidth="1"/>
    <col min="3" max="3" width="59.140625" customWidth="1"/>
    <col min="4" max="4" width="7.140625" customWidth="1"/>
    <col min="5" max="5" width="52.42578125" style="164" customWidth="1"/>
    <col min="6" max="6" width="15.42578125" style="164" customWidth="1"/>
    <col min="7" max="10" width="9.140625" style="164"/>
  </cols>
  <sheetData>
    <row r="2" spans="1:10" ht="20.25" x14ac:dyDescent="0.25">
      <c r="A2" s="581" t="s">
        <v>1103</v>
      </c>
      <c r="B2" s="582"/>
      <c r="C2" s="582"/>
      <c r="D2" s="582"/>
      <c r="E2" s="582"/>
      <c r="F2" s="582"/>
    </row>
    <row r="3" spans="1:10" ht="23.25" thickBot="1" x14ac:dyDescent="0.3">
      <c r="A3" s="24"/>
      <c r="B3" s="25" t="s">
        <v>525</v>
      </c>
      <c r="C3" s="26"/>
      <c r="D3" s="26"/>
    </row>
    <row r="4" spans="1:10" x14ac:dyDescent="0.25">
      <c r="A4" s="504" t="s">
        <v>526</v>
      </c>
      <c r="B4" s="504" t="s">
        <v>527</v>
      </c>
      <c r="C4" s="506" t="s">
        <v>528</v>
      </c>
      <c r="D4" s="504" t="s">
        <v>529</v>
      </c>
      <c r="E4" s="508" t="s">
        <v>1087</v>
      </c>
      <c r="F4" s="508" t="s">
        <v>563</v>
      </c>
    </row>
    <row r="5" spans="1:10" x14ac:dyDescent="0.25">
      <c r="A5" s="505"/>
      <c r="B5" s="505"/>
      <c r="C5" s="507"/>
      <c r="D5" s="505"/>
      <c r="E5" s="580"/>
      <c r="F5" s="580"/>
    </row>
    <row r="6" spans="1:10" ht="14.45" customHeight="1" x14ac:dyDescent="0.25">
      <c r="A6" s="433">
        <v>1</v>
      </c>
      <c r="B6" s="434" t="s">
        <v>10</v>
      </c>
      <c r="C6" s="435"/>
      <c r="D6" s="436"/>
    </row>
    <row r="7" spans="1:10" x14ac:dyDescent="0.25">
      <c r="A7" s="433">
        <v>1.1000000000000001</v>
      </c>
      <c r="B7" s="434" t="s">
        <v>12</v>
      </c>
      <c r="C7" s="435"/>
      <c r="D7" s="436"/>
      <c r="E7" s="464"/>
      <c r="F7" s="464"/>
    </row>
    <row r="8" spans="1:10" ht="22.5" x14ac:dyDescent="0.25">
      <c r="A8" s="384" t="s">
        <v>13</v>
      </c>
      <c r="B8" s="442" t="s">
        <v>14</v>
      </c>
      <c r="C8" s="386" t="s">
        <v>15</v>
      </c>
      <c r="D8" s="387" t="s">
        <v>17</v>
      </c>
      <c r="E8" s="464"/>
      <c r="F8" s="464"/>
    </row>
    <row r="9" spans="1:10" ht="22.5" x14ac:dyDescent="0.25">
      <c r="A9" s="384" t="s">
        <v>18</v>
      </c>
      <c r="B9" s="442">
        <v>93209</v>
      </c>
      <c r="C9" s="386" t="s">
        <v>20</v>
      </c>
      <c r="D9" s="387" t="s">
        <v>17</v>
      </c>
      <c r="E9" s="464"/>
      <c r="F9" s="464"/>
    </row>
    <row r="10" spans="1:10" ht="22.5" x14ac:dyDescent="0.25">
      <c r="A10" s="384" t="s">
        <v>22</v>
      </c>
      <c r="B10" s="442">
        <v>93206</v>
      </c>
      <c r="C10" s="386" t="s">
        <v>23</v>
      </c>
      <c r="D10" s="387" t="s">
        <v>17</v>
      </c>
      <c r="E10" s="464"/>
      <c r="F10" s="464"/>
    </row>
    <row r="11" spans="1:10" x14ac:dyDescent="0.25">
      <c r="A11" s="384" t="s">
        <v>24</v>
      </c>
      <c r="B11" s="442" t="s">
        <v>25</v>
      </c>
      <c r="C11" s="386" t="s">
        <v>26</v>
      </c>
      <c r="D11" s="387" t="s">
        <v>17</v>
      </c>
      <c r="E11" s="464"/>
      <c r="F11" s="464"/>
    </row>
    <row r="12" spans="1:10" s="164" customFormat="1" x14ac:dyDescent="0.25">
      <c r="A12" s="384" t="s">
        <v>27</v>
      </c>
      <c r="B12" s="442">
        <v>98524</v>
      </c>
      <c r="C12" s="386" t="s">
        <v>28</v>
      </c>
      <c r="D12" s="387" t="s">
        <v>17</v>
      </c>
      <c r="E12" s="464"/>
      <c r="F12" s="464"/>
    </row>
    <row r="13" spans="1:10" s="164" customFormat="1" x14ac:dyDescent="0.25">
      <c r="A13" s="384" t="s">
        <v>29</v>
      </c>
      <c r="B13" s="385">
        <v>100575</v>
      </c>
      <c r="C13" s="386" t="s">
        <v>31</v>
      </c>
      <c r="D13" s="387" t="s">
        <v>17</v>
      </c>
      <c r="E13" s="464"/>
      <c r="F13" s="464"/>
    </row>
    <row r="14" spans="1:10" ht="14.45" customHeight="1" x14ac:dyDescent="0.25">
      <c r="A14" s="347" t="s">
        <v>32</v>
      </c>
      <c r="B14" s="348" t="s">
        <v>33</v>
      </c>
      <c r="C14" s="386"/>
      <c r="D14" s="387"/>
      <c r="E14" s="464"/>
      <c r="F14" s="464"/>
    </row>
    <row r="15" spans="1:10" ht="32.450000000000003" customHeight="1" x14ac:dyDescent="0.25">
      <c r="A15" s="384" t="s">
        <v>34</v>
      </c>
      <c r="B15" s="385">
        <v>99059</v>
      </c>
      <c r="C15" s="386" t="s">
        <v>36</v>
      </c>
      <c r="D15" s="387" t="s">
        <v>37</v>
      </c>
      <c r="E15" s="464"/>
      <c r="F15" s="464"/>
    </row>
    <row r="16" spans="1:10" s="168" customFormat="1" ht="22.5" x14ac:dyDescent="0.25">
      <c r="A16" s="447" t="s">
        <v>38</v>
      </c>
      <c r="B16" s="385">
        <v>93358</v>
      </c>
      <c r="C16" s="386" t="s">
        <v>40</v>
      </c>
      <c r="D16" s="387" t="s">
        <v>41</v>
      </c>
      <c r="E16" s="464"/>
      <c r="F16" s="464"/>
      <c r="G16" s="164"/>
      <c r="H16" s="169"/>
      <c r="I16" s="169"/>
      <c r="J16" s="169"/>
    </row>
    <row r="17" spans="1:10" s="168" customFormat="1" x14ac:dyDescent="0.25">
      <c r="A17" s="384" t="s">
        <v>42</v>
      </c>
      <c r="B17" s="385">
        <v>96995</v>
      </c>
      <c r="C17" s="386" t="s">
        <v>44</v>
      </c>
      <c r="D17" s="387" t="s">
        <v>41</v>
      </c>
      <c r="E17" s="464"/>
      <c r="F17" s="464"/>
      <c r="G17" s="164">
        <f>20*1.8*0.5*0.45</f>
        <v>8.1</v>
      </c>
      <c r="H17" s="169">
        <f>G17-1.21</f>
        <v>6.89</v>
      </c>
      <c r="I17" s="169" t="s">
        <v>1097</v>
      </c>
      <c r="J17" s="169"/>
    </row>
    <row r="18" spans="1:10" s="169" customFormat="1" ht="22.5" x14ac:dyDescent="0.25">
      <c r="A18" s="384" t="s">
        <v>45</v>
      </c>
      <c r="B18" s="385">
        <v>94319</v>
      </c>
      <c r="C18" s="386" t="s">
        <v>47</v>
      </c>
      <c r="D18" s="387" t="s">
        <v>41</v>
      </c>
      <c r="E18" s="464"/>
      <c r="F18" s="464"/>
      <c r="G18" s="164"/>
    </row>
    <row r="19" spans="1:10" s="167" customFormat="1" x14ac:dyDescent="0.25">
      <c r="A19" s="347" t="s">
        <v>48</v>
      </c>
      <c r="B19" s="348" t="s">
        <v>49</v>
      </c>
      <c r="C19" s="386"/>
      <c r="D19" s="387"/>
      <c r="E19" s="464"/>
      <c r="F19" s="464"/>
      <c r="G19" s="164"/>
      <c r="H19" s="169"/>
      <c r="I19" s="169"/>
      <c r="J19" s="169"/>
    </row>
    <row r="20" spans="1:10" s="168" customFormat="1" ht="43.15" customHeight="1" x14ac:dyDescent="0.25">
      <c r="A20" s="384" t="s">
        <v>50</v>
      </c>
      <c r="B20" s="442" t="s">
        <v>51</v>
      </c>
      <c r="C20" s="386" t="s">
        <v>52</v>
      </c>
      <c r="D20" s="387" t="s">
        <v>41</v>
      </c>
      <c r="E20" s="468"/>
      <c r="F20" s="464"/>
      <c r="G20" s="164">
        <f>20*(1.8*2+0.9)*0.5*0.19</f>
        <v>8.5500000000000007</v>
      </c>
      <c r="H20" s="169">
        <f>G20-3.62</f>
        <v>4.9300000000000006</v>
      </c>
      <c r="I20" s="169" t="s">
        <v>1097</v>
      </c>
      <c r="J20" s="169"/>
    </row>
    <row r="21" spans="1:10" ht="25.15" customHeight="1" x14ac:dyDescent="0.25">
      <c r="A21" s="384" t="s">
        <v>53</v>
      </c>
      <c r="B21" s="385">
        <v>101616</v>
      </c>
      <c r="C21" s="386" t="s">
        <v>55</v>
      </c>
      <c r="D21" s="387" t="s">
        <v>17</v>
      </c>
      <c r="E21" s="464"/>
      <c r="F21" s="464"/>
    </row>
    <row r="22" spans="1:10" s="164" customFormat="1" ht="30" customHeight="1" x14ac:dyDescent="0.25">
      <c r="A22" s="384" t="s">
        <v>56</v>
      </c>
      <c r="B22" s="385">
        <v>96619</v>
      </c>
      <c r="C22" s="391" t="s">
        <v>58</v>
      </c>
      <c r="D22" s="387" t="s">
        <v>17</v>
      </c>
      <c r="E22" s="468" t="s">
        <v>1116</v>
      </c>
      <c r="F22" s="464">
        <f>2*1.8*0.5</f>
        <v>1.8</v>
      </c>
    </row>
    <row r="23" spans="1:10" s="163" customFormat="1" ht="22.5" x14ac:dyDescent="0.25">
      <c r="A23" s="384" t="s">
        <v>59</v>
      </c>
      <c r="B23" s="385">
        <v>96545</v>
      </c>
      <c r="C23" s="386" t="s">
        <v>61</v>
      </c>
      <c r="D23" s="387" t="s">
        <v>62</v>
      </c>
      <c r="E23" s="464"/>
      <c r="F23" s="464"/>
      <c r="G23" s="164"/>
      <c r="H23" s="164"/>
      <c r="I23" s="164"/>
      <c r="J23" s="164"/>
    </row>
    <row r="24" spans="1:10" s="163" customFormat="1" ht="33.75" x14ac:dyDescent="0.25">
      <c r="A24" s="384" t="s">
        <v>63</v>
      </c>
      <c r="B24" s="385">
        <v>94966</v>
      </c>
      <c r="C24" s="386" t="s">
        <v>65</v>
      </c>
      <c r="D24" s="387" t="s">
        <v>41</v>
      </c>
      <c r="E24" s="464"/>
      <c r="F24" s="464"/>
      <c r="G24" s="164"/>
      <c r="H24" s="164"/>
      <c r="I24" s="164"/>
      <c r="J24" s="164"/>
    </row>
    <row r="25" spans="1:10" ht="33.75" x14ac:dyDescent="0.25">
      <c r="A25" s="384" t="s">
        <v>66</v>
      </c>
      <c r="B25" s="385">
        <v>94964</v>
      </c>
      <c r="C25" s="386" t="s">
        <v>68</v>
      </c>
      <c r="D25" s="387" t="s">
        <v>41</v>
      </c>
      <c r="E25" s="464"/>
      <c r="F25" s="464"/>
    </row>
    <row r="26" spans="1:10" s="163" customFormat="1" ht="22.5" x14ac:dyDescent="0.25">
      <c r="A26" s="384" t="s">
        <v>69</v>
      </c>
      <c r="B26" s="385">
        <v>103670</v>
      </c>
      <c r="C26" s="386" t="s">
        <v>71</v>
      </c>
      <c r="D26" s="387" t="s">
        <v>41</v>
      </c>
      <c r="E26" s="464"/>
      <c r="F26" s="464"/>
      <c r="G26" s="164"/>
      <c r="H26" s="164"/>
      <c r="I26" s="164"/>
      <c r="J26" s="164"/>
    </row>
    <row r="27" spans="1:10" s="163" customFormat="1" ht="22.5" x14ac:dyDescent="0.25">
      <c r="A27" s="384" t="s">
        <v>72</v>
      </c>
      <c r="B27" s="385">
        <v>96543</v>
      </c>
      <c r="C27" s="386" t="s">
        <v>74</v>
      </c>
      <c r="D27" s="387" t="s">
        <v>62</v>
      </c>
      <c r="E27" s="464"/>
      <c r="F27" s="464"/>
      <c r="G27" s="164"/>
      <c r="H27" s="164"/>
      <c r="I27" s="164"/>
      <c r="J27" s="164"/>
    </row>
    <row r="28" spans="1:10" ht="22.5" x14ac:dyDescent="0.25">
      <c r="A28" s="384" t="s">
        <v>75</v>
      </c>
      <c r="B28" s="385">
        <v>96544</v>
      </c>
      <c r="C28" s="386" t="s">
        <v>77</v>
      </c>
      <c r="D28" s="387" t="s">
        <v>62</v>
      </c>
      <c r="E28" s="464"/>
      <c r="F28" s="464"/>
    </row>
    <row r="29" spans="1:10" ht="22.5" x14ac:dyDescent="0.25">
      <c r="A29" s="384" t="s">
        <v>78</v>
      </c>
      <c r="B29" s="385">
        <v>96546</v>
      </c>
      <c r="C29" s="386" t="s">
        <v>80</v>
      </c>
      <c r="D29" s="387" t="s">
        <v>62</v>
      </c>
      <c r="E29" s="464"/>
      <c r="F29" s="464"/>
    </row>
    <row r="30" spans="1:10" s="163" customFormat="1" ht="22.5" x14ac:dyDescent="0.25">
      <c r="A30" s="384" t="s">
        <v>81</v>
      </c>
      <c r="B30" s="385">
        <v>96547</v>
      </c>
      <c r="C30" s="386" t="s">
        <v>83</v>
      </c>
      <c r="D30" s="387" t="s">
        <v>62</v>
      </c>
      <c r="E30" s="464"/>
      <c r="F30" s="464"/>
      <c r="G30" s="164"/>
      <c r="H30" s="164"/>
      <c r="I30" s="164"/>
      <c r="J30" s="164"/>
    </row>
    <row r="31" spans="1:10" s="163" customFormat="1" ht="22.5" x14ac:dyDescent="0.25">
      <c r="A31" s="384" t="s">
        <v>84</v>
      </c>
      <c r="B31" s="385">
        <v>96536</v>
      </c>
      <c r="C31" s="386" t="s">
        <v>86</v>
      </c>
      <c r="D31" s="387" t="s">
        <v>17</v>
      </c>
      <c r="E31" s="464"/>
      <c r="F31" s="464"/>
      <c r="G31" s="164"/>
      <c r="H31" s="164"/>
      <c r="I31" s="164"/>
      <c r="J31" s="164"/>
    </row>
    <row r="32" spans="1:10" s="164" customFormat="1" ht="22.5" x14ac:dyDescent="0.25">
      <c r="A32" s="384" t="s">
        <v>87</v>
      </c>
      <c r="B32" s="385">
        <v>98557</v>
      </c>
      <c r="C32" s="386" t="s">
        <v>89</v>
      </c>
      <c r="D32" s="387" t="s">
        <v>17</v>
      </c>
      <c r="E32" s="464"/>
      <c r="F32" s="464"/>
    </row>
    <row r="33" spans="1:10" x14ac:dyDescent="0.25">
      <c r="A33" s="347" t="s">
        <v>90</v>
      </c>
      <c r="B33" s="348" t="s">
        <v>91</v>
      </c>
      <c r="C33" s="386"/>
      <c r="D33" s="387"/>
      <c r="E33" s="464"/>
      <c r="F33" s="464"/>
    </row>
    <row r="34" spans="1:10" s="164" customFormat="1" ht="33.75" x14ac:dyDescent="0.35">
      <c r="A34" s="384" t="s">
        <v>92</v>
      </c>
      <c r="B34" s="385">
        <v>92443</v>
      </c>
      <c r="C34" s="386" t="s">
        <v>94</v>
      </c>
      <c r="D34" s="387" t="s">
        <v>17</v>
      </c>
      <c r="E34" s="464"/>
      <c r="F34" s="465"/>
    </row>
    <row r="35" spans="1:10" s="169" customFormat="1" ht="33.75" x14ac:dyDescent="0.25">
      <c r="A35" s="384" t="s">
        <v>95</v>
      </c>
      <c r="B35" s="385">
        <v>92480</v>
      </c>
      <c r="C35" s="391" t="s">
        <v>97</v>
      </c>
      <c r="D35" s="387" t="s">
        <v>17</v>
      </c>
      <c r="E35" s="464"/>
      <c r="F35" s="464"/>
    </row>
    <row r="36" spans="1:10" s="169" customFormat="1" ht="22.5" x14ac:dyDescent="0.25">
      <c r="A36" s="384" t="s">
        <v>98</v>
      </c>
      <c r="B36" s="385">
        <v>92267</v>
      </c>
      <c r="C36" s="386" t="s">
        <v>100</v>
      </c>
      <c r="D36" s="387" t="s">
        <v>17</v>
      </c>
      <c r="E36" s="464"/>
      <c r="F36" s="464"/>
    </row>
    <row r="37" spans="1:10" s="169" customFormat="1" ht="22.5" x14ac:dyDescent="0.25">
      <c r="A37" s="384" t="s">
        <v>101</v>
      </c>
      <c r="B37" s="385">
        <v>92759</v>
      </c>
      <c r="C37" s="386" t="s">
        <v>103</v>
      </c>
      <c r="D37" s="387" t="s">
        <v>62</v>
      </c>
      <c r="E37" s="464"/>
      <c r="F37" s="464"/>
    </row>
    <row r="38" spans="1:10" s="169" customFormat="1" ht="22.5" x14ac:dyDescent="0.25">
      <c r="A38" s="384" t="s">
        <v>104</v>
      </c>
      <c r="B38" s="385">
        <v>92760</v>
      </c>
      <c r="C38" s="386" t="s">
        <v>106</v>
      </c>
      <c r="D38" s="387" t="s">
        <v>62</v>
      </c>
      <c r="E38" s="464"/>
      <c r="F38" s="464"/>
    </row>
    <row r="39" spans="1:10" s="167" customFormat="1" ht="22.5" x14ac:dyDescent="0.25">
      <c r="A39" s="384" t="s">
        <v>107</v>
      </c>
      <c r="B39" s="385">
        <v>92761</v>
      </c>
      <c r="C39" s="386" t="s">
        <v>109</v>
      </c>
      <c r="D39" s="387" t="s">
        <v>62</v>
      </c>
      <c r="E39" s="464"/>
      <c r="F39" s="464"/>
      <c r="G39" s="169"/>
      <c r="H39" s="169"/>
      <c r="I39" s="169"/>
      <c r="J39" s="169"/>
    </row>
    <row r="40" spans="1:10" s="169" customFormat="1" ht="22.5" x14ac:dyDescent="0.25">
      <c r="A40" s="384" t="s">
        <v>110</v>
      </c>
      <c r="B40" s="385">
        <v>92762</v>
      </c>
      <c r="C40" s="386" t="s">
        <v>112</v>
      </c>
      <c r="D40" s="387" t="s">
        <v>62</v>
      </c>
      <c r="E40" s="464"/>
      <c r="F40" s="464"/>
    </row>
    <row r="41" spans="1:10" s="169" customFormat="1" ht="22.5" x14ac:dyDescent="0.25">
      <c r="A41" s="384" t="s">
        <v>113</v>
      </c>
      <c r="B41" s="385">
        <v>92763</v>
      </c>
      <c r="C41" s="386" t="s">
        <v>115</v>
      </c>
      <c r="D41" s="387" t="s">
        <v>62</v>
      </c>
      <c r="E41" s="464"/>
      <c r="F41" s="464"/>
    </row>
    <row r="42" spans="1:10" s="167" customFormat="1" ht="22.5" x14ac:dyDescent="0.25">
      <c r="A42" s="384" t="s">
        <v>116</v>
      </c>
      <c r="B42" s="385">
        <v>92768</v>
      </c>
      <c r="C42" s="386" t="s">
        <v>118</v>
      </c>
      <c r="D42" s="387" t="s">
        <v>62</v>
      </c>
      <c r="E42" s="464"/>
      <c r="F42" s="464"/>
      <c r="G42" s="169"/>
      <c r="H42" s="169"/>
      <c r="I42" s="169"/>
      <c r="J42" s="169"/>
    </row>
    <row r="43" spans="1:10" s="167" customFormat="1" ht="22.5" x14ac:dyDescent="0.25">
      <c r="A43" s="384" t="s">
        <v>119</v>
      </c>
      <c r="B43" s="385">
        <v>92769</v>
      </c>
      <c r="C43" s="386" t="s">
        <v>121</v>
      </c>
      <c r="D43" s="387" t="s">
        <v>62</v>
      </c>
      <c r="E43" s="464"/>
      <c r="F43" s="464"/>
      <c r="G43" s="169"/>
      <c r="H43" s="169"/>
      <c r="I43" s="169"/>
      <c r="J43" s="169"/>
    </row>
    <row r="44" spans="1:10" s="167" customFormat="1" ht="22.5" x14ac:dyDescent="0.25">
      <c r="A44" s="384" t="s">
        <v>122</v>
      </c>
      <c r="B44" s="385">
        <v>92770</v>
      </c>
      <c r="C44" s="386" t="s">
        <v>124</v>
      </c>
      <c r="D44" s="387" t="s">
        <v>62</v>
      </c>
      <c r="E44" s="464"/>
      <c r="F44" s="464"/>
      <c r="G44" s="169"/>
      <c r="H44" s="169"/>
      <c r="I44" s="169"/>
      <c r="J44" s="169"/>
    </row>
    <row r="45" spans="1:10" s="164" customFormat="1" ht="33.75" x14ac:dyDescent="0.25">
      <c r="A45" s="384" t="s">
        <v>125</v>
      </c>
      <c r="B45" s="385">
        <v>94966</v>
      </c>
      <c r="C45" s="386" t="s">
        <v>65</v>
      </c>
      <c r="D45" s="387" t="s">
        <v>41</v>
      </c>
      <c r="E45" s="464"/>
      <c r="F45" s="464"/>
    </row>
    <row r="46" spans="1:10" s="167" customFormat="1" ht="22.5" x14ac:dyDescent="0.25">
      <c r="A46" s="384" t="s">
        <v>126</v>
      </c>
      <c r="B46" s="385">
        <v>103670</v>
      </c>
      <c r="C46" s="391" t="s">
        <v>71</v>
      </c>
      <c r="D46" s="387" t="s">
        <v>41</v>
      </c>
      <c r="E46" s="464"/>
      <c r="F46" s="464"/>
      <c r="G46" s="169"/>
      <c r="H46" s="169"/>
      <c r="I46" s="169"/>
      <c r="J46" s="169"/>
    </row>
    <row r="47" spans="1:10" s="167" customFormat="1" ht="22.5" x14ac:dyDescent="0.25">
      <c r="A47" s="384" t="s">
        <v>127</v>
      </c>
      <c r="B47" s="385">
        <v>92771</v>
      </c>
      <c r="C47" s="391" t="s">
        <v>129</v>
      </c>
      <c r="D47" s="387" t="s">
        <v>62</v>
      </c>
      <c r="E47" s="464"/>
      <c r="F47" s="464"/>
      <c r="G47" s="169"/>
      <c r="H47" s="169"/>
      <c r="I47" s="169"/>
      <c r="J47" s="169"/>
    </row>
    <row r="48" spans="1:10" s="167" customFormat="1" ht="22.5" x14ac:dyDescent="0.25">
      <c r="A48" s="384" t="s">
        <v>130</v>
      </c>
      <c r="B48" s="385">
        <v>92772</v>
      </c>
      <c r="C48" s="386" t="s">
        <v>132</v>
      </c>
      <c r="D48" s="387" t="s">
        <v>62</v>
      </c>
      <c r="E48" s="464"/>
      <c r="F48" s="464"/>
      <c r="G48" s="169"/>
      <c r="H48" s="169"/>
      <c r="I48" s="169"/>
      <c r="J48" s="169"/>
    </row>
    <row r="49" spans="1:10" s="167" customFormat="1" x14ac:dyDescent="0.25">
      <c r="A49" s="347">
        <v>1.5</v>
      </c>
      <c r="B49" s="348" t="s">
        <v>134</v>
      </c>
      <c r="C49" s="386"/>
      <c r="D49" s="387"/>
      <c r="E49" s="464"/>
      <c r="F49" s="464"/>
      <c r="G49" s="169"/>
      <c r="H49" s="169"/>
      <c r="I49" s="169"/>
      <c r="J49" s="169"/>
    </row>
    <row r="50" spans="1:10" ht="33.75" x14ac:dyDescent="0.25">
      <c r="A50" s="384" t="s">
        <v>135</v>
      </c>
      <c r="B50" s="385">
        <v>103356</v>
      </c>
      <c r="C50" s="386" t="s">
        <v>137</v>
      </c>
      <c r="D50" s="387" t="s">
        <v>17</v>
      </c>
      <c r="E50" s="464"/>
      <c r="F50" s="464"/>
    </row>
    <row r="51" spans="1:10" s="167" customFormat="1" ht="22.5" x14ac:dyDescent="0.25">
      <c r="A51" s="384" t="s">
        <v>138</v>
      </c>
      <c r="B51" s="385">
        <v>93189</v>
      </c>
      <c r="C51" s="391" t="s">
        <v>140</v>
      </c>
      <c r="D51" s="387" t="s">
        <v>37</v>
      </c>
      <c r="E51" s="464"/>
      <c r="F51" s="464"/>
      <c r="G51" s="169"/>
      <c r="H51" s="169"/>
      <c r="I51" s="169"/>
      <c r="J51" s="169"/>
    </row>
    <row r="52" spans="1:10" s="167" customFormat="1" ht="22.5" x14ac:dyDescent="0.25">
      <c r="A52" s="384" t="s">
        <v>141</v>
      </c>
      <c r="B52" s="385">
        <v>93191</v>
      </c>
      <c r="C52" s="386" t="s">
        <v>143</v>
      </c>
      <c r="D52" s="387" t="s">
        <v>37</v>
      </c>
      <c r="E52" s="464"/>
      <c r="F52" s="464"/>
      <c r="G52" s="169"/>
      <c r="H52" s="169"/>
      <c r="I52" s="169"/>
      <c r="J52" s="169"/>
    </row>
    <row r="53" spans="1:10" s="167" customFormat="1" ht="22.5" x14ac:dyDescent="0.25">
      <c r="A53" s="384" t="s">
        <v>144</v>
      </c>
      <c r="B53" s="385">
        <v>93197</v>
      </c>
      <c r="C53" s="386" t="s">
        <v>146</v>
      </c>
      <c r="D53" s="387" t="s">
        <v>37</v>
      </c>
      <c r="E53" s="464"/>
      <c r="F53" s="464"/>
      <c r="G53" s="169"/>
      <c r="H53" s="169"/>
      <c r="I53" s="169"/>
      <c r="J53" s="169"/>
    </row>
    <row r="54" spans="1:10" s="167" customFormat="1" ht="14.45" customHeight="1" x14ac:dyDescent="0.25">
      <c r="A54" s="347">
        <v>1.6</v>
      </c>
      <c r="B54" s="348" t="s">
        <v>148</v>
      </c>
      <c r="C54" s="386"/>
      <c r="D54" s="387"/>
      <c r="E54" s="464"/>
      <c r="F54" s="464"/>
      <c r="G54" s="169"/>
      <c r="H54" s="169"/>
      <c r="I54" s="169"/>
      <c r="J54" s="169"/>
    </row>
    <row r="55" spans="1:10" s="167" customFormat="1" ht="33.75" x14ac:dyDescent="0.25">
      <c r="A55" s="384" t="s">
        <v>149</v>
      </c>
      <c r="B55" s="385">
        <v>87893</v>
      </c>
      <c r="C55" s="386" t="s">
        <v>151</v>
      </c>
      <c r="D55" s="387" t="s">
        <v>17</v>
      </c>
      <c r="E55" s="464"/>
      <c r="F55" s="464"/>
      <c r="G55" s="169"/>
      <c r="H55" s="169"/>
      <c r="I55" s="169"/>
      <c r="J55" s="169"/>
    </row>
    <row r="56" spans="1:10" s="167" customFormat="1" ht="33.75" x14ac:dyDescent="0.25">
      <c r="A56" s="384" t="s">
        <v>152</v>
      </c>
      <c r="B56" s="385">
        <v>87548</v>
      </c>
      <c r="C56" s="386" t="s">
        <v>154</v>
      </c>
      <c r="D56" s="387" t="s">
        <v>17</v>
      </c>
      <c r="E56" s="464"/>
      <c r="F56" s="464"/>
      <c r="G56" s="169"/>
      <c r="H56" s="169"/>
      <c r="I56" s="169"/>
      <c r="J56" s="169"/>
    </row>
    <row r="57" spans="1:10" s="167" customFormat="1" ht="45" x14ac:dyDescent="0.25">
      <c r="A57" s="384" t="s">
        <v>155</v>
      </c>
      <c r="B57" s="385">
        <v>87536</v>
      </c>
      <c r="C57" s="386" t="s">
        <v>157</v>
      </c>
      <c r="D57" s="387" t="s">
        <v>17</v>
      </c>
      <c r="E57" s="464"/>
      <c r="F57" s="464"/>
      <c r="G57" s="169"/>
      <c r="H57" s="169"/>
      <c r="I57" s="169"/>
      <c r="J57" s="169"/>
    </row>
    <row r="58" spans="1:10" s="167" customFormat="1" ht="33.75" x14ac:dyDescent="0.25">
      <c r="A58" s="384" t="s">
        <v>158</v>
      </c>
      <c r="B58" s="385">
        <v>87275</v>
      </c>
      <c r="C58" s="386" t="s">
        <v>160</v>
      </c>
      <c r="D58" s="387" t="s">
        <v>17</v>
      </c>
      <c r="E58" s="468"/>
      <c r="F58" s="464"/>
      <c r="G58" s="169"/>
      <c r="H58" s="169"/>
      <c r="I58" s="169"/>
      <c r="J58" s="169"/>
    </row>
    <row r="59" spans="1:10" s="167" customFormat="1" x14ac:dyDescent="0.25">
      <c r="A59" s="347">
        <v>1.7</v>
      </c>
      <c r="B59" s="348" t="s">
        <v>162</v>
      </c>
      <c r="C59" s="386"/>
      <c r="D59" s="387"/>
      <c r="E59" s="464"/>
      <c r="F59" s="464"/>
      <c r="G59" s="169"/>
      <c r="H59" s="169"/>
      <c r="I59" s="169"/>
      <c r="J59" s="169"/>
    </row>
    <row r="60" spans="1:10" s="167" customFormat="1" ht="45" x14ac:dyDescent="0.25">
      <c r="A60" s="384" t="s">
        <v>163</v>
      </c>
      <c r="B60" s="385">
        <v>91315</v>
      </c>
      <c r="C60" s="391" t="s">
        <v>165</v>
      </c>
      <c r="D60" s="387" t="s">
        <v>166</v>
      </c>
      <c r="E60" s="464"/>
      <c r="F60" s="464"/>
      <c r="G60" s="169"/>
      <c r="H60" s="169"/>
      <c r="I60" s="169"/>
      <c r="J60" s="169"/>
    </row>
    <row r="61" spans="1:10" s="167" customFormat="1" ht="45" x14ac:dyDescent="0.25">
      <c r="A61" s="384" t="s">
        <v>167</v>
      </c>
      <c r="B61" s="385">
        <v>94570</v>
      </c>
      <c r="C61" s="386" t="s">
        <v>169</v>
      </c>
      <c r="D61" s="387" t="s">
        <v>17</v>
      </c>
      <c r="E61" s="468"/>
      <c r="F61" s="464"/>
      <c r="G61" s="169"/>
      <c r="H61" s="169"/>
      <c r="I61" s="169"/>
      <c r="J61" s="169"/>
    </row>
    <row r="62" spans="1:10" s="167" customFormat="1" ht="45" x14ac:dyDescent="0.25">
      <c r="A62" s="384" t="s">
        <v>170</v>
      </c>
      <c r="B62" s="385">
        <v>100689</v>
      </c>
      <c r="C62" s="386" t="s">
        <v>172</v>
      </c>
      <c r="D62" s="387" t="s">
        <v>166</v>
      </c>
      <c r="E62" s="464"/>
      <c r="F62" s="464"/>
      <c r="G62" s="169"/>
      <c r="H62" s="169"/>
      <c r="I62" s="169"/>
      <c r="J62" s="169"/>
    </row>
    <row r="63" spans="1:10" s="167" customFormat="1" ht="22.5" x14ac:dyDescent="0.25">
      <c r="A63" s="384" t="s">
        <v>173</v>
      </c>
      <c r="B63" s="442" t="s">
        <v>174</v>
      </c>
      <c r="C63" s="386" t="s">
        <v>175</v>
      </c>
      <c r="D63" s="387" t="s">
        <v>5</v>
      </c>
      <c r="E63" s="464"/>
      <c r="F63" s="464"/>
      <c r="G63" s="169"/>
      <c r="H63" s="169"/>
      <c r="I63" s="169"/>
      <c r="J63" s="169"/>
    </row>
    <row r="64" spans="1:10" s="167" customFormat="1" ht="22.5" x14ac:dyDescent="0.25">
      <c r="A64" s="384" t="s">
        <v>176</v>
      </c>
      <c r="B64" s="442" t="s">
        <v>177</v>
      </c>
      <c r="C64" s="386" t="s">
        <v>178</v>
      </c>
      <c r="D64" s="387" t="s">
        <v>5</v>
      </c>
      <c r="E64" s="464"/>
      <c r="F64" s="464"/>
      <c r="G64" s="169"/>
      <c r="H64" s="169"/>
      <c r="I64" s="169"/>
      <c r="J64" s="169"/>
    </row>
    <row r="65" spans="1:10" s="167" customFormat="1" ht="22.5" x14ac:dyDescent="0.25">
      <c r="A65" s="384" t="s">
        <v>179</v>
      </c>
      <c r="B65" s="385">
        <v>91341</v>
      </c>
      <c r="C65" s="386" t="s">
        <v>181</v>
      </c>
      <c r="D65" s="387" t="s">
        <v>17</v>
      </c>
      <c r="E65" s="464"/>
      <c r="F65" s="464"/>
      <c r="G65" s="169"/>
      <c r="H65" s="169"/>
      <c r="I65" s="169"/>
      <c r="J65" s="169"/>
    </row>
    <row r="66" spans="1:10" s="167" customFormat="1" ht="22.5" x14ac:dyDescent="0.25">
      <c r="A66" s="384" t="s">
        <v>182</v>
      </c>
      <c r="B66" s="385">
        <v>100702</v>
      </c>
      <c r="C66" s="386" t="s">
        <v>184</v>
      </c>
      <c r="D66" s="387" t="s">
        <v>17</v>
      </c>
      <c r="E66" s="464"/>
      <c r="F66" s="464"/>
      <c r="G66" s="169"/>
      <c r="H66" s="169"/>
      <c r="I66" s="169"/>
      <c r="J66" s="169"/>
    </row>
    <row r="67" spans="1:10" s="167" customFormat="1" ht="33.75" x14ac:dyDescent="0.25">
      <c r="A67" s="384" t="s">
        <v>185</v>
      </c>
      <c r="B67" s="385">
        <v>90831</v>
      </c>
      <c r="C67" s="386" t="s">
        <v>187</v>
      </c>
      <c r="D67" s="387" t="s">
        <v>166</v>
      </c>
      <c r="E67" s="464"/>
      <c r="F67" s="464"/>
      <c r="G67" s="169"/>
      <c r="H67" s="169"/>
      <c r="I67" s="169"/>
      <c r="J67" s="169"/>
    </row>
    <row r="68" spans="1:10" s="167" customFormat="1" x14ac:dyDescent="0.25">
      <c r="A68" s="347">
        <v>1.8</v>
      </c>
      <c r="B68" s="348" t="s">
        <v>189</v>
      </c>
      <c r="C68" s="386"/>
      <c r="D68" s="277"/>
      <c r="E68" s="464"/>
      <c r="F68" s="464"/>
      <c r="G68" s="169"/>
      <c r="H68" s="169"/>
      <c r="I68" s="169"/>
      <c r="J68" s="169"/>
    </row>
    <row r="69" spans="1:10" s="167" customFormat="1" ht="75" x14ac:dyDescent="0.25">
      <c r="A69" s="384" t="s">
        <v>190</v>
      </c>
      <c r="B69" s="385">
        <v>88485</v>
      </c>
      <c r="C69" s="386" t="s">
        <v>192</v>
      </c>
      <c r="D69" s="277" t="s">
        <v>17</v>
      </c>
      <c r="E69" s="468" t="s">
        <v>1106</v>
      </c>
      <c r="F69" s="471">
        <f>'BOLETIM DE MEDIÇÃO 14'!V61-'BOLETIM DE MEDIÇÃO 14'!V64+(2*2.15*2.73)+(2*4.53*2.65)-642</f>
        <v>819.6543999999999</v>
      </c>
      <c r="G69" s="169"/>
      <c r="H69" s="169"/>
      <c r="I69" s="169"/>
      <c r="J69" s="169"/>
    </row>
    <row r="70" spans="1:10" s="167" customFormat="1" ht="22.5" x14ac:dyDescent="0.25">
      <c r="A70" s="384" t="s">
        <v>193</v>
      </c>
      <c r="B70" s="385">
        <v>88495</v>
      </c>
      <c r="C70" s="386" t="s">
        <v>195</v>
      </c>
      <c r="D70" s="277" t="s">
        <v>17</v>
      </c>
      <c r="E70" s="464"/>
      <c r="F70" s="464"/>
      <c r="G70" s="169"/>
      <c r="H70" s="169"/>
      <c r="I70" s="169"/>
      <c r="J70" s="169"/>
    </row>
    <row r="71" spans="1:10" s="167" customFormat="1" ht="22.5" x14ac:dyDescent="0.25">
      <c r="A71" s="384" t="s">
        <v>196</v>
      </c>
      <c r="B71" s="385">
        <v>88489</v>
      </c>
      <c r="C71" s="386" t="s">
        <v>198</v>
      </c>
      <c r="D71" s="277" t="s">
        <v>17</v>
      </c>
      <c r="E71" s="464"/>
      <c r="F71" s="464"/>
      <c r="G71" s="169"/>
      <c r="H71" s="169"/>
      <c r="I71" s="169"/>
      <c r="J71" s="169"/>
    </row>
    <row r="72" spans="1:10" s="167" customFormat="1" ht="22.5" x14ac:dyDescent="0.25">
      <c r="A72" s="384" t="s">
        <v>199</v>
      </c>
      <c r="B72" s="385">
        <v>88484</v>
      </c>
      <c r="C72" s="386" t="s">
        <v>201</v>
      </c>
      <c r="D72" s="277" t="s">
        <v>17</v>
      </c>
      <c r="E72" s="464"/>
      <c r="F72" s="464"/>
      <c r="G72" s="169"/>
      <c r="H72" s="169"/>
      <c r="I72" s="169"/>
      <c r="J72" s="169"/>
    </row>
    <row r="73" spans="1:10" s="167" customFormat="1" ht="22.5" x14ac:dyDescent="0.25">
      <c r="A73" s="384" t="s">
        <v>202</v>
      </c>
      <c r="B73" s="385">
        <v>88494</v>
      </c>
      <c r="C73" s="386" t="s">
        <v>204</v>
      </c>
      <c r="D73" s="277" t="s">
        <v>17</v>
      </c>
      <c r="E73" s="464"/>
      <c r="F73" s="464"/>
      <c r="G73" s="169"/>
      <c r="H73" s="169"/>
      <c r="I73" s="169"/>
      <c r="J73" s="169"/>
    </row>
    <row r="74" spans="1:10" s="167" customFormat="1" ht="22.5" x14ac:dyDescent="0.25">
      <c r="A74" s="384" t="s">
        <v>205</v>
      </c>
      <c r="B74" s="385">
        <v>88488</v>
      </c>
      <c r="C74" s="386" t="s">
        <v>207</v>
      </c>
      <c r="D74" s="277" t="s">
        <v>17</v>
      </c>
      <c r="E74" s="464"/>
      <c r="F74" s="464"/>
      <c r="G74" s="169"/>
      <c r="H74" s="169"/>
      <c r="I74" s="169"/>
      <c r="J74" s="169"/>
    </row>
    <row r="75" spans="1:10" s="167" customFormat="1" ht="14.45" customHeight="1" x14ac:dyDescent="0.25">
      <c r="A75" s="347" t="s">
        <v>208</v>
      </c>
      <c r="B75" s="348" t="s">
        <v>209</v>
      </c>
      <c r="C75" s="386"/>
      <c r="D75" s="277"/>
      <c r="E75" s="464"/>
      <c r="F75" s="464"/>
      <c r="G75" s="169"/>
      <c r="H75" s="169"/>
      <c r="I75" s="169"/>
      <c r="J75" s="169"/>
    </row>
    <row r="76" spans="1:10" s="167" customFormat="1" ht="33.75" x14ac:dyDescent="0.25">
      <c r="A76" s="384" t="s">
        <v>210</v>
      </c>
      <c r="B76" s="385">
        <v>87894</v>
      </c>
      <c r="C76" s="386" t="s">
        <v>212</v>
      </c>
      <c r="D76" s="277" t="s">
        <v>17</v>
      </c>
      <c r="E76" s="464"/>
      <c r="F76" s="464"/>
      <c r="G76" s="169"/>
      <c r="H76" s="169"/>
      <c r="I76" s="169"/>
      <c r="J76" s="169"/>
    </row>
    <row r="77" spans="1:10" s="167" customFormat="1" ht="45" x14ac:dyDescent="0.25">
      <c r="A77" s="384" t="s">
        <v>213</v>
      </c>
      <c r="B77" s="385">
        <v>104233</v>
      </c>
      <c r="C77" s="386" t="s">
        <v>215</v>
      </c>
      <c r="D77" s="277" t="s">
        <v>17</v>
      </c>
      <c r="E77" s="464"/>
      <c r="F77" s="464"/>
      <c r="G77" s="169"/>
      <c r="H77" s="169"/>
      <c r="I77" s="169"/>
      <c r="J77" s="169"/>
    </row>
    <row r="78" spans="1:10" s="167" customFormat="1" ht="33.75" x14ac:dyDescent="0.25">
      <c r="A78" s="384" t="s">
        <v>216</v>
      </c>
      <c r="B78" s="442" t="s">
        <v>217</v>
      </c>
      <c r="C78" s="391" t="s">
        <v>218</v>
      </c>
      <c r="D78" s="277" t="s">
        <v>17</v>
      </c>
      <c r="E78" s="464"/>
      <c r="F78" s="464"/>
      <c r="G78" s="169"/>
      <c r="H78" s="169"/>
      <c r="I78" s="169"/>
      <c r="J78" s="169"/>
    </row>
    <row r="79" spans="1:10" s="167" customFormat="1" ht="33.75" x14ac:dyDescent="0.25">
      <c r="A79" s="384" t="s">
        <v>219</v>
      </c>
      <c r="B79" s="442" t="s">
        <v>220</v>
      </c>
      <c r="C79" s="386" t="s">
        <v>221</v>
      </c>
      <c r="D79" s="277" t="s">
        <v>222</v>
      </c>
      <c r="E79" s="464"/>
      <c r="F79" s="464"/>
      <c r="G79" s="169"/>
      <c r="H79" s="169"/>
      <c r="I79" s="169"/>
      <c r="J79" s="169"/>
    </row>
    <row r="80" spans="1:10" s="167" customFormat="1" ht="30" x14ac:dyDescent="0.25">
      <c r="A80" s="384" t="s">
        <v>223</v>
      </c>
      <c r="B80" s="385">
        <v>88485</v>
      </c>
      <c r="C80" s="386" t="s">
        <v>192</v>
      </c>
      <c r="D80" s="277" t="s">
        <v>17</v>
      </c>
      <c r="E80" s="468" t="s">
        <v>1107</v>
      </c>
      <c r="F80" s="471">
        <f>'BOLETIM DE MEDIÇÃO 14'!V83-'BOLETIM DE MEDIÇÃO 14'!G84-'BOLETIM DE MEDIÇÃO 14'!G85</f>
        <v>404.37049999999999</v>
      </c>
      <c r="G80" s="169"/>
      <c r="H80" s="169"/>
      <c r="I80" s="169"/>
      <c r="J80" s="169"/>
    </row>
    <row r="81" spans="1:10" s="167" customFormat="1" ht="60" x14ac:dyDescent="0.25">
      <c r="A81" s="384" t="s">
        <v>224</v>
      </c>
      <c r="B81" s="385">
        <v>96130</v>
      </c>
      <c r="C81" s="386" t="s">
        <v>226</v>
      </c>
      <c r="D81" s="277" t="s">
        <v>17</v>
      </c>
      <c r="E81" s="468" t="s">
        <v>1108</v>
      </c>
      <c r="F81" s="464"/>
      <c r="G81" s="169"/>
      <c r="H81" s="169">
        <f>15*2.95-2.62*2.29-1.2*1.5-0.39*0.98+(0.2+0.53)*2*2.95+1.72*2.95-0.77*2.09</f>
        <v>43.839700000000008</v>
      </c>
      <c r="I81" s="169"/>
      <c r="J81" s="169"/>
    </row>
    <row r="82" spans="1:10" s="167" customFormat="1" ht="22.5" x14ac:dyDescent="0.25">
      <c r="A82" s="384" t="s">
        <v>227</v>
      </c>
      <c r="B82" s="385">
        <v>88489</v>
      </c>
      <c r="C82" s="386" t="s">
        <v>198</v>
      </c>
      <c r="D82" s="277" t="s">
        <v>17</v>
      </c>
      <c r="E82" s="464"/>
      <c r="F82" s="464"/>
      <c r="G82" s="169"/>
      <c r="H82" s="169"/>
      <c r="I82" s="169"/>
      <c r="J82" s="169"/>
    </row>
    <row r="83" spans="1:10" s="167" customFormat="1" ht="14.45" customHeight="1" x14ac:dyDescent="0.25">
      <c r="A83" s="348">
        <v>1.1000000000000001</v>
      </c>
      <c r="B83" s="348" t="s">
        <v>229</v>
      </c>
      <c r="C83" s="386"/>
      <c r="D83" s="277"/>
      <c r="E83" s="464"/>
      <c r="F83" s="464"/>
      <c r="G83" s="169"/>
      <c r="H83" s="169"/>
      <c r="I83" s="169"/>
      <c r="J83" s="169"/>
    </row>
    <row r="84" spans="1:10" s="167" customFormat="1" ht="22.5" x14ac:dyDescent="0.25">
      <c r="A84" s="384" t="s">
        <v>230</v>
      </c>
      <c r="B84" s="385">
        <v>92868</v>
      </c>
      <c r="C84" s="386" t="s">
        <v>232</v>
      </c>
      <c r="D84" s="245" t="s">
        <v>166</v>
      </c>
      <c r="E84" s="464"/>
      <c r="F84" s="464"/>
      <c r="G84" s="169"/>
      <c r="H84" s="169"/>
      <c r="I84" s="169"/>
      <c r="J84" s="169"/>
    </row>
    <row r="85" spans="1:10" s="167" customFormat="1" ht="22.5" x14ac:dyDescent="0.25">
      <c r="A85" s="384" t="s">
        <v>233</v>
      </c>
      <c r="B85" s="385">
        <v>91937</v>
      </c>
      <c r="C85" s="386" t="s">
        <v>235</v>
      </c>
      <c r="D85" s="245" t="s">
        <v>166</v>
      </c>
      <c r="E85" s="464"/>
      <c r="F85" s="464"/>
      <c r="G85" s="169"/>
      <c r="H85" s="169"/>
      <c r="I85" s="169"/>
      <c r="J85" s="169"/>
    </row>
    <row r="86" spans="1:10" s="167" customFormat="1" ht="22.5" x14ac:dyDescent="0.25">
      <c r="A86" s="384" t="s">
        <v>236</v>
      </c>
      <c r="B86" s="385">
        <v>91924</v>
      </c>
      <c r="C86" s="386" t="s">
        <v>238</v>
      </c>
      <c r="D86" s="245" t="s">
        <v>37</v>
      </c>
      <c r="E86" s="464" t="s">
        <v>1109</v>
      </c>
      <c r="F86" s="464">
        <f>318.5+446.8+486.8</f>
        <v>1252.0999999999999</v>
      </c>
      <c r="G86" s="169"/>
      <c r="H86" s="169"/>
      <c r="I86" s="169"/>
      <c r="J86" s="169"/>
    </row>
    <row r="87" spans="1:10" s="167" customFormat="1" ht="22.5" x14ac:dyDescent="0.25">
      <c r="A87" s="384" t="s">
        <v>239</v>
      </c>
      <c r="B87" s="385">
        <v>91926</v>
      </c>
      <c r="C87" s="386" t="s">
        <v>241</v>
      </c>
      <c r="D87" s="245" t="s">
        <v>37</v>
      </c>
      <c r="E87" s="464" t="s">
        <v>1110</v>
      </c>
      <c r="F87" s="464">
        <f>518.5+518.5+459.3</f>
        <v>1496.3</v>
      </c>
      <c r="G87" s="169"/>
      <c r="H87" s="169"/>
      <c r="I87" s="169"/>
      <c r="J87" s="169"/>
    </row>
    <row r="88" spans="1:10" s="167" customFormat="1" ht="22.5" x14ac:dyDescent="0.25">
      <c r="A88" s="384" t="s">
        <v>242</v>
      </c>
      <c r="B88" s="385">
        <v>91928</v>
      </c>
      <c r="C88" s="391" t="s">
        <v>244</v>
      </c>
      <c r="D88" s="245" t="s">
        <v>37</v>
      </c>
      <c r="E88" s="464" t="s">
        <v>1111</v>
      </c>
      <c r="F88" s="464">
        <f>105.2+105.2+74.2</f>
        <v>284.60000000000002</v>
      </c>
      <c r="G88" s="169"/>
      <c r="H88" s="169"/>
      <c r="I88" s="169"/>
      <c r="J88" s="169"/>
    </row>
    <row r="89" spans="1:10" s="167" customFormat="1" ht="22.5" x14ac:dyDescent="0.25">
      <c r="A89" s="384" t="s">
        <v>245</v>
      </c>
      <c r="B89" s="385">
        <v>91931</v>
      </c>
      <c r="C89" s="386" t="s">
        <v>247</v>
      </c>
      <c r="D89" s="245" t="s">
        <v>37</v>
      </c>
      <c r="E89" s="464" t="s">
        <v>1112</v>
      </c>
      <c r="F89" s="464">
        <f>55.9*4</f>
        <v>223.6</v>
      </c>
      <c r="G89" s="169"/>
      <c r="H89" s="169"/>
      <c r="I89" s="169"/>
      <c r="J89" s="169"/>
    </row>
    <row r="90" spans="1:10" s="167" customFormat="1" ht="22.5" x14ac:dyDescent="0.25">
      <c r="A90" s="384" t="s">
        <v>248</v>
      </c>
      <c r="B90" s="385">
        <v>39773</v>
      </c>
      <c r="C90" s="386" t="s">
        <v>250</v>
      </c>
      <c r="D90" s="245" t="s">
        <v>166</v>
      </c>
      <c r="E90" s="464"/>
      <c r="F90" s="464"/>
      <c r="G90" s="169"/>
      <c r="H90" s="169"/>
      <c r="I90" s="169"/>
      <c r="J90" s="169"/>
    </row>
    <row r="91" spans="1:10" s="167" customFormat="1" ht="22.5" x14ac:dyDescent="0.25">
      <c r="A91" s="384" t="s">
        <v>251</v>
      </c>
      <c r="B91" s="385">
        <v>101890</v>
      </c>
      <c r="C91" s="386" t="s">
        <v>253</v>
      </c>
      <c r="D91" s="245" t="s">
        <v>166</v>
      </c>
      <c r="E91" s="464"/>
      <c r="F91" s="464"/>
      <c r="G91" s="169"/>
      <c r="H91" s="169"/>
      <c r="I91" s="169"/>
      <c r="J91" s="169"/>
    </row>
    <row r="92" spans="1:10" s="167" customFormat="1" ht="22.5" x14ac:dyDescent="0.25">
      <c r="A92" s="384" t="s">
        <v>254</v>
      </c>
      <c r="B92" s="385">
        <v>93670</v>
      </c>
      <c r="C92" s="386" t="s">
        <v>256</v>
      </c>
      <c r="D92" s="245" t="s">
        <v>166</v>
      </c>
      <c r="E92" s="464"/>
      <c r="F92" s="464"/>
      <c r="G92" s="169"/>
      <c r="H92" s="169"/>
      <c r="I92" s="169"/>
      <c r="J92" s="169"/>
    </row>
    <row r="93" spans="1:10" s="167" customFormat="1" ht="22.5" x14ac:dyDescent="0.25">
      <c r="A93" s="384" t="s">
        <v>257</v>
      </c>
      <c r="B93" s="385">
        <v>93671</v>
      </c>
      <c r="C93" s="386" t="s">
        <v>259</v>
      </c>
      <c r="D93" s="245" t="s">
        <v>166</v>
      </c>
      <c r="E93" s="464"/>
      <c r="F93" s="464"/>
      <c r="G93" s="169"/>
      <c r="H93" s="169"/>
      <c r="I93" s="169"/>
      <c r="J93" s="169"/>
    </row>
    <row r="94" spans="1:10" s="167" customFormat="1" ht="22.5" x14ac:dyDescent="0.25">
      <c r="A94" s="384" t="s">
        <v>260</v>
      </c>
      <c r="B94" s="385">
        <v>39466</v>
      </c>
      <c r="C94" s="386" t="s">
        <v>262</v>
      </c>
      <c r="D94" s="245" t="s">
        <v>166</v>
      </c>
      <c r="E94" s="464"/>
      <c r="F94" s="464"/>
      <c r="G94" s="169"/>
      <c r="H94" s="169"/>
      <c r="I94" s="169"/>
      <c r="J94" s="169"/>
    </row>
    <row r="95" spans="1:10" s="167" customFormat="1" ht="22.5" x14ac:dyDescent="0.25">
      <c r="A95" s="384" t="s">
        <v>263</v>
      </c>
      <c r="B95" s="385">
        <v>39445</v>
      </c>
      <c r="C95" s="386" t="s">
        <v>265</v>
      </c>
      <c r="D95" s="245" t="s">
        <v>166</v>
      </c>
      <c r="E95" s="464"/>
      <c r="F95" s="464"/>
      <c r="G95" s="169"/>
      <c r="H95" s="169"/>
      <c r="I95" s="169"/>
      <c r="J95" s="169"/>
    </row>
    <row r="96" spans="1:10" s="167" customFormat="1" ht="22.5" x14ac:dyDescent="0.25">
      <c r="A96" s="384" t="s">
        <v>266</v>
      </c>
      <c r="B96" s="385">
        <v>39446</v>
      </c>
      <c r="C96" s="386" t="s">
        <v>268</v>
      </c>
      <c r="D96" s="245" t="s">
        <v>166</v>
      </c>
      <c r="E96" s="464"/>
      <c r="F96" s="464"/>
      <c r="G96" s="169"/>
      <c r="H96" s="169"/>
      <c r="I96" s="169"/>
      <c r="J96" s="169"/>
    </row>
    <row r="97" spans="1:10" s="167" customFormat="1" ht="22.5" x14ac:dyDescent="0.25">
      <c r="A97" s="384" t="s">
        <v>269</v>
      </c>
      <c r="B97" s="385">
        <v>91953</v>
      </c>
      <c r="C97" s="386" t="s">
        <v>271</v>
      </c>
      <c r="D97" s="245" t="s">
        <v>166</v>
      </c>
      <c r="E97" s="464"/>
      <c r="F97" s="464"/>
      <c r="G97" s="169"/>
      <c r="H97" s="169"/>
      <c r="I97" s="169"/>
      <c r="J97" s="169"/>
    </row>
    <row r="98" spans="1:10" s="167" customFormat="1" ht="22.5" x14ac:dyDescent="0.25">
      <c r="A98" s="384" t="s">
        <v>272</v>
      </c>
      <c r="B98" s="385">
        <v>91967</v>
      </c>
      <c r="C98" s="386" t="s">
        <v>274</v>
      </c>
      <c r="D98" s="245" t="s">
        <v>166</v>
      </c>
      <c r="E98" s="464"/>
      <c r="F98" s="464"/>
      <c r="G98" s="169"/>
      <c r="H98" s="169"/>
      <c r="I98" s="169"/>
      <c r="J98" s="169"/>
    </row>
    <row r="99" spans="1:10" s="167" customFormat="1" ht="22.5" x14ac:dyDescent="0.25">
      <c r="A99" s="384" t="s">
        <v>275</v>
      </c>
      <c r="B99" s="385">
        <v>92000</v>
      </c>
      <c r="C99" s="386" t="s">
        <v>277</v>
      </c>
      <c r="D99" s="245" t="s">
        <v>166</v>
      </c>
      <c r="E99" s="464"/>
      <c r="F99" s="464"/>
      <c r="G99" s="169"/>
      <c r="H99" s="169"/>
      <c r="I99" s="169"/>
      <c r="J99" s="169"/>
    </row>
    <row r="100" spans="1:10" s="167" customFormat="1" ht="22.5" x14ac:dyDescent="0.25">
      <c r="A100" s="384" t="s">
        <v>278</v>
      </c>
      <c r="B100" s="385">
        <v>92008</v>
      </c>
      <c r="C100" s="386" t="s">
        <v>280</v>
      </c>
      <c r="D100" s="245" t="s">
        <v>166</v>
      </c>
      <c r="E100" s="464"/>
      <c r="F100" s="464"/>
      <c r="G100" s="169"/>
      <c r="H100" s="169"/>
      <c r="I100" s="169"/>
      <c r="J100" s="169"/>
    </row>
    <row r="101" spans="1:10" s="167" customFormat="1" ht="22.5" x14ac:dyDescent="0.25">
      <c r="A101" s="384" t="s">
        <v>281</v>
      </c>
      <c r="B101" s="385">
        <v>91959</v>
      </c>
      <c r="C101" s="391" t="s">
        <v>283</v>
      </c>
      <c r="D101" s="245" t="s">
        <v>166</v>
      </c>
      <c r="E101" s="464"/>
      <c r="F101" s="464"/>
      <c r="G101" s="169"/>
      <c r="H101" s="169"/>
      <c r="I101" s="169"/>
      <c r="J101" s="169"/>
    </row>
    <row r="102" spans="1:10" s="167" customFormat="1" ht="33.75" x14ac:dyDescent="0.25">
      <c r="A102" s="384" t="s">
        <v>284</v>
      </c>
      <c r="B102" s="385">
        <v>91834</v>
      </c>
      <c r="C102" s="391" t="s">
        <v>286</v>
      </c>
      <c r="D102" s="245" t="s">
        <v>37</v>
      </c>
      <c r="E102" s="464" t="s">
        <v>1113</v>
      </c>
      <c r="F102" s="464">
        <f>830.52-350</f>
        <v>480.52</v>
      </c>
      <c r="G102" s="169"/>
      <c r="H102" s="169"/>
      <c r="I102" s="169"/>
      <c r="J102" s="169"/>
    </row>
    <row r="103" spans="1:10" s="167" customFormat="1" ht="33.75" x14ac:dyDescent="0.25">
      <c r="A103" s="384" t="s">
        <v>287</v>
      </c>
      <c r="B103" s="385">
        <v>91868</v>
      </c>
      <c r="C103" s="386" t="s">
        <v>289</v>
      </c>
      <c r="D103" s="245" t="s">
        <v>37</v>
      </c>
      <c r="E103" s="464"/>
      <c r="F103" s="464"/>
      <c r="G103" s="169"/>
      <c r="H103" s="169"/>
      <c r="I103" s="169"/>
      <c r="J103" s="169"/>
    </row>
    <row r="104" spans="1:10" s="167" customFormat="1" ht="33.75" x14ac:dyDescent="0.25">
      <c r="A104" s="384" t="s">
        <v>290</v>
      </c>
      <c r="B104" s="385">
        <v>91867</v>
      </c>
      <c r="C104" s="386" t="s">
        <v>292</v>
      </c>
      <c r="D104" s="245" t="s">
        <v>37</v>
      </c>
      <c r="E104" s="464"/>
      <c r="F104" s="464"/>
      <c r="G104" s="169"/>
      <c r="H104" s="169"/>
      <c r="I104" s="169"/>
      <c r="J104" s="169"/>
    </row>
    <row r="105" spans="1:10" s="167" customFormat="1" ht="22.5" x14ac:dyDescent="0.25">
      <c r="A105" s="384" t="s">
        <v>293</v>
      </c>
      <c r="B105" s="385">
        <v>101654</v>
      </c>
      <c r="C105" s="386" t="s">
        <v>295</v>
      </c>
      <c r="D105" s="245" t="s">
        <v>166</v>
      </c>
      <c r="E105" s="464"/>
      <c r="F105" s="464"/>
      <c r="G105" s="169"/>
      <c r="H105" s="169"/>
      <c r="I105" s="169"/>
      <c r="J105" s="169"/>
    </row>
    <row r="106" spans="1:10" s="167" customFormat="1" ht="22.5" x14ac:dyDescent="0.25">
      <c r="A106" s="384" t="s">
        <v>296</v>
      </c>
      <c r="B106" s="385">
        <v>103782</v>
      </c>
      <c r="C106" s="386" t="s">
        <v>298</v>
      </c>
      <c r="D106" s="245" t="s">
        <v>166</v>
      </c>
      <c r="E106" s="464"/>
      <c r="F106" s="464"/>
      <c r="G106" s="169"/>
      <c r="H106" s="169"/>
      <c r="I106" s="169"/>
      <c r="J106" s="169"/>
    </row>
    <row r="107" spans="1:10" s="167" customFormat="1" ht="33.75" x14ac:dyDescent="0.25">
      <c r="A107" s="384" t="s">
        <v>299</v>
      </c>
      <c r="B107" s="385">
        <v>101509</v>
      </c>
      <c r="C107" s="386" t="s">
        <v>301</v>
      </c>
      <c r="D107" s="245" t="s">
        <v>166</v>
      </c>
      <c r="E107" s="464" t="s">
        <v>1114</v>
      </c>
      <c r="F107" s="464">
        <v>1</v>
      </c>
      <c r="G107" s="169"/>
      <c r="H107" s="169"/>
      <c r="I107" s="169"/>
      <c r="J107" s="169"/>
    </row>
    <row r="108" spans="1:10" s="167" customFormat="1" ht="22.5" x14ac:dyDescent="0.25">
      <c r="A108" s="384" t="s">
        <v>302</v>
      </c>
      <c r="B108" s="385">
        <v>5044</v>
      </c>
      <c r="C108" s="386" t="s">
        <v>304</v>
      </c>
      <c r="D108" s="245" t="s">
        <v>166</v>
      </c>
      <c r="E108" s="464"/>
      <c r="F108" s="464"/>
      <c r="G108" s="169"/>
      <c r="H108" s="169"/>
      <c r="I108" s="169"/>
      <c r="J108" s="169"/>
    </row>
    <row r="109" spans="1:10" s="167" customFormat="1" ht="33.75" x14ac:dyDescent="0.25">
      <c r="A109" s="384" t="s">
        <v>305</v>
      </c>
      <c r="B109" s="385">
        <v>101879</v>
      </c>
      <c r="C109" s="386" t="s">
        <v>307</v>
      </c>
      <c r="D109" s="245" t="s">
        <v>166</v>
      </c>
      <c r="E109" s="464"/>
      <c r="F109" s="464"/>
      <c r="G109" s="169"/>
      <c r="H109" s="169"/>
      <c r="I109" s="169"/>
      <c r="J109" s="169"/>
    </row>
    <row r="110" spans="1:10" s="167" customFormat="1" ht="22.5" x14ac:dyDescent="0.25">
      <c r="A110" s="384" t="s">
        <v>308</v>
      </c>
      <c r="B110" s="385">
        <v>5044</v>
      </c>
      <c r="C110" s="386" t="s">
        <v>304</v>
      </c>
      <c r="D110" s="245" t="s">
        <v>166</v>
      </c>
      <c r="E110" s="464"/>
      <c r="F110" s="464"/>
      <c r="G110" s="169"/>
      <c r="H110" s="169"/>
      <c r="I110" s="169"/>
      <c r="J110" s="169"/>
    </row>
    <row r="111" spans="1:10" s="167" customFormat="1" ht="22.5" x14ac:dyDescent="0.25">
      <c r="A111" s="384" t="s">
        <v>309</v>
      </c>
      <c r="B111" s="385">
        <v>92023</v>
      </c>
      <c r="C111" s="386" t="s">
        <v>311</v>
      </c>
      <c r="D111" s="245" t="s">
        <v>166</v>
      </c>
      <c r="E111" s="464"/>
      <c r="F111" s="464"/>
      <c r="G111" s="169"/>
      <c r="H111" s="169"/>
      <c r="I111" s="169"/>
      <c r="J111" s="169"/>
    </row>
    <row r="112" spans="1:10" s="167" customFormat="1" x14ac:dyDescent="0.25">
      <c r="A112" s="347" t="s">
        <v>312</v>
      </c>
      <c r="B112" s="349" t="s">
        <v>313</v>
      </c>
      <c r="C112" s="386"/>
      <c r="D112" s="245"/>
      <c r="E112" s="464"/>
      <c r="F112" s="464"/>
      <c r="G112" s="169" t="s">
        <v>1098</v>
      </c>
      <c r="H112" s="169"/>
      <c r="I112" s="169"/>
      <c r="J112" s="169"/>
    </row>
    <row r="113" spans="1:10" s="167" customFormat="1" ht="22.5" x14ac:dyDescent="0.25">
      <c r="A113" s="384" t="s">
        <v>314</v>
      </c>
      <c r="B113" s="385">
        <v>96620</v>
      </c>
      <c r="C113" s="386" t="s">
        <v>316</v>
      </c>
      <c r="D113" s="277" t="s">
        <v>41</v>
      </c>
      <c r="E113" s="464"/>
      <c r="F113" s="464"/>
      <c r="G113" s="169"/>
      <c r="H113" s="169"/>
      <c r="I113" s="169"/>
      <c r="J113" s="169"/>
    </row>
    <row r="114" spans="1:10" s="167" customFormat="1" ht="45" x14ac:dyDescent="0.25">
      <c r="A114" s="384" t="s">
        <v>317</v>
      </c>
      <c r="B114" s="385">
        <v>94439</v>
      </c>
      <c r="C114" s="386" t="s">
        <v>319</v>
      </c>
      <c r="D114" s="277" t="s">
        <v>17</v>
      </c>
      <c r="E114" s="464" t="s">
        <v>1121</v>
      </c>
      <c r="F114" s="464">
        <f>22*0.9*2</f>
        <v>39.6</v>
      </c>
      <c r="G114" s="169"/>
      <c r="H114" s="169"/>
      <c r="I114" s="169"/>
      <c r="J114" s="169"/>
    </row>
    <row r="115" spans="1:10" s="167" customFormat="1" ht="33.75" x14ac:dyDescent="0.25">
      <c r="A115" s="384" t="s">
        <v>320</v>
      </c>
      <c r="B115" s="385">
        <v>87257</v>
      </c>
      <c r="C115" s="386" t="s">
        <v>322</v>
      </c>
      <c r="D115" s="277" t="s">
        <v>17</v>
      </c>
      <c r="E115" s="468"/>
      <c r="F115" s="464"/>
      <c r="G115" s="169"/>
      <c r="H115" s="169"/>
      <c r="I115" s="169"/>
      <c r="J115" s="169"/>
    </row>
    <row r="116" spans="1:10" s="167" customFormat="1" ht="45" x14ac:dyDescent="0.25">
      <c r="A116" s="384" t="s">
        <v>323</v>
      </c>
      <c r="B116" s="385">
        <v>92403</v>
      </c>
      <c r="C116" s="386" t="s">
        <v>325</v>
      </c>
      <c r="D116" s="277" t="s">
        <v>17</v>
      </c>
      <c r="E116" s="468" t="s">
        <v>1115</v>
      </c>
      <c r="F116" s="464">
        <f>3.75*2.8+1.53*(21.65+35.85)</f>
        <v>98.475000000000009</v>
      </c>
      <c r="G116" s="169"/>
      <c r="H116" s="169"/>
      <c r="I116" s="169"/>
      <c r="J116" s="169"/>
    </row>
    <row r="117" spans="1:10" s="167" customFormat="1" ht="45" x14ac:dyDescent="0.25">
      <c r="A117" s="384" t="s">
        <v>326</v>
      </c>
      <c r="B117" s="385">
        <v>94273</v>
      </c>
      <c r="C117" s="386" t="s">
        <v>328</v>
      </c>
      <c r="D117" s="277" t="s">
        <v>37</v>
      </c>
      <c r="E117" s="464"/>
      <c r="F117" s="464"/>
      <c r="G117" s="169"/>
      <c r="H117" s="169"/>
      <c r="I117" s="169"/>
      <c r="J117" s="169"/>
    </row>
    <row r="118" spans="1:10" s="167" customFormat="1" ht="22.5" x14ac:dyDescent="0.25">
      <c r="A118" s="384" t="s">
        <v>329</v>
      </c>
      <c r="B118" s="385">
        <v>368</v>
      </c>
      <c r="C118" s="386" t="s">
        <v>331</v>
      </c>
      <c r="D118" s="277" t="s">
        <v>41</v>
      </c>
      <c r="E118" s="464"/>
      <c r="F118" s="464"/>
      <c r="G118" s="169"/>
      <c r="H118" s="169"/>
      <c r="I118" s="169"/>
      <c r="J118" s="169"/>
    </row>
    <row r="119" spans="1:10" s="167" customFormat="1" x14ac:dyDescent="0.25">
      <c r="A119" s="384" t="s">
        <v>332</v>
      </c>
      <c r="B119" s="385">
        <v>98504</v>
      </c>
      <c r="C119" s="386" t="s">
        <v>334</v>
      </c>
      <c r="D119" s="277" t="s">
        <v>17</v>
      </c>
      <c r="E119" s="464"/>
      <c r="F119" s="464"/>
      <c r="G119" s="169"/>
      <c r="H119" s="169"/>
      <c r="I119" s="169"/>
      <c r="J119" s="169"/>
    </row>
    <row r="120" spans="1:10" s="167" customFormat="1" ht="22.5" x14ac:dyDescent="0.25">
      <c r="A120" s="384" t="s">
        <v>335</v>
      </c>
      <c r="B120" s="385">
        <v>103913</v>
      </c>
      <c r="C120" s="386" t="s">
        <v>337</v>
      </c>
      <c r="D120" s="277" t="s">
        <v>17</v>
      </c>
      <c r="E120" s="464" t="s">
        <v>1121</v>
      </c>
      <c r="F120" s="464">
        <f>22*0.9*2</f>
        <v>39.6</v>
      </c>
      <c r="G120" s="169"/>
      <c r="H120" s="169"/>
      <c r="I120" s="169"/>
      <c r="J120" s="169"/>
    </row>
    <row r="121" spans="1:10" s="167" customFormat="1" x14ac:dyDescent="0.25">
      <c r="A121" s="347" t="s">
        <v>338</v>
      </c>
      <c r="B121" s="349" t="s">
        <v>339</v>
      </c>
      <c r="C121" s="386"/>
      <c r="D121" s="277"/>
      <c r="E121" s="464"/>
      <c r="F121" s="464"/>
      <c r="G121" s="169"/>
      <c r="H121" s="169"/>
      <c r="I121" s="169"/>
      <c r="J121" s="169"/>
    </row>
    <row r="122" spans="1:10" s="167" customFormat="1" ht="33.75" x14ac:dyDescent="0.25">
      <c r="A122" s="384" t="s">
        <v>340</v>
      </c>
      <c r="B122" s="385">
        <v>94207</v>
      </c>
      <c r="C122" s="386" t="s">
        <v>342</v>
      </c>
      <c r="D122" s="277" t="s">
        <v>17</v>
      </c>
      <c r="E122" s="468"/>
      <c r="F122" s="464"/>
      <c r="G122" s="169">
        <f>578- 3*2.17-5.35*2.47-2.51*5.33-1.15*2.56- 1.58*2.54-1.58*2.55-2.61*13.2-4.66*3.37</f>
        <v>483.75480000000005</v>
      </c>
      <c r="H122" s="169"/>
      <c r="I122" s="169"/>
      <c r="J122" s="169"/>
    </row>
    <row r="123" spans="1:10" s="167" customFormat="1" ht="22.5" x14ac:dyDescent="0.25">
      <c r="A123" s="384" t="s">
        <v>343</v>
      </c>
      <c r="B123" s="385">
        <v>98546</v>
      </c>
      <c r="C123" s="386" t="s">
        <v>345</v>
      </c>
      <c r="D123" s="277" t="s">
        <v>17</v>
      </c>
      <c r="E123" s="469" t="s">
        <v>1117</v>
      </c>
      <c r="F123" s="464">
        <f>23.17*2.4</f>
        <v>55.608000000000004</v>
      </c>
      <c r="G123" s="169"/>
      <c r="H123" s="169"/>
      <c r="I123" s="169"/>
      <c r="J123" s="169"/>
    </row>
    <row r="124" spans="1:10" s="167" customFormat="1" ht="22.5" x14ac:dyDescent="0.25">
      <c r="A124" s="384" t="s">
        <v>346</v>
      </c>
      <c r="B124" s="385">
        <v>98565</v>
      </c>
      <c r="C124" s="386" t="s">
        <v>348</v>
      </c>
      <c r="D124" s="277" t="s">
        <v>17</v>
      </c>
      <c r="E124" s="469"/>
      <c r="F124" s="464"/>
      <c r="G124" s="169"/>
      <c r="H124" s="169"/>
      <c r="I124" s="169"/>
      <c r="J124" s="169"/>
    </row>
    <row r="125" spans="1:10" s="167" customFormat="1" ht="45" x14ac:dyDescent="0.25">
      <c r="A125" s="384" t="s">
        <v>349</v>
      </c>
      <c r="B125" s="385">
        <v>100374</v>
      </c>
      <c r="C125" s="386" t="s">
        <v>351</v>
      </c>
      <c r="D125" s="277" t="s">
        <v>166</v>
      </c>
      <c r="E125" s="464"/>
      <c r="F125" s="464"/>
      <c r="G125" s="169"/>
      <c r="H125" s="169"/>
      <c r="I125" s="169"/>
      <c r="J125" s="169"/>
    </row>
    <row r="126" spans="1:10" s="167" customFormat="1" ht="45" x14ac:dyDescent="0.25">
      <c r="A126" s="384" t="s">
        <v>352</v>
      </c>
      <c r="B126" s="385">
        <v>100375</v>
      </c>
      <c r="C126" s="386" t="s">
        <v>354</v>
      </c>
      <c r="D126" s="277" t="s">
        <v>166</v>
      </c>
      <c r="E126" s="464"/>
      <c r="F126" s="464"/>
      <c r="G126" s="169"/>
      <c r="H126" s="169"/>
      <c r="I126" s="169"/>
      <c r="J126" s="169"/>
    </row>
    <row r="127" spans="1:10" s="167" customFormat="1" ht="33.75" x14ac:dyDescent="0.25">
      <c r="A127" s="384" t="s">
        <v>355</v>
      </c>
      <c r="B127" s="385">
        <v>92544</v>
      </c>
      <c r="C127" s="386" t="s">
        <v>357</v>
      </c>
      <c r="D127" s="277" t="s">
        <v>17</v>
      </c>
      <c r="E127" s="464"/>
      <c r="F127" s="464"/>
      <c r="G127" s="169"/>
      <c r="H127" s="169"/>
      <c r="I127" s="169"/>
      <c r="J127" s="169"/>
    </row>
    <row r="128" spans="1:10" s="167" customFormat="1" ht="22.5" x14ac:dyDescent="0.25">
      <c r="A128" s="384" t="s">
        <v>358</v>
      </c>
      <c r="B128" s="385">
        <v>100435</v>
      </c>
      <c r="C128" s="386" t="s">
        <v>360</v>
      </c>
      <c r="D128" s="277" t="s">
        <v>37</v>
      </c>
      <c r="E128" s="464"/>
      <c r="F128" s="464"/>
      <c r="G128" s="169"/>
      <c r="H128" s="169"/>
      <c r="I128" s="169"/>
      <c r="J128" s="169"/>
    </row>
    <row r="129" spans="1:10" s="167" customFormat="1" ht="22.5" x14ac:dyDescent="0.25">
      <c r="A129" s="384" t="s">
        <v>361</v>
      </c>
      <c r="B129" s="385">
        <v>94229</v>
      </c>
      <c r="C129" s="386" t="s">
        <v>363</v>
      </c>
      <c r="D129" s="277" t="s">
        <v>37</v>
      </c>
      <c r="E129" s="468"/>
      <c r="F129" s="464"/>
      <c r="G129" s="169">
        <f>26.26*2+2.85+2.17+1.76</f>
        <v>59.300000000000004</v>
      </c>
      <c r="H129" s="169"/>
      <c r="I129" s="169"/>
      <c r="J129" s="169"/>
    </row>
    <row r="130" spans="1:10" s="167" customFormat="1" ht="22.5" x14ac:dyDescent="0.25">
      <c r="A130" s="384" t="s">
        <v>364</v>
      </c>
      <c r="B130" s="385">
        <v>96113</v>
      </c>
      <c r="C130" s="386" t="s">
        <v>366</v>
      </c>
      <c r="D130" s="277" t="s">
        <v>17</v>
      </c>
      <c r="E130" s="464"/>
      <c r="F130" s="464"/>
      <c r="G130" s="169"/>
      <c r="H130" s="169"/>
      <c r="I130" s="169"/>
      <c r="J130" s="169"/>
    </row>
    <row r="131" spans="1:10" s="167" customFormat="1" ht="14.45" customHeight="1" x14ac:dyDescent="0.25">
      <c r="A131" s="347">
        <v>1.1299999999999999</v>
      </c>
      <c r="B131" s="348" t="s">
        <v>368</v>
      </c>
      <c r="C131" s="386"/>
      <c r="D131" s="277"/>
      <c r="E131" s="464"/>
      <c r="F131" s="464"/>
      <c r="G131" s="169"/>
      <c r="H131" s="169"/>
      <c r="I131" s="169"/>
      <c r="J131" s="169"/>
    </row>
    <row r="132" spans="1:10" s="167" customFormat="1" ht="45" x14ac:dyDescent="0.25">
      <c r="A132" s="384" t="s">
        <v>369</v>
      </c>
      <c r="B132" s="385">
        <v>91785</v>
      </c>
      <c r="C132" s="386" t="s">
        <v>371</v>
      </c>
      <c r="D132" s="277" t="s">
        <v>37</v>
      </c>
      <c r="E132" s="464"/>
      <c r="F132" s="464"/>
      <c r="G132" s="169"/>
      <c r="H132" s="169"/>
      <c r="I132" s="169"/>
      <c r="J132" s="169"/>
    </row>
    <row r="133" spans="1:10" s="167" customFormat="1" ht="45" x14ac:dyDescent="0.25">
      <c r="A133" s="384" t="s">
        <v>372</v>
      </c>
      <c r="B133" s="385">
        <v>91784</v>
      </c>
      <c r="C133" s="386" t="s">
        <v>374</v>
      </c>
      <c r="D133" s="277" t="s">
        <v>37</v>
      </c>
      <c r="E133" s="464"/>
      <c r="F133" s="464"/>
      <c r="G133" s="169"/>
      <c r="H133" s="169"/>
      <c r="I133" s="169"/>
      <c r="J133" s="169"/>
    </row>
    <row r="134" spans="1:10" s="167" customFormat="1" ht="45" x14ac:dyDescent="0.25">
      <c r="A134" s="384" t="s">
        <v>375</v>
      </c>
      <c r="B134" s="385">
        <v>91786</v>
      </c>
      <c r="C134" s="386" t="s">
        <v>377</v>
      </c>
      <c r="D134" s="277" t="s">
        <v>37</v>
      </c>
      <c r="E134" s="464"/>
      <c r="F134" s="464"/>
      <c r="G134" s="169"/>
      <c r="H134" s="169"/>
      <c r="I134" s="169"/>
      <c r="J134" s="169"/>
    </row>
    <row r="135" spans="1:10" s="167" customFormat="1" ht="33.75" x14ac:dyDescent="0.25">
      <c r="A135" s="384" t="s">
        <v>378</v>
      </c>
      <c r="B135" s="385">
        <v>91787</v>
      </c>
      <c r="C135" s="386" t="s">
        <v>380</v>
      </c>
      <c r="D135" s="277" t="s">
        <v>37</v>
      </c>
      <c r="E135" s="464"/>
      <c r="F135" s="464"/>
      <c r="G135" s="169"/>
      <c r="H135" s="169"/>
      <c r="I135" s="169"/>
      <c r="J135" s="169"/>
    </row>
    <row r="136" spans="1:10" s="167" customFormat="1" ht="22.5" x14ac:dyDescent="0.25">
      <c r="A136" s="384" t="s">
        <v>381</v>
      </c>
      <c r="B136" s="385">
        <v>89987</v>
      </c>
      <c r="C136" s="386" t="s">
        <v>383</v>
      </c>
      <c r="D136" s="277" t="s">
        <v>166</v>
      </c>
      <c r="E136" s="464"/>
      <c r="F136" s="464"/>
      <c r="G136" s="169"/>
      <c r="H136" s="169"/>
      <c r="I136" s="169"/>
      <c r="J136" s="169"/>
    </row>
    <row r="137" spans="1:10" s="167" customFormat="1" ht="22.5" x14ac:dyDescent="0.25">
      <c r="A137" s="384" t="s">
        <v>384</v>
      </c>
      <c r="B137" s="385">
        <v>94490</v>
      </c>
      <c r="C137" s="386" t="s">
        <v>386</v>
      </c>
      <c r="D137" s="277" t="s">
        <v>166</v>
      </c>
      <c r="E137" s="464"/>
      <c r="F137" s="464"/>
      <c r="G137" s="169"/>
      <c r="H137" s="169"/>
      <c r="I137" s="169"/>
      <c r="J137" s="169"/>
    </row>
    <row r="138" spans="1:10" s="167" customFormat="1" ht="22.5" x14ac:dyDescent="0.25">
      <c r="A138" s="384" t="s">
        <v>387</v>
      </c>
      <c r="B138" s="385">
        <v>89985</v>
      </c>
      <c r="C138" s="386" t="s">
        <v>389</v>
      </c>
      <c r="D138" s="277" t="s">
        <v>166</v>
      </c>
      <c r="E138" s="464"/>
      <c r="F138" s="464"/>
      <c r="G138" s="169"/>
      <c r="H138" s="169"/>
      <c r="I138" s="169"/>
      <c r="J138" s="169"/>
    </row>
    <row r="139" spans="1:10" s="167" customFormat="1" ht="22.5" x14ac:dyDescent="0.25">
      <c r="A139" s="384" t="s">
        <v>390</v>
      </c>
      <c r="B139" s="385">
        <v>102613</v>
      </c>
      <c r="C139" s="386" t="s">
        <v>392</v>
      </c>
      <c r="D139" s="277" t="s">
        <v>166</v>
      </c>
      <c r="E139" s="464"/>
      <c r="F139" s="464"/>
      <c r="G139" s="169"/>
      <c r="H139" s="169"/>
      <c r="I139" s="169"/>
      <c r="J139" s="169"/>
    </row>
    <row r="140" spans="1:10" s="167" customFormat="1" ht="22.5" x14ac:dyDescent="0.25">
      <c r="A140" s="384" t="s">
        <v>393</v>
      </c>
      <c r="B140" s="385">
        <v>102609</v>
      </c>
      <c r="C140" s="386" t="s">
        <v>395</v>
      </c>
      <c r="D140" s="277" t="s">
        <v>166</v>
      </c>
      <c r="E140" s="464"/>
      <c r="F140" s="464"/>
      <c r="G140" s="169"/>
      <c r="H140" s="169"/>
      <c r="I140" s="169"/>
      <c r="J140" s="169"/>
    </row>
    <row r="141" spans="1:10" s="167" customFormat="1" ht="22.5" x14ac:dyDescent="0.25">
      <c r="A141" s="384" t="s">
        <v>396</v>
      </c>
      <c r="B141" s="385">
        <v>94796</v>
      </c>
      <c r="C141" s="386" t="s">
        <v>398</v>
      </c>
      <c r="D141" s="277" t="s">
        <v>166</v>
      </c>
      <c r="E141" s="464"/>
      <c r="F141" s="464"/>
      <c r="G141" s="169"/>
      <c r="H141" s="169"/>
      <c r="I141" s="169"/>
      <c r="J141" s="169"/>
    </row>
    <row r="142" spans="1:10" s="167" customFormat="1" ht="22.5" x14ac:dyDescent="0.25">
      <c r="A142" s="384" t="s">
        <v>399</v>
      </c>
      <c r="B142" s="385">
        <v>94491</v>
      </c>
      <c r="C142" s="386" t="s">
        <v>401</v>
      </c>
      <c r="D142" s="277" t="s">
        <v>166</v>
      </c>
      <c r="E142" s="464"/>
      <c r="F142" s="464"/>
      <c r="G142" s="169"/>
      <c r="H142" s="169"/>
      <c r="I142" s="169"/>
      <c r="J142" s="169"/>
    </row>
    <row r="143" spans="1:10" s="167" customFormat="1" ht="22.5" x14ac:dyDescent="0.25">
      <c r="A143" s="384" t="s">
        <v>402</v>
      </c>
      <c r="B143" s="385">
        <v>94492</v>
      </c>
      <c r="C143" s="386" t="s">
        <v>404</v>
      </c>
      <c r="D143" s="277" t="s">
        <v>166</v>
      </c>
      <c r="E143" s="464"/>
      <c r="F143" s="464"/>
      <c r="G143" s="169"/>
      <c r="H143" s="169"/>
      <c r="I143" s="169"/>
      <c r="J143" s="169"/>
    </row>
    <row r="144" spans="1:10" s="167" customFormat="1" x14ac:dyDescent="0.25">
      <c r="A144" s="384" t="s">
        <v>405</v>
      </c>
      <c r="B144" s="385">
        <v>95675</v>
      </c>
      <c r="C144" s="386" t="s">
        <v>407</v>
      </c>
      <c r="D144" s="277" t="s">
        <v>166</v>
      </c>
      <c r="E144" s="464"/>
      <c r="F144" s="464"/>
      <c r="G144" s="169"/>
      <c r="H144" s="169"/>
      <c r="I144" s="169"/>
      <c r="J144" s="169"/>
    </row>
    <row r="145" spans="1:10" s="167" customFormat="1" ht="33.75" x14ac:dyDescent="0.25">
      <c r="A145" s="384" t="s">
        <v>408</v>
      </c>
      <c r="B145" s="385">
        <v>97902</v>
      </c>
      <c r="C145" s="386" t="s">
        <v>410</v>
      </c>
      <c r="D145" s="277" t="s">
        <v>166</v>
      </c>
      <c r="E145" s="464"/>
      <c r="F145" s="464"/>
      <c r="G145" s="169"/>
      <c r="H145" s="169"/>
      <c r="I145" s="169"/>
      <c r="J145" s="169"/>
    </row>
    <row r="146" spans="1:10" s="167" customFormat="1" ht="33.75" x14ac:dyDescent="0.25">
      <c r="A146" s="384" t="s">
        <v>411</v>
      </c>
      <c r="B146" s="385">
        <v>99258</v>
      </c>
      <c r="C146" s="386" t="s">
        <v>413</v>
      </c>
      <c r="D146" s="277" t="s">
        <v>166</v>
      </c>
      <c r="E146" s="464"/>
      <c r="F146" s="464"/>
      <c r="G146" s="169"/>
      <c r="H146" s="169"/>
      <c r="I146" s="169"/>
      <c r="J146" s="169"/>
    </row>
    <row r="147" spans="1:10" s="167" customFormat="1" ht="22.5" x14ac:dyDescent="0.25">
      <c r="A147" s="384" t="s">
        <v>414</v>
      </c>
      <c r="B147" s="385">
        <v>89482</v>
      </c>
      <c r="C147" s="386" t="s">
        <v>416</v>
      </c>
      <c r="D147" s="277" t="s">
        <v>166</v>
      </c>
      <c r="E147" s="464"/>
      <c r="F147" s="464"/>
      <c r="G147" s="169"/>
      <c r="H147" s="169"/>
      <c r="I147" s="169"/>
      <c r="J147" s="169"/>
    </row>
    <row r="148" spans="1:10" s="167" customFormat="1" ht="45" x14ac:dyDescent="0.25">
      <c r="A148" s="384" t="s">
        <v>417</v>
      </c>
      <c r="B148" s="385">
        <v>91792</v>
      </c>
      <c r="C148" s="386" t="s">
        <v>419</v>
      </c>
      <c r="D148" s="277" t="s">
        <v>37</v>
      </c>
      <c r="E148" s="464"/>
      <c r="F148" s="464"/>
      <c r="G148" s="169"/>
      <c r="H148" s="169"/>
      <c r="I148" s="169"/>
      <c r="J148" s="169"/>
    </row>
    <row r="149" spans="1:10" s="167" customFormat="1" ht="45" x14ac:dyDescent="0.25">
      <c r="A149" s="384" t="s">
        <v>420</v>
      </c>
      <c r="B149" s="385">
        <v>91793</v>
      </c>
      <c r="C149" s="386" t="s">
        <v>422</v>
      </c>
      <c r="D149" s="277" t="s">
        <v>37</v>
      </c>
      <c r="E149" s="464"/>
      <c r="F149" s="464"/>
      <c r="G149" s="169"/>
      <c r="H149" s="169"/>
      <c r="I149" s="169"/>
      <c r="J149" s="169"/>
    </row>
    <row r="150" spans="1:10" s="167" customFormat="1" ht="33.75" x14ac:dyDescent="0.25">
      <c r="A150" s="384" t="s">
        <v>423</v>
      </c>
      <c r="B150" s="385">
        <v>98107</v>
      </c>
      <c r="C150" s="386" t="s">
        <v>425</v>
      </c>
      <c r="D150" s="277" t="s">
        <v>166</v>
      </c>
      <c r="E150" s="464"/>
      <c r="F150" s="464"/>
      <c r="G150" s="169"/>
      <c r="H150" s="169"/>
      <c r="I150" s="169"/>
      <c r="J150" s="169"/>
    </row>
    <row r="151" spans="1:10" s="167" customFormat="1" ht="45" x14ac:dyDescent="0.25">
      <c r="A151" s="384" t="s">
        <v>426</v>
      </c>
      <c r="B151" s="385">
        <v>91795</v>
      </c>
      <c r="C151" s="386" t="s">
        <v>428</v>
      </c>
      <c r="D151" s="277" t="s">
        <v>37</v>
      </c>
      <c r="E151" s="464"/>
      <c r="F151" s="464"/>
      <c r="G151" s="169"/>
      <c r="H151" s="169"/>
      <c r="I151" s="169"/>
      <c r="J151" s="169"/>
    </row>
    <row r="152" spans="1:10" s="167" customFormat="1" ht="33.75" x14ac:dyDescent="0.25">
      <c r="A152" s="384" t="s">
        <v>429</v>
      </c>
      <c r="B152" s="385">
        <v>99251</v>
      </c>
      <c r="C152" s="391" t="s">
        <v>431</v>
      </c>
      <c r="D152" s="277" t="s">
        <v>166</v>
      </c>
      <c r="E152" s="464"/>
      <c r="F152" s="464"/>
      <c r="G152" s="169"/>
      <c r="H152" s="169"/>
      <c r="I152" s="169"/>
      <c r="J152" s="169"/>
    </row>
    <row r="153" spans="1:10" s="167" customFormat="1" ht="45" x14ac:dyDescent="0.25">
      <c r="A153" s="384" t="s">
        <v>432</v>
      </c>
      <c r="B153" s="385">
        <v>91790</v>
      </c>
      <c r="C153" s="391" t="s">
        <v>434</v>
      </c>
      <c r="D153" s="277" t="s">
        <v>37</v>
      </c>
      <c r="E153" s="464"/>
      <c r="F153" s="464"/>
      <c r="G153" s="169"/>
      <c r="H153" s="169"/>
      <c r="I153" s="169"/>
      <c r="J153" s="169"/>
    </row>
    <row r="154" spans="1:10" s="167" customFormat="1" ht="14.45" customHeight="1" x14ac:dyDescent="0.25">
      <c r="A154" s="347">
        <v>1.1399999999999999</v>
      </c>
      <c r="B154" s="348" t="s">
        <v>436</v>
      </c>
      <c r="C154" s="386"/>
      <c r="D154" s="277"/>
      <c r="E154" s="464"/>
      <c r="F154" s="464"/>
      <c r="G154" s="169"/>
      <c r="H154" s="169"/>
      <c r="I154" s="169"/>
      <c r="J154" s="169"/>
    </row>
    <row r="155" spans="1:10" s="167" customFormat="1" ht="22.5" x14ac:dyDescent="0.25">
      <c r="A155" s="384" t="s">
        <v>437</v>
      </c>
      <c r="B155" s="442" t="s">
        <v>438</v>
      </c>
      <c r="C155" s="386" t="s">
        <v>439</v>
      </c>
      <c r="D155" s="277" t="s">
        <v>17</v>
      </c>
      <c r="E155" s="464"/>
      <c r="F155" s="464"/>
      <c r="G155" s="169"/>
      <c r="H155" s="169"/>
      <c r="I155" s="169"/>
      <c r="J155" s="169"/>
    </row>
    <row r="156" spans="1:10" s="167" customFormat="1" ht="22.5" x14ac:dyDescent="0.25">
      <c r="A156" s="384" t="s">
        <v>440</v>
      </c>
      <c r="B156" s="385">
        <v>86906</v>
      </c>
      <c r="C156" s="391" t="s">
        <v>442</v>
      </c>
      <c r="D156" s="277" t="s">
        <v>166</v>
      </c>
      <c r="E156" s="464"/>
      <c r="F156" s="464"/>
      <c r="G156" s="169"/>
      <c r="H156" s="169"/>
      <c r="I156" s="169"/>
      <c r="J156" s="169"/>
    </row>
    <row r="157" spans="1:10" s="167" customFormat="1" ht="22.5" x14ac:dyDescent="0.25">
      <c r="A157" s="384" t="s">
        <v>443</v>
      </c>
      <c r="B157" s="385">
        <v>86911</v>
      </c>
      <c r="C157" s="386" t="s">
        <v>445</v>
      </c>
      <c r="D157" s="277" t="s">
        <v>166</v>
      </c>
      <c r="E157" s="464"/>
      <c r="F157" s="464"/>
      <c r="G157" s="169"/>
      <c r="H157" s="169"/>
      <c r="I157" s="169"/>
      <c r="J157" s="169"/>
    </row>
    <row r="158" spans="1:10" s="167" customFormat="1" ht="22.5" x14ac:dyDescent="0.25">
      <c r="A158" s="384" t="s">
        <v>446</v>
      </c>
      <c r="B158" s="385">
        <v>10428</v>
      </c>
      <c r="C158" s="386" t="s">
        <v>448</v>
      </c>
      <c r="D158" s="277" t="s">
        <v>166</v>
      </c>
      <c r="E158" s="464"/>
      <c r="F158" s="464"/>
      <c r="G158" s="169"/>
      <c r="H158" s="169"/>
      <c r="I158" s="169"/>
      <c r="J158" s="169"/>
    </row>
    <row r="159" spans="1:10" s="167" customFormat="1" ht="33.75" x14ac:dyDescent="0.25">
      <c r="A159" s="384" t="s">
        <v>449</v>
      </c>
      <c r="B159" s="385">
        <v>86932</v>
      </c>
      <c r="C159" s="386" t="s">
        <v>451</v>
      </c>
      <c r="D159" s="277" t="s">
        <v>166</v>
      </c>
      <c r="E159" s="464"/>
      <c r="F159" s="464"/>
      <c r="G159" s="169"/>
      <c r="H159" s="169"/>
      <c r="I159" s="169"/>
      <c r="J159" s="169"/>
    </row>
    <row r="160" spans="1:10" s="167" customFormat="1" ht="33.75" x14ac:dyDescent="0.25">
      <c r="A160" s="384" t="s">
        <v>452</v>
      </c>
      <c r="B160" s="385">
        <v>86935</v>
      </c>
      <c r="C160" s="386" t="s">
        <v>454</v>
      </c>
      <c r="D160" s="277" t="s">
        <v>166</v>
      </c>
      <c r="E160" s="464"/>
      <c r="F160" s="464"/>
      <c r="G160" s="169"/>
      <c r="H160" s="169"/>
      <c r="I160" s="169"/>
      <c r="J160" s="169"/>
    </row>
    <row r="161" spans="1:10" s="167" customFormat="1" ht="22.5" x14ac:dyDescent="0.25">
      <c r="A161" s="384" t="s">
        <v>455</v>
      </c>
      <c r="B161" s="385">
        <v>100868</v>
      </c>
      <c r="C161" s="386" t="s">
        <v>457</v>
      </c>
      <c r="D161" s="277" t="s">
        <v>166</v>
      </c>
      <c r="E161" s="464"/>
      <c r="F161" s="464"/>
      <c r="G161" s="169"/>
      <c r="H161" s="169"/>
      <c r="I161" s="169"/>
      <c r="J161" s="169"/>
    </row>
    <row r="162" spans="1:10" s="167" customFormat="1" ht="45" x14ac:dyDescent="0.25">
      <c r="A162" s="384" t="s">
        <v>458</v>
      </c>
      <c r="B162" s="385">
        <v>86942</v>
      </c>
      <c r="C162" s="386" t="s">
        <v>460</v>
      </c>
      <c r="D162" s="277" t="s">
        <v>166</v>
      </c>
      <c r="E162" s="464"/>
      <c r="F162" s="464"/>
      <c r="G162" s="169"/>
      <c r="H162" s="169"/>
      <c r="I162" s="169"/>
      <c r="J162" s="169"/>
    </row>
    <row r="163" spans="1:10" s="167" customFormat="1" ht="33.75" x14ac:dyDescent="0.25">
      <c r="A163" s="384" t="s">
        <v>461</v>
      </c>
      <c r="B163" s="385">
        <v>86923</v>
      </c>
      <c r="C163" s="386" t="s">
        <v>463</v>
      </c>
      <c r="D163" s="277" t="s">
        <v>166</v>
      </c>
      <c r="E163" s="464"/>
      <c r="F163" s="464"/>
      <c r="G163" s="169"/>
      <c r="H163" s="169"/>
      <c r="I163" s="169"/>
      <c r="J163" s="169"/>
    </row>
    <row r="164" spans="1:10" s="167" customFormat="1" ht="33.75" x14ac:dyDescent="0.25">
      <c r="A164" s="384" t="s">
        <v>464</v>
      </c>
      <c r="B164" s="385">
        <v>95472</v>
      </c>
      <c r="C164" s="386" t="s">
        <v>466</v>
      </c>
      <c r="D164" s="277" t="s">
        <v>166</v>
      </c>
      <c r="E164" s="464"/>
      <c r="F164" s="464"/>
      <c r="G164" s="169"/>
      <c r="H164" s="169"/>
      <c r="I164" s="169"/>
      <c r="J164" s="169"/>
    </row>
    <row r="165" spans="1:10" s="167" customFormat="1" ht="33.75" x14ac:dyDescent="0.25">
      <c r="A165" s="384" t="s">
        <v>467</v>
      </c>
      <c r="B165" s="385">
        <v>102253</v>
      </c>
      <c r="C165" s="386" t="s">
        <v>469</v>
      </c>
      <c r="D165" s="277" t="s">
        <v>17</v>
      </c>
      <c r="E165" s="464"/>
      <c r="F165" s="464"/>
      <c r="G165" s="169"/>
      <c r="H165" s="169"/>
      <c r="I165" s="169"/>
      <c r="J165" s="169"/>
    </row>
    <row r="166" spans="1:10" s="167" customFormat="1" ht="22.5" x14ac:dyDescent="0.25">
      <c r="A166" s="384" t="s">
        <v>470</v>
      </c>
      <c r="B166" s="385">
        <v>100860</v>
      </c>
      <c r="C166" s="386" t="s">
        <v>472</v>
      </c>
      <c r="D166" s="277" t="s">
        <v>166</v>
      </c>
      <c r="E166" s="464"/>
      <c r="F166" s="464"/>
      <c r="G166" s="169"/>
      <c r="H166" s="169"/>
      <c r="I166" s="169"/>
      <c r="J166" s="169"/>
    </row>
    <row r="167" spans="1:10" s="167" customFormat="1" ht="14.45" customHeight="1" x14ac:dyDescent="0.25">
      <c r="A167" s="347">
        <v>1.1499999999999999</v>
      </c>
      <c r="B167" s="348" t="s">
        <v>474</v>
      </c>
      <c r="C167" s="386"/>
      <c r="D167" s="277"/>
      <c r="E167" s="464"/>
      <c r="F167" s="464"/>
      <c r="G167" s="169"/>
      <c r="H167" s="169"/>
      <c r="I167" s="169"/>
      <c r="J167" s="169"/>
    </row>
    <row r="168" spans="1:10" s="167" customFormat="1" ht="22.5" x14ac:dyDescent="0.25">
      <c r="A168" s="384" t="s">
        <v>475</v>
      </c>
      <c r="B168" s="385">
        <v>99059</v>
      </c>
      <c r="C168" s="386" t="s">
        <v>36</v>
      </c>
      <c r="D168" s="277" t="s">
        <v>37</v>
      </c>
      <c r="E168" s="464"/>
      <c r="F168" s="464"/>
      <c r="G168" s="169"/>
      <c r="H168" s="169"/>
      <c r="I168" s="169"/>
      <c r="J168" s="169"/>
    </row>
    <row r="169" spans="1:10" s="167" customFormat="1" ht="22.5" x14ac:dyDescent="0.25">
      <c r="A169" s="384" t="s">
        <v>476</v>
      </c>
      <c r="B169" s="385">
        <v>93358</v>
      </c>
      <c r="C169" s="386" t="s">
        <v>40</v>
      </c>
      <c r="D169" s="277" t="s">
        <v>41</v>
      </c>
      <c r="E169" s="464"/>
      <c r="F169" s="464"/>
      <c r="G169" s="169"/>
      <c r="H169" s="169"/>
      <c r="I169" s="169"/>
      <c r="J169" s="169"/>
    </row>
    <row r="170" spans="1:10" s="167" customFormat="1" x14ac:dyDescent="0.25">
      <c r="A170" s="384" t="s">
        <v>477</v>
      </c>
      <c r="B170" s="385">
        <v>96995</v>
      </c>
      <c r="C170" s="386" t="s">
        <v>44</v>
      </c>
      <c r="D170" s="277" t="s">
        <v>41</v>
      </c>
      <c r="E170" s="464"/>
      <c r="F170" s="464"/>
      <c r="G170" s="169"/>
      <c r="H170" s="169"/>
      <c r="I170" s="169"/>
      <c r="J170" s="169"/>
    </row>
    <row r="171" spans="1:10" s="168" customFormat="1" ht="22.5" x14ac:dyDescent="0.25">
      <c r="A171" s="384" t="s">
        <v>478</v>
      </c>
      <c r="B171" s="385">
        <v>93205</v>
      </c>
      <c r="C171" s="386" t="s">
        <v>480</v>
      </c>
      <c r="D171" s="277" t="s">
        <v>37</v>
      </c>
      <c r="E171" s="464"/>
      <c r="F171" s="464"/>
      <c r="G171" s="169"/>
      <c r="H171" s="169"/>
      <c r="I171" s="169"/>
      <c r="J171" s="169"/>
    </row>
    <row r="172" spans="1:10" s="167" customFormat="1" ht="22.5" x14ac:dyDescent="0.25">
      <c r="A172" s="384" t="s">
        <v>481</v>
      </c>
      <c r="B172" s="385">
        <v>101616</v>
      </c>
      <c r="C172" s="386" t="s">
        <v>55</v>
      </c>
      <c r="D172" s="277" t="s">
        <v>17</v>
      </c>
      <c r="E172" s="464"/>
      <c r="F172" s="464"/>
      <c r="G172" s="169"/>
      <c r="H172" s="169"/>
      <c r="I172" s="169"/>
      <c r="J172" s="169"/>
    </row>
    <row r="173" spans="1:10" s="167" customFormat="1" ht="22.5" x14ac:dyDescent="0.25">
      <c r="A173" s="384" t="s">
        <v>482</v>
      </c>
      <c r="B173" s="385">
        <v>96619</v>
      </c>
      <c r="C173" s="386" t="s">
        <v>58</v>
      </c>
      <c r="D173" s="277" t="s">
        <v>17</v>
      </c>
      <c r="E173" s="464"/>
      <c r="F173" s="464"/>
      <c r="G173" s="169"/>
      <c r="H173" s="169"/>
      <c r="I173" s="169"/>
      <c r="J173" s="169"/>
    </row>
    <row r="174" spans="1:10" s="167" customFormat="1" ht="22.5" x14ac:dyDescent="0.25">
      <c r="A174" s="384" t="s">
        <v>483</v>
      </c>
      <c r="B174" s="385">
        <v>96545</v>
      </c>
      <c r="C174" s="391" t="s">
        <v>61</v>
      </c>
      <c r="D174" s="277" t="s">
        <v>62</v>
      </c>
      <c r="E174" s="464"/>
      <c r="F174" s="464"/>
      <c r="G174" s="169"/>
      <c r="H174" s="169"/>
      <c r="I174" s="169"/>
      <c r="J174" s="169"/>
    </row>
    <row r="175" spans="1:10" s="168" customFormat="1" ht="33.75" x14ac:dyDescent="0.25">
      <c r="A175" s="384" t="s">
        <v>484</v>
      </c>
      <c r="B175" s="385">
        <v>94966</v>
      </c>
      <c r="C175" s="391" t="s">
        <v>65</v>
      </c>
      <c r="D175" s="277" t="s">
        <v>41</v>
      </c>
      <c r="E175" s="464"/>
      <c r="F175" s="464"/>
      <c r="G175" s="169"/>
      <c r="H175" s="169"/>
      <c r="I175" s="169"/>
      <c r="J175" s="169"/>
    </row>
    <row r="176" spans="1:10" s="167" customFormat="1" ht="41.45" customHeight="1" x14ac:dyDescent="0.25">
      <c r="A176" s="384" t="s">
        <v>485</v>
      </c>
      <c r="B176" s="385">
        <v>103800</v>
      </c>
      <c r="C176" s="386" t="s">
        <v>487</v>
      </c>
      <c r="D176" s="277" t="s">
        <v>41</v>
      </c>
      <c r="E176" s="464"/>
      <c r="F176" s="464"/>
      <c r="G176" s="169"/>
      <c r="H176" s="169"/>
      <c r="I176" s="169"/>
      <c r="J176" s="169"/>
    </row>
    <row r="177" spans="1:10" s="168" customFormat="1" ht="22.5" x14ac:dyDescent="0.25">
      <c r="A177" s="384" t="s">
        <v>488</v>
      </c>
      <c r="B177" s="385">
        <v>103670</v>
      </c>
      <c r="C177" s="386" t="s">
        <v>71</v>
      </c>
      <c r="D177" s="277" t="s">
        <v>41</v>
      </c>
      <c r="E177" s="464"/>
      <c r="F177" s="464"/>
      <c r="G177" s="169"/>
      <c r="H177" s="169"/>
      <c r="I177" s="169"/>
      <c r="J177" s="169"/>
    </row>
    <row r="178" spans="1:10" s="168" customFormat="1" ht="22.5" x14ac:dyDescent="0.25">
      <c r="A178" s="384" t="s">
        <v>489</v>
      </c>
      <c r="B178" s="385">
        <v>96543</v>
      </c>
      <c r="C178" s="386" t="s">
        <v>74</v>
      </c>
      <c r="D178" s="277" t="s">
        <v>62</v>
      </c>
      <c r="E178" s="464"/>
      <c r="F178" s="464"/>
      <c r="G178" s="169"/>
      <c r="H178" s="169"/>
      <c r="I178" s="169"/>
      <c r="J178" s="169"/>
    </row>
    <row r="179" spans="1:10" s="168" customFormat="1" ht="22.5" x14ac:dyDescent="0.25">
      <c r="A179" s="384" t="s">
        <v>490</v>
      </c>
      <c r="B179" s="385">
        <v>96546</v>
      </c>
      <c r="C179" s="391" t="s">
        <v>80</v>
      </c>
      <c r="D179" s="277" t="s">
        <v>62</v>
      </c>
      <c r="E179" s="464"/>
      <c r="F179" s="464"/>
      <c r="G179" s="169"/>
      <c r="H179" s="169"/>
      <c r="I179" s="169"/>
      <c r="J179" s="169"/>
    </row>
    <row r="180" spans="1:10" s="168" customFormat="1" ht="22.5" x14ac:dyDescent="0.25">
      <c r="A180" s="384" t="s">
        <v>491</v>
      </c>
      <c r="B180" s="385">
        <v>96536</v>
      </c>
      <c r="C180" s="386" t="s">
        <v>86</v>
      </c>
      <c r="D180" s="277" t="s">
        <v>17</v>
      </c>
      <c r="E180" s="464"/>
      <c r="F180" s="464"/>
      <c r="G180" s="169"/>
      <c r="H180" s="169"/>
      <c r="I180" s="169"/>
      <c r="J180" s="169"/>
    </row>
    <row r="181" spans="1:10" s="169" customFormat="1" ht="22.5" x14ac:dyDescent="0.25">
      <c r="A181" s="384" t="s">
        <v>492</v>
      </c>
      <c r="B181" s="385">
        <v>98557</v>
      </c>
      <c r="C181" s="386" t="s">
        <v>89</v>
      </c>
      <c r="D181" s="277" t="s">
        <v>17</v>
      </c>
      <c r="E181" s="464"/>
      <c r="F181" s="464"/>
    </row>
    <row r="182" spans="1:10" s="169" customFormat="1" ht="33.75" x14ac:dyDescent="0.25">
      <c r="A182" s="384" t="s">
        <v>493</v>
      </c>
      <c r="B182" s="385">
        <v>103356</v>
      </c>
      <c r="C182" s="386" t="s">
        <v>137</v>
      </c>
      <c r="D182" s="277" t="s">
        <v>17</v>
      </c>
      <c r="E182" s="464"/>
      <c r="F182" s="464"/>
    </row>
    <row r="183" spans="1:10" s="169" customFormat="1" ht="33.75" x14ac:dyDescent="0.25">
      <c r="A183" s="384" t="s">
        <v>494</v>
      </c>
      <c r="B183" s="385">
        <v>87893</v>
      </c>
      <c r="C183" s="386" t="s">
        <v>151</v>
      </c>
      <c r="D183" s="277" t="s">
        <v>17</v>
      </c>
      <c r="E183" s="464"/>
      <c r="F183" s="464"/>
    </row>
    <row r="184" spans="1:10" s="167" customFormat="1" ht="33.75" x14ac:dyDescent="0.25">
      <c r="A184" s="384" t="s">
        <v>495</v>
      </c>
      <c r="B184" s="385">
        <v>87548</v>
      </c>
      <c r="C184" s="386" t="s">
        <v>154</v>
      </c>
      <c r="D184" s="277" t="s">
        <v>17</v>
      </c>
      <c r="E184" s="464"/>
      <c r="F184" s="464"/>
      <c r="G184" s="169"/>
      <c r="H184" s="169"/>
      <c r="I184" s="169"/>
      <c r="J184" s="169"/>
    </row>
    <row r="185" spans="1:10" s="167" customFormat="1" ht="22.5" x14ac:dyDescent="0.25">
      <c r="A185" s="384" t="s">
        <v>496</v>
      </c>
      <c r="B185" s="385">
        <v>88489</v>
      </c>
      <c r="C185" s="386" t="s">
        <v>198</v>
      </c>
      <c r="D185" s="277" t="s">
        <v>17</v>
      </c>
      <c r="E185" s="464"/>
      <c r="F185" s="464"/>
      <c r="G185" s="169"/>
      <c r="H185" s="169"/>
      <c r="I185" s="169"/>
      <c r="J185" s="169"/>
    </row>
    <row r="186" spans="1:10" s="167" customFormat="1" ht="22.5" x14ac:dyDescent="0.25">
      <c r="A186" s="384" t="s">
        <v>497</v>
      </c>
      <c r="B186" s="385">
        <v>95305</v>
      </c>
      <c r="C186" s="386" t="s">
        <v>499</v>
      </c>
      <c r="D186" s="277" t="s">
        <v>17</v>
      </c>
      <c r="E186" s="464" t="s">
        <v>1118</v>
      </c>
      <c r="F186" s="464">
        <f>883.13*0.8</f>
        <v>706.50400000000002</v>
      </c>
      <c r="G186" s="169"/>
      <c r="H186" s="169"/>
      <c r="I186" s="169"/>
      <c r="J186" s="169"/>
    </row>
    <row r="187" spans="1:10" s="167" customFormat="1" ht="14.45" customHeight="1" x14ac:dyDescent="0.25">
      <c r="A187" s="347">
        <v>1.1599999999999999</v>
      </c>
      <c r="B187" s="348" t="s">
        <v>501</v>
      </c>
      <c r="C187" s="386"/>
      <c r="D187" s="277"/>
      <c r="E187" s="464"/>
      <c r="F187" s="464"/>
      <c r="G187" s="169"/>
      <c r="H187" s="169"/>
      <c r="I187" s="169"/>
      <c r="J187" s="169"/>
    </row>
    <row r="188" spans="1:10" s="167" customFormat="1" ht="33.75" x14ac:dyDescent="0.25">
      <c r="A188" s="384" t="s">
        <v>502</v>
      </c>
      <c r="B188" s="442" t="s">
        <v>503</v>
      </c>
      <c r="C188" s="386" t="s">
        <v>504</v>
      </c>
      <c r="D188" s="277" t="s">
        <v>166</v>
      </c>
      <c r="E188" s="464"/>
      <c r="F188" s="464"/>
      <c r="G188" s="169"/>
      <c r="H188" s="169"/>
      <c r="I188" s="169"/>
      <c r="J188" s="169"/>
    </row>
    <row r="189" spans="1:10" s="167" customFormat="1" ht="33.75" x14ac:dyDescent="0.25">
      <c r="A189" s="384" t="s">
        <v>505</v>
      </c>
      <c r="B189" s="442" t="s">
        <v>506</v>
      </c>
      <c r="C189" s="448" t="s">
        <v>507</v>
      </c>
      <c r="D189" s="277" t="s">
        <v>166</v>
      </c>
      <c r="E189" s="464"/>
      <c r="F189" s="464"/>
      <c r="G189" s="169"/>
      <c r="H189" s="169"/>
      <c r="I189" s="169"/>
      <c r="J189" s="169"/>
    </row>
    <row r="190" spans="1:10" s="167" customFormat="1" x14ac:dyDescent="0.25">
      <c r="A190" s="455">
        <v>1.17</v>
      </c>
      <c r="B190" s="456" t="s">
        <v>1030</v>
      </c>
      <c r="C190" s="457"/>
      <c r="D190" s="458"/>
      <c r="E190" s="464"/>
      <c r="F190" s="464"/>
      <c r="G190" s="169"/>
      <c r="H190" s="169"/>
      <c r="I190" s="169"/>
      <c r="J190" s="169"/>
    </row>
    <row r="191" spans="1:10" s="167" customFormat="1" ht="30.6" customHeight="1" x14ac:dyDescent="0.25">
      <c r="A191" s="384" t="s">
        <v>1017</v>
      </c>
      <c r="B191" s="385">
        <v>94316</v>
      </c>
      <c r="C191" s="386" t="s">
        <v>1035</v>
      </c>
      <c r="D191" s="277" t="s">
        <v>41</v>
      </c>
      <c r="E191" s="468" t="s">
        <v>1119</v>
      </c>
      <c r="F191" s="464">
        <v>188.33</v>
      </c>
      <c r="G191" s="169"/>
      <c r="H191" s="169"/>
      <c r="I191" s="169"/>
      <c r="J191" s="169"/>
    </row>
    <row r="192" spans="1:10" s="167" customFormat="1" ht="30.6" customHeight="1" x14ac:dyDescent="0.25">
      <c r="A192" s="384" t="s">
        <v>1018</v>
      </c>
      <c r="B192" s="385">
        <v>97626</v>
      </c>
      <c r="C192" s="386" t="s">
        <v>1036</v>
      </c>
      <c r="D192" s="277" t="s">
        <v>41</v>
      </c>
      <c r="E192" s="464"/>
      <c r="F192" s="464"/>
      <c r="G192" s="169"/>
      <c r="H192" s="169"/>
      <c r="I192" s="169"/>
      <c r="J192" s="169"/>
    </row>
    <row r="193" spans="1:10" s="167" customFormat="1" ht="30.6" customHeight="1" x14ac:dyDescent="0.25">
      <c r="A193" s="384" t="s">
        <v>1019</v>
      </c>
      <c r="B193" s="385">
        <v>97622</v>
      </c>
      <c r="C193" s="386" t="s">
        <v>1037</v>
      </c>
      <c r="D193" s="277" t="s">
        <v>41</v>
      </c>
      <c r="E193" s="464"/>
      <c r="F193" s="464"/>
      <c r="G193" s="169"/>
      <c r="H193" s="169"/>
      <c r="I193" s="169"/>
      <c r="J193" s="169"/>
    </row>
    <row r="194" spans="1:10" s="167" customFormat="1" ht="30.6" customHeight="1" x14ac:dyDescent="0.25">
      <c r="A194" s="384" t="s">
        <v>1020</v>
      </c>
      <c r="B194" s="385" t="s">
        <v>1031</v>
      </c>
      <c r="C194" s="386" t="s">
        <v>1038</v>
      </c>
      <c r="D194" s="277" t="s">
        <v>1046</v>
      </c>
      <c r="E194" s="464"/>
      <c r="F194" s="464"/>
      <c r="G194" s="169"/>
      <c r="H194" s="169"/>
      <c r="I194" s="169"/>
      <c r="J194" s="169"/>
    </row>
    <row r="195" spans="1:10" s="167" customFormat="1" ht="30.6" customHeight="1" x14ac:dyDescent="0.25">
      <c r="A195" s="384" t="s">
        <v>1021</v>
      </c>
      <c r="B195" s="385">
        <v>101493</v>
      </c>
      <c r="C195" s="386" t="s">
        <v>1039</v>
      </c>
      <c r="D195" s="277" t="s">
        <v>166</v>
      </c>
      <c r="E195" s="464"/>
      <c r="F195" s="464"/>
      <c r="G195" s="169"/>
      <c r="H195" s="169"/>
      <c r="I195" s="169"/>
      <c r="J195" s="169"/>
    </row>
    <row r="196" spans="1:10" s="167" customFormat="1" ht="30.6" customHeight="1" x14ac:dyDescent="0.25">
      <c r="A196" s="384" t="s">
        <v>1022</v>
      </c>
      <c r="B196" s="385" t="s">
        <v>1032</v>
      </c>
      <c r="C196" s="386" t="s">
        <v>1040</v>
      </c>
      <c r="D196" s="277" t="s">
        <v>166</v>
      </c>
      <c r="E196" s="464"/>
      <c r="F196" s="464"/>
      <c r="G196" s="169"/>
      <c r="H196" s="169"/>
      <c r="I196" s="169"/>
      <c r="J196" s="169"/>
    </row>
    <row r="197" spans="1:10" s="167" customFormat="1" ht="30.6" customHeight="1" x14ac:dyDescent="0.25">
      <c r="A197" s="384" t="s">
        <v>1023</v>
      </c>
      <c r="B197" s="385" t="s">
        <v>1033</v>
      </c>
      <c r="C197" s="386" t="s">
        <v>1041</v>
      </c>
      <c r="D197" s="277" t="s">
        <v>37</v>
      </c>
      <c r="E197" s="464"/>
      <c r="F197" s="464"/>
      <c r="G197" s="169"/>
      <c r="H197" s="169"/>
      <c r="I197" s="169"/>
      <c r="J197" s="169"/>
    </row>
    <row r="198" spans="1:10" s="167" customFormat="1" ht="30.6" customHeight="1" x14ac:dyDescent="0.25">
      <c r="A198" s="384" t="s">
        <v>1024</v>
      </c>
      <c r="B198" s="385" t="s">
        <v>1034</v>
      </c>
      <c r="C198" s="386" t="s">
        <v>1042</v>
      </c>
      <c r="D198" s="277" t="s">
        <v>37</v>
      </c>
      <c r="E198" s="464"/>
      <c r="F198" s="464"/>
      <c r="G198" s="169"/>
      <c r="H198" s="169"/>
      <c r="I198" s="169"/>
      <c r="J198" s="169"/>
    </row>
    <row r="199" spans="1:10" s="167" customFormat="1" ht="33.75" x14ac:dyDescent="0.25">
      <c r="A199" s="384" t="s">
        <v>1025</v>
      </c>
      <c r="B199" s="385">
        <v>87887</v>
      </c>
      <c r="C199" s="386" t="s">
        <v>1043</v>
      </c>
      <c r="D199" s="277" t="s">
        <v>17</v>
      </c>
      <c r="E199" s="469" t="s">
        <v>1120</v>
      </c>
      <c r="F199" s="464">
        <f>13.2*2.52-4*0.4</f>
        <v>31.663999999999994</v>
      </c>
      <c r="G199" s="169"/>
      <c r="H199" s="169"/>
      <c r="I199" s="169"/>
      <c r="J199" s="169"/>
    </row>
    <row r="200" spans="1:10" s="167" customFormat="1" ht="33.75" x14ac:dyDescent="0.25">
      <c r="A200" s="384" t="s">
        <v>1026</v>
      </c>
      <c r="B200" s="385">
        <v>90408</v>
      </c>
      <c r="C200" s="386" t="s">
        <v>1044</v>
      </c>
      <c r="D200" s="277" t="s">
        <v>17</v>
      </c>
      <c r="E200" s="469" t="s">
        <v>1120</v>
      </c>
      <c r="F200" s="464">
        <f>13.2*2.52-4*0.4</f>
        <v>31.663999999999994</v>
      </c>
      <c r="G200" s="169"/>
      <c r="H200" s="169"/>
      <c r="I200" s="169"/>
      <c r="J200" s="169"/>
    </row>
    <row r="201" spans="1:10" s="167" customFormat="1" ht="30.6" customHeight="1" x14ac:dyDescent="0.25">
      <c r="A201" s="384" t="s">
        <v>1027</v>
      </c>
      <c r="B201" s="385">
        <v>88494</v>
      </c>
      <c r="C201" s="386" t="s">
        <v>204</v>
      </c>
      <c r="D201" s="277" t="s">
        <v>17</v>
      </c>
      <c r="E201" s="464"/>
      <c r="F201" s="464"/>
      <c r="G201" s="169"/>
      <c r="H201" s="169"/>
      <c r="I201" s="169"/>
      <c r="J201" s="169"/>
    </row>
    <row r="202" spans="1:10" s="167" customFormat="1" ht="30.6" customHeight="1" thickBot="1" x14ac:dyDescent="0.3">
      <c r="A202" s="460" t="s">
        <v>1028</v>
      </c>
      <c r="B202" s="461">
        <v>88486</v>
      </c>
      <c r="C202" s="462" t="s">
        <v>1045</v>
      </c>
      <c r="D202" s="463" t="s">
        <v>17</v>
      </c>
      <c r="E202" s="464"/>
      <c r="F202" s="464"/>
      <c r="G202" s="169"/>
      <c r="H202" s="169"/>
      <c r="I202" s="169"/>
      <c r="J202" s="169"/>
    </row>
    <row r="203" spans="1:10" x14ac:dyDescent="0.25">
      <c r="A203" s="167"/>
      <c r="B203" s="167"/>
      <c r="C203" s="167"/>
      <c r="D203" s="231"/>
    </row>
    <row r="205" spans="1:10" ht="24" customHeight="1" x14ac:dyDescent="0.25"/>
  </sheetData>
  <mergeCells count="7">
    <mergeCell ref="E4:E5"/>
    <mergeCell ref="F4:F5"/>
    <mergeCell ref="A2:F2"/>
    <mergeCell ref="A4:A5"/>
    <mergeCell ref="B4:B5"/>
    <mergeCell ref="C4:C5"/>
    <mergeCell ref="D4:D5"/>
  </mergeCells>
  <phoneticPr fontId="20" type="noConversion"/>
  <pageMargins left="0.511811024" right="0.511811024" top="0.78740157499999996" bottom="0.78740157499999996" header="0.31496062000000002" footer="0.31496062000000002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1047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14'!P8</f>
        <v>1020708.1171054498</v>
      </c>
      <c r="I8" s="520"/>
      <c r="J8" s="502" t="s">
        <v>1006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83" t="s">
        <v>1074</v>
      </c>
      <c r="H108" s="584"/>
      <c r="I108" s="585"/>
      <c r="J108" s="99">
        <f>'BOLETIM DE MEDIÇÃO 14'!V26</f>
        <v>55.31541</v>
      </c>
      <c r="K108" s="81">
        <f>SUM(K110:K187)-13.99</f>
        <v>41.333933999999992</v>
      </c>
      <c r="L108" s="82">
        <f t="shared" si="0"/>
        <v>96.649343999999985</v>
      </c>
      <c r="M108" s="82">
        <f>'BOLETIM DE MEDIÇÃO 14'!G26</f>
        <v>55.32</v>
      </c>
      <c r="N108" s="86">
        <f t="shared" si="1"/>
        <v>-41.329343999999985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1048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1049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1050</v>
      </c>
      <c r="E170" s="64"/>
      <c r="F170" s="94"/>
      <c r="G170" s="99">
        <v>0.92700000000000005</v>
      </c>
      <c r="H170" s="92">
        <v>0.2</v>
      </c>
      <c r="I170" s="105" t="s">
        <v>1061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1051</v>
      </c>
      <c r="E171" s="64"/>
      <c r="F171" s="94"/>
      <c r="G171" s="99">
        <v>0.8</v>
      </c>
      <c r="H171" s="92">
        <v>0.2</v>
      </c>
      <c r="I171" s="105" t="s">
        <v>1062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1052</v>
      </c>
      <c r="E172" s="64"/>
      <c r="F172" s="94"/>
      <c r="G172" s="99">
        <f>(1.7+0.15+1.855)</f>
        <v>3.7050000000000001</v>
      </c>
      <c r="H172" s="92">
        <v>0.2</v>
      </c>
      <c r="I172" s="105" t="s">
        <v>1063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1053</v>
      </c>
      <c r="E173" s="64"/>
      <c r="F173" s="94"/>
      <c r="G173" s="99">
        <v>2.7</v>
      </c>
      <c r="H173" s="92">
        <v>0.2</v>
      </c>
      <c r="I173" s="105" t="s">
        <v>1064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1054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19" t="s">
        <v>1055</v>
      </c>
      <c r="E176" s="239"/>
      <c r="F176" s="94"/>
      <c r="G176" s="422" t="s">
        <v>833</v>
      </c>
      <c r="H176" s="276" t="s">
        <v>834</v>
      </c>
      <c r="I176" s="423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0" t="s">
        <v>879</v>
      </c>
      <c r="E177" s="239"/>
      <c r="F177" s="94"/>
      <c r="G177" s="424">
        <v>12.5</v>
      </c>
      <c r="H177" s="245">
        <v>0.1</v>
      </c>
      <c r="I177" s="425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0" t="s">
        <v>876</v>
      </c>
      <c r="E178" s="239"/>
      <c r="F178" s="94"/>
      <c r="G178" s="424">
        <v>11.67</v>
      </c>
      <c r="H178" s="245">
        <v>0.36</v>
      </c>
      <c r="I178" s="425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0" t="s">
        <v>880</v>
      </c>
      <c r="E179" s="239"/>
      <c r="F179" s="94"/>
      <c r="G179" s="424">
        <v>27.1</v>
      </c>
      <c r="H179" s="245">
        <v>0.53</v>
      </c>
      <c r="I179" s="425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0" t="s">
        <v>881</v>
      </c>
      <c r="E180" s="239"/>
      <c r="F180" s="94"/>
      <c r="G180" s="424">
        <v>33.9</v>
      </c>
      <c r="H180" s="245">
        <v>0.74</v>
      </c>
      <c r="I180" s="425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0" t="s">
        <v>882</v>
      </c>
      <c r="E181" s="239"/>
      <c r="F181" s="94"/>
      <c r="G181" s="424">
        <v>12.4</v>
      </c>
      <c r="H181" s="245">
        <v>0.61</v>
      </c>
      <c r="I181" s="425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19" t="s">
        <v>1056</v>
      </c>
      <c r="E182" s="239"/>
      <c r="F182" s="94"/>
      <c r="G182" s="426" t="s">
        <v>1065</v>
      </c>
      <c r="H182" s="427" t="s">
        <v>1066</v>
      </c>
      <c r="I182" s="425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1" t="s">
        <v>1057</v>
      </c>
      <c r="E183" s="239"/>
      <c r="F183" s="94"/>
      <c r="G183" s="424">
        <f>(11.1+9.1+13.6+1.9+16.3+22.8+5.1+6.3+5.4+2.45+5.4+10.9)</f>
        <v>110.35000000000001</v>
      </c>
      <c r="H183" s="245">
        <v>0.15</v>
      </c>
      <c r="I183" s="425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19" t="s">
        <v>1058</v>
      </c>
      <c r="E184" s="239"/>
      <c r="F184" s="94"/>
      <c r="G184" s="426" t="s">
        <v>1065</v>
      </c>
      <c r="H184" s="427" t="s">
        <v>1066</v>
      </c>
      <c r="I184" s="425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1"/>
      <c r="E185" s="239"/>
      <c r="F185" s="94"/>
      <c r="G185" s="424">
        <f>(6.8+3.6)</f>
        <v>10.4</v>
      </c>
      <c r="H185" s="245">
        <v>0.15</v>
      </c>
      <c r="I185" s="425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19" t="s">
        <v>1059</v>
      </c>
      <c r="E186" s="239"/>
      <c r="F186" s="94"/>
      <c r="G186" s="426" t="s">
        <v>1065</v>
      </c>
      <c r="H186" s="427" t="s">
        <v>1066</v>
      </c>
      <c r="I186" s="425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1" t="s">
        <v>1060</v>
      </c>
      <c r="E187" s="239"/>
      <c r="F187" s="94"/>
      <c r="G187" s="424">
        <f>(3.55*2)+(5.06*2)</f>
        <v>17.22</v>
      </c>
      <c r="H187" s="245">
        <v>0.2</v>
      </c>
      <c r="I187" s="425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83" t="s">
        <v>1075</v>
      </c>
      <c r="H207" s="584"/>
      <c r="I207" s="585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14'!G29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1067</v>
      </c>
      <c r="E208" s="64"/>
      <c r="F208" s="94">
        <v>1</v>
      </c>
      <c r="G208" s="530">
        <v>537.29999999999995</v>
      </c>
      <c r="H208" s="532"/>
      <c r="I208" s="533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28" t="s">
        <v>1068</v>
      </c>
      <c r="E209" s="64"/>
      <c r="F209" s="94">
        <v>1</v>
      </c>
      <c r="G209" s="157" t="s">
        <v>1069</v>
      </c>
      <c r="H209" s="172" t="s">
        <v>1070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1050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29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1051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29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1052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29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1053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29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1071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29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4"/>
      <c r="H215" s="418"/>
      <c r="I215" s="430"/>
      <c r="J215" s="429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83" t="s">
        <v>1076</v>
      </c>
      <c r="H216" s="584"/>
      <c r="I216" s="585"/>
      <c r="J216" s="99">
        <f>'BOLETIM DE MEDIÇÃO 14'!V30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14'!G30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526"/>
      <c r="H217" s="528"/>
      <c r="I217" s="529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530" t="s">
        <v>679</v>
      </c>
      <c r="H225" s="531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526" t="s">
        <v>680</v>
      </c>
      <c r="H226" s="527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526" t="s">
        <v>681</v>
      </c>
      <c r="H227" s="527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526" t="s">
        <v>682</v>
      </c>
      <c r="H228" s="527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526" t="s">
        <v>684</v>
      </c>
      <c r="H229" s="527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526" t="s">
        <v>683</v>
      </c>
      <c r="H230" s="527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526" t="s">
        <v>685</v>
      </c>
      <c r="H231" s="527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530" t="s">
        <v>686</v>
      </c>
      <c r="H232" s="531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526" t="s">
        <v>687</v>
      </c>
      <c r="H233" s="527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526" t="s">
        <v>688</v>
      </c>
      <c r="H234" s="527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530" t="s">
        <v>689</v>
      </c>
      <c r="H235" s="531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526" t="s">
        <v>690</v>
      </c>
      <c r="H236" s="527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530" t="s">
        <v>691</v>
      </c>
      <c r="H237" s="531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526" t="s">
        <v>692</v>
      </c>
      <c r="H238" s="527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526" t="s">
        <v>693</v>
      </c>
      <c r="H239" s="527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530" t="s">
        <v>694</v>
      </c>
      <c r="H240" s="531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526" t="s">
        <v>695</v>
      </c>
      <c r="H241" s="527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526" t="s">
        <v>696</v>
      </c>
      <c r="H242" s="527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526" t="s">
        <v>697</v>
      </c>
      <c r="H243" s="527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526" t="s">
        <v>698</v>
      </c>
      <c r="H244" s="527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526" t="s">
        <v>699</v>
      </c>
      <c r="H245" s="527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526" t="s">
        <v>700</v>
      </c>
      <c r="H246" s="527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526" t="s">
        <v>701</v>
      </c>
      <c r="H247" s="527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530" t="s">
        <v>702</v>
      </c>
      <c r="H248" s="531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526" t="s">
        <v>704</v>
      </c>
      <c r="H249" s="527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526" t="s">
        <v>703</v>
      </c>
      <c r="H250" s="527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526" t="s">
        <v>703</v>
      </c>
      <c r="H251" s="527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526" t="s">
        <v>705</v>
      </c>
      <c r="H252" s="527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526" t="s">
        <v>704</v>
      </c>
      <c r="H253" s="527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526" t="s">
        <v>705</v>
      </c>
      <c r="H254" s="527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526" t="s">
        <v>704</v>
      </c>
      <c r="H255" s="527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526">
        <v>9.6</v>
      </c>
      <c r="H256" s="528"/>
      <c r="I256" s="529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1067</v>
      </c>
      <c r="E257" s="64"/>
      <c r="F257" s="94">
        <v>1</v>
      </c>
      <c r="G257" s="526">
        <v>14.85</v>
      </c>
      <c r="H257" s="528"/>
      <c r="I257" s="529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28" t="s">
        <v>1072</v>
      </c>
      <c r="E258" s="64"/>
      <c r="F258" s="94">
        <v>1</v>
      </c>
      <c r="G258" s="104" t="s">
        <v>1073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1050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1051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1052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1053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1071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92" t="s">
        <v>1077</v>
      </c>
      <c r="H264" s="593"/>
      <c r="I264" s="594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526"/>
      <c r="H265" s="528"/>
      <c r="I265" s="529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3"/>
      <c r="H266" s="374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3"/>
      <c r="H267" s="374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3"/>
      <c r="H268" s="374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526"/>
      <c r="H269" s="528"/>
      <c r="I269" s="529"/>
      <c r="J269" s="99"/>
      <c r="K269" s="82"/>
      <c r="L269" s="82"/>
      <c r="M269" s="82"/>
      <c r="N269" s="86"/>
      <c r="S269" s="161"/>
      <c r="T269" s="161"/>
      <c r="U269" s="162"/>
    </row>
    <row r="270" spans="2:21" ht="33.7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92" t="s">
        <v>1077</v>
      </c>
      <c r="H270" s="593"/>
      <c r="I270" s="594"/>
      <c r="J270" s="99">
        <v>30.76</v>
      </c>
      <c r="K270" s="81">
        <v>1.73</v>
      </c>
      <c r="L270" s="82">
        <f t="shared" si="0"/>
        <v>32.49</v>
      </c>
      <c r="M270" s="82">
        <f>'BOLETIM DE MEDIÇÃO 14'!G32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1078</v>
      </c>
      <c r="E271" s="64"/>
      <c r="F271" s="94">
        <v>1</v>
      </c>
      <c r="G271" s="526">
        <v>30.76</v>
      </c>
      <c r="H271" s="528"/>
      <c r="I271" s="529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1079</v>
      </c>
      <c r="E272" s="64"/>
      <c r="F272" s="94">
        <v>1</v>
      </c>
      <c r="G272" s="526">
        <f>J218+9.6</f>
        <v>9.6</v>
      </c>
      <c r="H272" s="528"/>
      <c r="I272" s="529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526"/>
      <c r="H273" s="528"/>
      <c r="I273" s="529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92" t="s">
        <v>831</v>
      </c>
      <c r="H274" s="593"/>
      <c r="I274" s="594"/>
      <c r="J274" s="99">
        <f>'BOLETIM DE MEDIÇÃO 14'!V33-'MEMORIAL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530" t="s">
        <v>647</v>
      </c>
      <c r="H275" s="531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526">
        <f xml:space="preserve"> ((0.59*(1.85/0.1)) * 2)</f>
        <v>21.83</v>
      </c>
      <c r="H276" s="527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526">
        <f>(0.69*(1.87/0.1)) + (0.79*(1.87/0.1))</f>
        <v>27.675999999999998</v>
      </c>
      <c r="H277" s="527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526">
        <f>((0.69*(1.9/0.1))*3) + ((0.59*(1.87/0.1))*2)</f>
        <v>61.395999999999987</v>
      </c>
      <c r="H278" s="527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526">
        <f>((0.69*(1.92/0.1))*1) + ((0.59*(1.92/0.1))*2)</f>
        <v>35.903999999999996</v>
      </c>
      <c r="H279" s="527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526">
        <f>((0.79*(1.94/0.1))*3)</f>
        <v>45.977999999999994</v>
      </c>
      <c r="H280" s="527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526">
        <f>((0.69*(1.96/0.1))*3) + ((0.59*(1.96/0.1))*2)</f>
        <v>63.699999999999989</v>
      </c>
      <c r="H281" s="527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526">
        <f>((0.59*(1.95/0.1))*2) + ((0.69*(1.95/0.1))*3) +((0.79*(1.95/0.1))*1)</f>
        <v>78.78</v>
      </c>
      <c r="H282" s="527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526">
        <f>((0.59*(1.97/0.1))*1)  +((0.79*(1.97/0.1))*2)</f>
        <v>42.749000000000002</v>
      </c>
      <c r="H283" s="527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526">
        <f>((0.59*(1.9/0.1))*3)</f>
        <v>33.629999999999995</v>
      </c>
      <c r="H284" s="527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526">
        <f>((0.69*(1.86/0.1))*1) + ((0.69*(1.86/0.1))*1) + ((0.89*(1.86/0.1))*1)</f>
        <v>42.222000000000001</v>
      </c>
      <c r="H285" s="527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526">
        <f>((0.69*(1.87/0.1))*3)</f>
        <v>38.708999999999996</v>
      </c>
      <c r="H286" s="527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526">
        <f>((0.69*(1.9/0.1))*1) + ((0.79*(1.9/0.1))*2) + ((0.59*(1.9/0.1))*1)</f>
        <v>54.339999999999989</v>
      </c>
      <c r="H287" s="527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526">
        <f>((0.79*(1.91/0.1))*1) +((0.59*(1.91/0.1))*1)</f>
        <v>26.357999999999997</v>
      </c>
      <c r="H288" s="527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526">
        <f>((0.79*(1.94/0.1))*1) +((0.59*(1.94/0.1))*5)</f>
        <v>72.555999999999983</v>
      </c>
      <c r="H289" s="527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526">
        <f>((0.69*(1.92/0.1))*2) + ((0.69*(1.92/0.1))*1)</f>
        <v>39.744</v>
      </c>
      <c r="H290" s="527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526">
        <f>((0.59*(1.93/0.1))*2) + ((0.79*(1.93/0.1))*1)</f>
        <v>38.020999999999994</v>
      </c>
      <c r="H291" s="527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526">
        <f>((0.59*(1.87/0.1))*2) + ((0.69*(1.87/0.1))*2)</f>
        <v>47.872</v>
      </c>
      <c r="H292" s="527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526">
        <f>((0.59*(1.88/0.1))*3) + ((0.69*(1.88/0.1))*1)</f>
        <v>46.24799999999999</v>
      </c>
      <c r="H293" s="527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526">
        <f>((0.79*(1.9/0.1))*1) + ((0.69*(1.9/0.1))*3)</f>
        <v>54.339999999999982</v>
      </c>
      <c r="H294" s="527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526">
        <f>((0.59*(1.9/0.1))*1)</f>
        <v>11.209999999999997</v>
      </c>
      <c r="H295" s="527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526">
        <f>((0.69*(1.87/0.1))*1) + ((0.59*(1.87/0.1))*1)</f>
        <v>23.936</v>
      </c>
      <c r="H296" s="527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526">
        <f>((0.69*(2/0.1))*1) + ((0.59*(2/0.1))*2)</f>
        <v>37.4</v>
      </c>
      <c r="H297" s="527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526">
        <f>((0.69*(2.01/0.1))*1) + ((0.59*(2.01/0.1))*5) + ((0.79*(2.01/0.1))*1)</f>
        <v>89.042999999999992</v>
      </c>
      <c r="H298" s="527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526">
        <f>(((1.39+0.47+0.47))*(1.86/0.15))</f>
        <v>28.892000000000003</v>
      </c>
      <c r="H299" s="527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526">
        <f>(((1.09+0.022))*(1.87/0.15))</f>
        <v>13.862933333333336</v>
      </c>
      <c r="H300" s="527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526">
        <f>(((1.09+0.022))*(1.89/0.15))</f>
        <v>14.011200000000001</v>
      </c>
      <c r="H301" s="527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526">
        <f>(((0.59))*(1.9/0.15))</f>
        <v>7.4733333333333327</v>
      </c>
      <c r="H302" s="527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526">
        <f>(((0.59))*(1.92/0.15))</f>
        <v>7.5519999999999996</v>
      </c>
      <c r="H303" s="527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526">
        <f>(((0.59))*(1.9/0.15))</f>
        <v>7.4733333333333327</v>
      </c>
      <c r="H304" s="527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526">
        <f>(((0.69))*(1.98/0.15))</f>
        <v>9.1080000000000005</v>
      </c>
      <c r="H305" s="527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1067</v>
      </c>
      <c r="E306" s="64"/>
      <c r="F306" s="94">
        <v>1</v>
      </c>
      <c r="G306" s="530">
        <v>268.7</v>
      </c>
      <c r="H306" s="532"/>
      <c r="I306" s="533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28" t="s">
        <v>1080</v>
      </c>
      <c r="E307" s="64"/>
      <c r="F307" s="94">
        <v>1</v>
      </c>
      <c r="G307" s="530" t="s">
        <v>647</v>
      </c>
      <c r="H307" s="531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1050</v>
      </c>
      <c r="E308" s="64"/>
      <c r="F308" s="94">
        <v>1</v>
      </c>
      <c r="G308" s="526">
        <f>(((0.59))*(0.93/0.12))</f>
        <v>4.5725000000000007</v>
      </c>
      <c r="H308" s="527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1051</v>
      </c>
      <c r="E309" s="64"/>
      <c r="F309" s="94">
        <v>1</v>
      </c>
      <c r="G309" s="526">
        <f>(((0.59))*(0.8/0.12))</f>
        <v>3.9333333333333331</v>
      </c>
      <c r="H309" s="527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1052</v>
      </c>
      <c r="E310" s="64"/>
      <c r="F310" s="94">
        <v>1</v>
      </c>
      <c r="G310" s="526">
        <f t="shared" ref="G310" si="10">(((0.59))*(3.1/0.12))</f>
        <v>15.241666666666667</v>
      </c>
      <c r="H310" s="527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1053</v>
      </c>
      <c r="E311" s="64"/>
      <c r="F311" s="94">
        <v>1</v>
      </c>
      <c r="G311" s="526">
        <f>(((0.59))*(2.7/0.12))</f>
        <v>13.275000000000002</v>
      </c>
      <c r="H311" s="527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1071</v>
      </c>
      <c r="E312" s="64"/>
      <c r="F312" s="105">
        <v>2</v>
      </c>
      <c r="G312" s="526">
        <f>(((0.59))*(3.1/0.12))</f>
        <v>15.241666666666667</v>
      </c>
      <c r="H312" s="527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526">
        <f xml:space="preserve"> (59*0.59)</f>
        <v>34.809999999999995</v>
      </c>
      <c r="H313" s="527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526">
        <v>295</v>
      </c>
      <c r="H315" s="528"/>
      <c r="I315" s="529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83" t="s">
        <v>1085</v>
      </c>
      <c r="H316" s="584"/>
      <c r="I316" s="585"/>
      <c r="J316" s="99">
        <f>'BOLETIM DE MEDIÇÃO 14'!V35-'MEMORIAL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530" t="s">
        <v>628</v>
      </c>
      <c r="H317" s="531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526">
        <f xml:space="preserve"> (4*(0.2+0.25+1.85+0.33)) * 2</f>
        <v>21.040000000000003</v>
      </c>
      <c r="H318" s="527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526">
        <f xml:space="preserve"> ((4*(0.2+0.25+1.87+0.33)) * 2)</f>
        <v>21.200000000000003</v>
      </c>
      <c r="H319" s="527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526">
        <f xml:space="preserve"> (4*(0.2+0.25+1.9+0.33)) * 5</f>
        <v>53.6</v>
      </c>
      <c r="H320" s="527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526">
        <f xml:space="preserve"> (4*(0.2+0.25+1.92+0.33)) *3</f>
        <v>32.400000000000006</v>
      </c>
      <c r="H321" s="527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526">
        <f xml:space="preserve"> (4*(0.2+0.25+1.94+0.33)) * 3</f>
        <v>32.64</v>
      </c>
      <c r="H322" s="527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526">
        <f xml:space="preserve"> (4*(0.2+0.25+1.96+0.33)) * 5</f>
        <v>54.800000000000004</v>
      </c>
      <c r="H323" s="527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526">
        <f xml:space="preserve"> (4*(0.2+0.25+1.95+0.33)) * 6</f>
        <v>65.52</v>
      </c>
      <c r="H324" s="527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526">
        <f xml:space="preserve"> (4*(0.2+0.25+1.97+0.33)) * 3</f>
        <v>33</v>
      </c>
      <c r="H325" s="527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526">
        <f xml:space="preserve"> (4*(0.2+0.25+1.9+0.33)) * 3</f>
        <v>32.160000000000004</v>
      </c>
      <c r="H326" s="527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526">
        <f xml:space="preserve"> ((4*(0.2+0.25+1.86+0.33)) * 3)</f>
        <v>31.68</v>
      </c>
      <c r="H327" s="527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526">
        <f xml:space="preserve"> ((4*(0.2+0.25+1.87+0.33)) * 3)</f>
        <v>31.800000000000004</v>
      </c>
      <c r="H328" s="527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526">
        <f xml:space="preserve"> ((4*(0.2+0.25+1.9+0.33)) * 4)</f>
        <v>42.88</v>
      </c>
      <c r="H329" s="527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526">
        <f xml:space="preserve"> ((4*(0.2+0.25+1.91+0.33)) * 2)</f>
        <v>21.52</v>
      </c>
      <c r="H330" s="527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526">
        <f xml:space="preserve"> ((4*(0.2+0.25+1.94+0.33)) * 6)</f>
        <v>65.28</v>
      </c>
      <c r="H331" s="527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526">
        <f xml:space="preserve"> ((4*(0.2+0.25+1.92+0.33)) *3)</f>
        <v>32.400000000000006</v>
      </c>
      <c r="H332" s="527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526">
        <f xml:space="preserve"> ((4*(0.2+0.25+1.93+0.33)) *3)</f>
        <v>32.519999999999996</v>
      </c>
      <c r="H333" s="527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526">
        <f xml:space="preserve"> ((4*(0.2+0.25+1.87+0.33)) *4)</f>
        <v>42.400000000000006</v>
      </c>
      <c r="H334" s="527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526">
        <f xml:space="preserve"> ((4*(0.2+0.25+1.88+0.33)) *4)</f>
        <v>42.56</v>
      </c>
      <c r="H335" s="527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526">
        <f xml:space="preserve"> ((4*(0.2+0.25+1.9+0.33)) *4)</f>
        <v>42.88</v>
      </c>
      <c r="H336" s="527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526">
        <f>((4*(0.2+0.25+1.9+0.33))) + ((8*(0.2+0.25+1.9)))</f>
        <v>29.520000000000003</v>
      </c>
      <c r="H337" s="527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526">
        <f xml:space="preserve"> ((4*(0.2+0.25+1.97+0.33)) *2)</f>
        <v>22</v>
      </c>
      <c r="H338" s="527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526">
        <f xml:space="preserve"> ((4*(0.2+0.25+2+0.33)) *3)</f>
        <v>33.36</v>
      </c>
      <c r="H339" s="527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526">
        <f xml:space="preserve"> ((4*(0.2+0.25+2.01+0.33)) *7)</f>
        <v>78.12</v>
      </c>
      <c r="H340" s="527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1" t="s">
        <v>1067</v>
      </c>
      <c r="E341" s="64"/>
      <c r="F341" s="94">
        <v>1</v>
      </c>
      <c r="G341" s="526">
        <v>133.6</v>
      </c>
      <c r="H341" s="528"/>
      <c r="I341" s="529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83" t="s">
        <v>1081</v>
      </c>
      <c r="H343" s="584"/>
      <c r="I343" s="585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14'!G36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530" t="s">
        <v>628</v>
      </c>
      <c r="H344" s="531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526">
        <f>((8*(0.2+0.25+1.86+0.42)))</f>
        <v>21.84</v>
      </c>
      <c r="H345" s="527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526">
        <f>((6*(0.2+0.25+1.87+0.42)))</f>
        <v>16.440000000000001</v>
      </c>
      <c r="H346" s="527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526">
        <f>((6*(0.2+0.25+1.89+0.42)))</f>
        <v>16.559999999999999</v>
      </c>
      <c r="H347" s="527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526">
        <f>((4*(0.2+0.25+1.9+0.42)))</f>
        <v>11.08</v>
      </c>
      <c r="H348" s="527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526">
        <f>((4*(0.2+0.25+1.92+0.42)))</f>
        <v>11.16</v>
      </c>
      <c r="H349" s="527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526">
        <f>((4*(0.2+0.25+1.9+0.42)))</f>
        <v>11.08</v>
      </c>
      <c r="H350" s="527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526">
        <f>((4*(0.2+0.25+1.98+0.42)))+(2*(0.2+0.25+1.98))</f>
        <v>16.260000000000002</v>
      </c>
      <c r="H351" s="527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1" t="s">
        <v>1067</v>
      </c>
      <c r="E352" s="64"/>
      <c r="F352" s="94">
        <v>1</v>
      </c>
      <c r="G352" s="526">
        <v>78.7</v>
      </c>
      <c r="H352" s="528"/>
      <c r="I352" s="529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530"/>
      <c r="H353" s="532"/>
      <c r="I353" s="533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83" t="s">
        <v>1082</v>
      </c>
      <c r="H354" s="584"/>
      <c r="I354" s="585"/>
      <c r="J354" s="99">
        <f>'BOLETIM DE MEDIÇÃO 14'!V37-'MEMORIAL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14'!G37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1067</v>
      </c>
      <c r="E355" s="64"/>
      <c r="F355" s="94">
        <v>1</v>
      </c>
      <c r="G355" s="526">
        <v>254.18</v>
      </c>
      <c r="H355" s="528"/>
      <c r="I355" s="529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28" t="s">
        <v>1083</v>
      </c>
      <c r="E356" s="64"/>
      <c r="F356" s="94">
        <v>1</v>
      </c>
      <c r="G356" s="104" t="s">
        <v>1073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1050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1051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1052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1053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3"/>
      <c r="H361" s="374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3"/>
      <c r="H362" s="374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530" t="s">
        <v>706</v>
      </c>
      <c r="H371" s="531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526">
        <f xml:space="preserve"> ((0.15+0.25)*2) *2</f>
        <v>1.6</v>
      </c>
      <c r="H372" s="527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526">
        <f xml:space="preserve"> ((0.2+0.25)*2) + ((0.2+0.3)*2)</f>
        <v>1.9</v>
      </c>
      <c r="H373" s="527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526">
        <f xml:space="preserve"> ((0.2+0.25)*2*3) + ((0.2+0.2)*2*1) + ((0.15+0.2)*2*1)</f>
        <v>4.2</v>
      </c>
      <c r="H374" s="527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526">
        <f xml:space="preserve"> ((0.2+0.25)*2*1) + ((0.15+0.25)*2*2)</f>
        <v>2.5</v>
      </c>
      <c r="H375" s="527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526">
        <f xml:space="preserve"> ((0.15+0.3)*2*3)</f>
        <v>2.6999999999999997</v>
      </c>
      <c r="H376" s="527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526">
        <f xml:space="preserve"> ((0.2+0.25)*2*3) + ((0.15+0.25)*2*2)</f>
        <v>4.3000000000000007</v>
      </c>
      <c r="H377" s="527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526">
        <f xml:space="preserve"> ((0.2+0.25)*2*3) + ((0.15+0.25)*2*2) +  ((0.2+0.3)*2*1)</f>
        <v>5.3000000000000007</v>
      </c>
      <c r="H378" s="527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526">
        <f xml:space="preserve"> ((0.2+0.25)*2*2) + ((0.15+0.25)*2*1)</f>
        <v>2.6</v>
      </c>
      <c r="H379" s="527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526">
        <f>((0.15+0.25)*2*3)</f>
        <v>2.4000000000000004</v>
      </c>
      <c r="H380" s="527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526">
        <f xml:space="preserve"> ((0.2+0.25)*2*1) + ((0.15+0.25)*2*1) +  ((0.2+0.35)*2*1)</f>
        <v>2.8000000000000003</v>
      </c>
      <c r="H381" s="527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526">
        <f xml:space="preserve"> ((0.2+0.25)*2*1) + ((0.15+0.3)*2*2)</f>
        <v>2.6999999999999997</v>
      </c>
      <c r="H382" s="527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526">
        <f xml:space="preserve"> ((0.2+0.3)*2*1) + ((0.15+0.3)*2*1) +  ((0.15+0.25)*2*1) + ((0.15+0.35)*2*1)</f>
        <v>3.7</v>
      </c>
      <c r="H383" s="527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526">
        <f xml:space="preserve"> ((0.15+0.25)*2*1) + ((0.2+0.3)*2*1)</f>
        <v>1.8</v>
      </c>
      <c r="H384" s="527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526">
        <f xml:space="preserve"> ((0.15+0.25)*2*5) + ((0.25+0.25)*2*1)</f>
        <v>5</v>
      </c>
      <c r="H385" s="527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526">
        <f xml:space="preserve"> ((0.2+0.25)*2*1) + ((0.15+0.25)*2*1) +  ((0.25+0.25)*2*1)</f>
        <v>2.7</v>
      </c>
      <c r="H386" s="527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526">
        <f xml:space="preserve"> ((0.15+0.25)*2*2) + ((0.25+0.25)*2*1)</f>
        <v>2.6</v>
      </c>
      <c r="H387" s="527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526">
        <f xml:space="preserve"> ((0.15+0.25)*2*2) + ((0.2+0.25)*2*2)</f>
        <v>3.4000000000000004</v>
      </c>
      <c r="H388" s="527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526">
        <f xml:space="preserve"> ((0.15+0.25)*2*3) + ((0.2+0.25)*2*1)</f>
        <v>3.3000000000000003</v>
      </c>
      <c r="H389" s="527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526">
        <f>((0.2+0.25)*2*3) + ((0.25+0.25)*2*1)</f>
        <v>3.7</v>
      </c>
      <c r="H390" s="527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526">
        <f>((0.2+0.2)*2*1)</f>
        <v>0.8</v>
      </c>
      <c r="H391" s="527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526">
        <f>((0.2+0.25)*2*1) + ((0.15+0.25)*2*1)</f>
        <v>1.7000000000000002</v>
      </c>
      <c r="H392" s="527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526">
        <f>((0.2+0.25)*2*1) + ((0.15+0.25)*2*2)</f>
        <v>2.5</v>
      </c>
      <c r="H393" s="527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526">
        <f xml:space="preserve"> ((0.2+0.3)*2*1) + ((0.15+0.25)*2*5) +  ((0.25+0.25)*2*1)</f>
        <v>6</v>
      </c>
      <c r="H394" s="527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526">
        <f>((0.15+0.3)*2*1)</f>
        <v>0.89999999999999991</v>
      </c>
      <c r="H395" s="527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526">
        <f>((0.15+0.5)*2*1)</f>
        <v>1.3</v>
      </c>
      <c r="H396" s="527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526">
        <f>((0.15+0.5)*2*1)</f>
        <v>1.3</v>
      </c>
      <c r="H397" s="527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526">
        <f>((0.15+0.25)*2*1)</f>
        <v>0.8</v>
      </c>
      <c r="H398" s="527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526">
        <f t="shared" ref="G399" si="12">((0.15+0.3)*2*1)</f>
        <v>0.89999999999999991</v>
      </c>
      <c r="H399" s="527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526">
        <f>((0.15+0.25)*2*1)</f>
        <v>0.8</v>
      </c>
      <c r="H400" s="527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526">
        <f>((0.15+0.3)*2*1)</f>
        <v>0.89999999999999991</v>
      </c>
      <c r="H401" s="527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3"/>
      <c r="H402" s="374"/>
      <c r="I402" s="432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83" t="s">
        <v>1084</v>
      </c>
      <c r="H403" s="584"/>
      <c r="I403" s="585"/>
      <c r="J403" s="99">
        <f>'BOLETIM DE MEDIÇÃO 14'!V38-'MEMORIAL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14'!G38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1067</v>
      </c>
      <c r="E404" s="64"/>
      <c r="F404" s="94">
        <v>1</v>
      </c>
      <c r="G404" s="526">
        <v>253.95</v>
      </c>
      <c r="H404" s="528"/>
      <c r="I404" s="529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28" t="s">
        <v>1083</v>
      </c>
      <c r="E405" s="64"/>
      <c r="F405" s="94">
        <v>1</v>
      </c>
      <c r="G405" s="104" t="s">
        <v>1073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1050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1051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1052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1053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1071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3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526">
        <f>((0.15+0.3)*2*1)</f>
        <v>0.89999999999999991</v>
      </c>
      <c r="H412" s="527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14'!V40-K416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14'!G40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3" t="s">
        <v>1008</v>
      </c>
      <c r="E417" s="64"/>
      <c r="F417" s="94">
        <v>1</v>
      </c>
      <c r="G417" s="526">
        <v>8.8404000000000007</v>
      </c>
      <c r="H417" s="528"/>
      <c r="I417" s="529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2" t="s">
        <v>97</v>
      </c>
      <c r="E418" s="242" t="s">
        <v>17</v>
      </c>
      <c r="F418" s="243"/>
      <c r="G418" s="244"/>
      <c r="H418" s="403"/>
      <c r="I418" s="246"/>
      <c r="J418" s="249">
        <f>'BOLETIM DE MEDIÇÃO 14'!V41-'MEMORIAL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4"/>
      <c r="D419" s="412" t="s">
        <v>1010</v>
      </c>
      <c r="E419" s="242"/>
      <c r="F419" s="243">
        <v>1</v>
      </c>
      <c r="G419" s="549">
        <v>92.376199999999997</v>
      </c>
      <c r="H419" s="590"/>
      <c r="I419" s="591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4"/>
      <c r="D420" s="412" t="s">
        <v>1009</v>
      </c>
      <c r="E420" s="242"/>
      <c r="F420" s="243">
        <v>1</v>
      </c>
      <c r="G420" s="549">
        <v>15.52</v>
      </c>
      <c r="H420" s="590"/>
      <c r="I420" s="591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2" t="s">
        <v>100</v>
      </c>
      <c r="E421" s="242"/>
      <c r="F421" s="243"/>
      <c r="G421" s="394"/>
      <c r="H421" s="242"/>
      <c r="I421" s="406"/>
      <c r="J421" s="249">
        <f>'BOLETIM DE MEDIÇÃO 14'!V42-'MEMORIAL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14'!G42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4"/>
      <c r="D422" s="412" t="s">
        <v>1011</v>
      </c>
      <c r="E422" s="242"/>
      <c r="F422" s="243">
        <v>1</v>
      </c>
      <c r="G422" s="549">
        <f>0.4*88.64</f>
        <v>35.456000000000003</v>
      </c>
      <c r="H422" s="590"/>
      <c r="I422" s="591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4"/>
      <c r="D423" s="412" t="s">
        <v>1012</v>
      </c>
      <c r="E423" s="242"/>
      <c r="F423" s="243">
        <v>1</v>
      </c>
      <c r="G423" s="549">
        <v>22.510300000000001</v>
      </c>
      <c r="H423" s="590"/>
      <c r="I423" s="591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14'!V43-K424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526">
        <v>130.6009</v>
      </c>
      <c r="H425" s="528"/>
      <c r="I425" s="529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521">
        <f>0.4*39.1</f>
        <v>15.64</v>
      </c>
      <c r="H427" s="522"/>
      <c r="I427" s="523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14'!V45-K428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526">
        <v>168.64</v>
      </c>
      <c r="H429" s="528"/>
      <c r="I429" s="529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14'!V46-K430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526">
        <v>11.700799999999999</v>
      </c>
      <c r="H431" s="528"/>
      <c r="I431" s="529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4"/>
      <c r="H432" s="374"/>
      <c r="I432" s="318"/>
      <c r="J432" s="99">
        <f>'BOLETIM DE MEDIÇÃO 14'!V47-K432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14'!G47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526">
        <v>6.6020000000000003</v>
      </c>
      <c r="H433" s="528"/>
      <c r="I433" s="529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14'!V48-'MEMORIAL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1" t="s">
        <v>969</v>
      </c>
      <c r="E435" s="64"/>
      <c r="F435" s="105">
        <v>1</v>
      </c>
      <c r="G435" s="526">
        <v>28.2</v>
      </c>
      <c r="H435" s="528"/>
      <c r="I435" s="529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14'!V49-'MEMORIAL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1" t="s">
        <v>969</v>
      </c>
      <c r="E437" s="64"/>
      <c r="F437" s="105">
        <v>1</v>
      </c>
      <c r="G437" s="526">
        <v>12.9002</v>
      </c>
      <c r="H437" s="528"/>
      <c r="I437" s="529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14'!V50-'MEMORIAL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1" t="s">
        <v>969</v>
      </c>
      <c r="E439" s="64"/>
      <c r="F439" s="105">
        <v>1</v>
      </c>
      <c r="G439" s="526">
        <v>20.100899999999999</v>
      </c>
      <c r="H439" s="528"/>
      <c r="I439" s="529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14'!V51-'MEMORIAL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88">
        <v>10.02003</v>
      </c>
      <c r="H441" s="588"/>
      <c r="I441" s="589"/>
      <c r="J441" s="249"/>
      <c r="K441" s="251">
        <f t="shared" ref="K441" si="16">F441*G441</f>
        <v>10.02003</v>
      </c>
      <c r="L441" s="251"/>
      <c r="M441" s="251"/>
      <c r="N441" s="252"/>
    </row>
    <row r="442" spans="2:15" ht="33.75" x14ac:dyDescent="0.25">
      <c r="B442" s="247" t="s">
        <v>126</v>
      </c>
      <c r="C442" s="248">
        <v>103670</v>
      </c>
      <c r="D442" s="402" t="s">
        <v>71</v>
      </c>
      <c r="E442" s="242" t="s">
        <v>41</v>
      </c>
      <c r="F442" s="246"/>
      <c r="G442" s="249"/>
      <c r="H442" s="403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4"/>
      <c r="D443" s="415" t="s">
        <v>932</v>
      </c>
      <c r="E443" s="242"/>
      <c r="F443" s="243">
        <v>1</v>
      </c>
      <c r="G443" s="588">
        <v>10.02009999</v>
      </c>
      <c r="H443" s="588"/>
      <c r="I443" s="589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2" t="s">
        <v>129</v>
      </c>
      <c r="E444" s="242" t="s">
        <v>62</v>
      </c>
      <c r="F444" s="243"/>
      <c r="G444" s="244"/>
      <c r="H444" s="403"/>
      <c r="I444" s="246"/>
      <c r="J444" s="249">
        <f>'BOLETIM DE MEDIÇÃO 14'!V53-'MEMORIAL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2" t="s">
        <v>969</v>
      </c>
      <c r="E445" s="242"/>
      <c r="F445" s="246">
        <v>1</v>
      </c>
      <c r="G445" s="549">
        <v>94.6</v>
      </c>
      <c r="H445" s="590"/>
      <c r="I445" s="591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3" t="s">
        <v>130</v>
      </c>
      <c r="C446" s="364">
        <v>92772</v>
      </c>
      <c r="D446" s="401" t="s">
        <v>132</v>
      </c>
      <c r="E446" s="366" t="s">
        <v>62</v>
      </c>
      <c r="F446" s="367"/>
      <c r="G446" s="397"/>
      <c r="H446" s="366"/>
      <c r="I446" s="372"/>
      <c r="J446" s="368">
        <f>'BOLETIM DE MEDIÇÃO 14'!V54-'MEMORIAL DE CALCULO 10'!K446</f>
        <v>154.80000000000001</v>
      </c>
      <c r="K446" s="369"/>
      <c r="L446" s="369">
        <f t="shared" si="0"/>
        <v>154.80000000000001</v>
      </c>
      <c r="M446" s="369">
        <f>'BOLETIM DE MEDIÇÃO 05'!G54</f>
        <v>154.80000000000001</v>
      </c>
      <c r="N446" s="370">
        <f t="shared" si="1"/>
        <v>0</v>
      </c>
      <c r="O446" s="371"/>
    </row>
    <row r="447" spans="2:15" ht="18" hidden="1" customHeight="1" x14ac:dyDescent="0.25">
      <c r="B447" s="363"/>
      <c r="C447" s="364"/>
      <c r="D447" s="365" t="s">
        <v>958</v>
      </c>
      <c r="E447" s="366"/>
      <c r="F447" s="372">
        <v>1</v>
      </c>
      <c r="G447" s="577">
        <v>154.80000000000001</v>
      </c>
      <c r="H447" s="578"/>
      <c r="I447" s="579"/>
      <c r="J447" s="368"/>
      <c r="K447" s="369"/>
      <c r="L447" s="369"/>
      <c r="M447" s="369"/>
      <c r="N447" s="370"/>
      <c r="O447" s="371"/>
    </row>
    <row r="448" spans="2:15" ht="18" hidden="1" customHeight="1" x14ac:dyDescent="0.25">
      <c r="B448" s="363"/>
      <c r="C448" s="364"/>
      <c r="D448" s="365"/>
      <c r="E448" s="366"/>
      <c r="F448" s="372"/>
      <c r="G448" s="388"/>
      <c r="H448" s="388"/>
      <c r="I448" s="389"/>
      <c r="J448" s="368"/>
      <c r="K448" s="369"/>
      <c r="L448" s="369"/>
      <c r="M448" s="369"/>
      <c r="N448" s="370"/>
      <c r="O448" s="371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4"/>
      <c r="H449" s="374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4" t="s">
        <v>135</v>
      </c>
      <c r="C450" s="385">
        <v>103356</v>
      </c>
      <c r="D450" s="386" t="s">
        <v>137</v>
      </c>
      <c r="E450" s="387" t="s">
        <v>17</v>
      </c>
      <c r="F450" s="395"/>
      <c r="G450" s="374"/>
      <c r="H450" s="374"/>
      <c r="I450" s="318"/>
      <c r="J450" s="99">
        <f>'BOLETIM DE MEDIÇÃO 14'!V56-'MEMORIAL DE CALCULO 10'!K450</f>
        <v>1196.3104999999998</v>
      </c>
      <c r="K450" s="81">
        <f>K451</f>
        <v>46.31</v>
      </c>
      <c r="L450" s="82">
        <f>J450+K450</f>
        <v>1242.6204999999998</v>
      </c>
      <c r="M450" s="82">
        <f>'BOLETIM DE MEDIÇÃO 14'!G56</f>
        <v>1242.6199999999999</v>
      </c>
      <c r="N450" s="86">
        <f>M450-L450</f>
        <v>-4.9999999987448973E-4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526">
        <v>46.31</v>
      </c>
      <c r="H451" s="528"/>
      <c r="I451" s="529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14'!V74-'MEMORIAL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14'!V75-'MEMORIAL DE CALCULO 10'!K453</f>
        <v>763.67439999999988</v>
      </c>
      <c r="K453" s="81">
        <f>K454</f>
        <v>697.98</v>
      </c>
      <c r="L453" s="82">
        <f t="shared" si="0"/>
        <v>1461.6543999999999</v>
      </c>
      <c r="M453" s="82">
        <f>'BOLETIM DE MEDIÇÃO 05'!G62</f>
        <v>997.11</v>
      </c>
      <c r="N453" s="86">
        <f t="shared" si="1"/>
        <v>-464.54439999999988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526">
        <v>697.98</v>
      </c>
      <c r="H454" s="528"/>
      <c r="I454" s="529"/>
      <c r="J454" s="99">
        <f>'BOLETIM DE MEDIÇÃO 14'!V76-'MEMORIAL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4"/>
      <c r="H455" s="374"/>
      <c r="I455" s="318"/>
      <c r="J455" s="99">
        <f>'BOLETIM DE MEDIÇÃO 14'!V77-'MEMORIAL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4"/>
      <c r="H456" s="374"/>
      <c r="I456" s="318"/>
      <c r="J456" s="99">
        <f>'BOLETIM DE MEDIÇÃO 14'!V78-'MEMORIAL DE CALCULO 10'!K456</f>
        <v>-351.87</v>
      </c>
      <c r="K456" s="81">
        <f>K457</f>
        <v>351.87</v>
      </c>
      <c r="L456" s="82">
        <f>J456+K456</f>
        <v>0</v>
      </c>
      <c r="M456" s="82">
        <f>'BOLETIM DE MEDIÇÃO 14'!G63</f>
        <v>351.87</v>
      </c>
      <c r="N456" s="86">
        <f>M456-L456</f>
        <v>351.87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526">
        <v>351.87</v>
      </c>
      <c r="H457" s="528"/>
      <c r="I457" s="529"/>
      <c r="J457" s="99">
        <f>'BOLETIM DE MEDIÇÃO 14'!V79-'MEMORIAL DE CALCULO 10'!K457</f>
        <v>-351.87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4"/>
      <c r="H458" s="374"/>
      <c r="I458" s="318"/>
      <c r="J458" s="99">
        <f>'BOLETIM DE MEDIÇÃO 14'!V80-'MEMORIAL DE CALCULO 10'!K458</f>
        <v>0</v>
      </c>
      <c r="K458" s="82"/>
      <c r="L458" s="82"/>
      <c r="M458" s="82"/>
      <c r="N458" s="86"/>
    </row>
    <row r="459" spans="2:14" x14ac:dyDescent="0.25">
      <c r="B459" s="347" t="s">
        <v>208</v>
      </c>
      <c r="C459" s="348" t="s">
        <v>209</v>
      </c>
      <c r="D459" s="344"/>
      <c r="E459" s="64"/>
      <c r="F459" s="105"/>
      <c r="G459" s="374"/>
      <c r="H459" s="374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4"/>
      <c r="H460" s="374"/>
      <c r="I460" s="318"/>
      <c r="J460" s="99">
        <f>'BOLETIM DE MEDIÇÃO 14'!V82-'MEMORIAL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14'!G83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526">
        <v>45.930999999999997</v>
      </c>
      <c r="H461" s="528"/>
      <c r="I461" s="529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5">
        <v>104233</v>
      </c>
      <c r="D462" s="386" t="s">
        <v>215</v>
      </c>
      <c r="E462" s="277" t="s">
        <v>17</v>
      </c>
      <c r="F462" s="105"/>
      <c r="G462" s="416"/>
      <c r="H462" s="390"/>
      <c r="I462" s="417"/>
      <c r="J462" s="99">
        <f>'BOLETIM DE MEDIÇÃO 14'!V83-'MEMORIAL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14'!G83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526">
        <v>187.97049999999999</v>
      </c>
      <c r="H463" s="528"/>
      <c r="I463" s="529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4">
        <v>2.6</v>
      </c>
      <c r="H464" s="374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4">
        <v>0.8</v>
      </c>
      <c r="H465" s="374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4">
        <v>1.5</v>
      </c>
      <c r="H466" s="374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4">
        <v>1</v>
      </c>
      <c r="H467" s="374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4" t="s">
        <v>284</v>
      </c>
      <c r="C469" s="385">
        <v>91834</v>
      </c>
      <c r="D469" s="391" t="s">
        <v>286</v>
      </c>
      <c r="E469" s="245" t="s">
        <v>37</v>
      </c>
      <c r="F469" s="312">
        <v>1</v>
      </c>
      <c r="G469" s="521">
        <v>200</v>
      </c>
      <c r="H469" s="522"/>
      <c r="I469" s="523"/>
      <c r="J469" s="99">
        <f>'BOLETIM DE MEDIÇÃO 14'!V108-'MEMORIAL DE CALCULO 10'!K469</f>
        <v>630.52</v>
      </c>
      <c r="K469" s="81">
        <f>G469</f>
        <v>200</v>
      </c>
      <c r="L469" s="82">
        <f>J469+K469</f>
        <v>830.52</v>
      </c>
      <c r="M469" s="82">
        <f>'BOLETIM DE MEDIÇÃO 14'!G108</f>
        <v>830.48</v>
      </c>
      <c r="N469" s="86">
        <f>M469-L469</f>
        <v>-3.999999999996362E-2</v>
      </c>
    </row>
    <row r="470" spans="2:14" hidden="1" x14ac:dyDescent="0.25">
      <c r="B470" s="384"/>
      <c r="C470" s="385"/>
      <c r="D470" s="393" t="s">
        <v>1001</v>
      </c>
      <c r="E470" s="245"/>
      <c r="F470" s="312"/>
      <c r="G470" s="383"/>
      <c r="H470" s="392"/>
      <c r="I470" s="318"/>
      <c r="J470" s="99"/>
      <c r="K470" s="81"/>
      <c r="L470" s="82"/>
      <c r="M470" s="82"/>
      <c r="N470" s="86"/>
    </row>
    <row r="471" spans="2:14" ht="33.75" hidden="1" x14ac:dyDescent="0.25">
      <c r="B471" s="384" t="s">
        <v>287</v>
      </c>
      <c r="C471" s="385">
        <v>91868</v>
      </c>
      <c r="D471" s="386" t="s">
        <v>289</v>
      </c>
      <c r="E471" s="245" t="s">
        <v>37</v>
      </c>
      <c r="F471" s="312">
        <v>1</v>
      </c>
      <c r="G471" s="521">
        <v>55.97</v>
      </c>
      <c r="H471" s="522"/>
      <c r="I471" s="523"/>
      <c r="J471" s="99">
        <f>'BOLETIM DE MEDIÇÃO 14'!V109-'MEMORIAL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14'!G109</f>
        <v>55.97</v>
      </c>
      <c r="N471" s="86">
        <f t="shared" ref="N471:N473" si="22">M471-L471</f>
        <v>0</v>
      </c>
    </row>
    <row r="472" spans="2:14" hidden="1" x14ac:dyDescent="0.25">
      <c r="B472" s="384"/>
      <c r="C472" s="385"/>
      <c r="D472" s="393" t="s">
        <v>1001</v>
      </c>
      <c r="E472" s="245"/>
      <c r="F472" s="312"/>
      <c r="G472" s="383"/>
      <c r="H472" s="383"/>
      <c r="I472" s="316"/>
      <c r="J472" s="99"/>
      <c r="K472" s="81"/>
      <c r="L472" s="82"/>
      <c r="M472" s="82"/>
      <c r="N472" s="86"/>
    </row>
    <row r="473" spans="2:14" ht="33.75" hidden="1" x14ac:dyDescent="0.25">
      <c r="B473" s="384" t="s">
        <v>290</v>
      </c>
      <c r="C473" s="385">
        <v>91867</v>
      </c>
      <c r="D473" s="386" t="s">
        <v>292</v>
      </c>
      <c r="E473" s="245" t="s">
        <v>37</v>
      </c>
      <c r="F473" s="312">
        <v>1</v>
      </c>
      <c r="G473" s="521">
        <v>36.19</v>
      </c>
      <c r="H473" s="522"/>
      <c r="I473" s="523"/>
      <c r="J473" s="99">
        <f>'BOLETIM DE MEDIÇÃO 14'!V110-'MEMORIAL DE CALCULO 10'!K473</f>
        <v>0</v>
      </c>
      <c r="K473" s="81">
        <f>G473</f>
        <v>36.19</v>
      </c>
      <c r="L473" s="82">
        <f>J473+K473</f>
        <v>36.19</v>
      </c>
      <c r="M473" s="82">
        <f>'BOLETIM DE MEDIÇÃO 14'!G110</f>
        <v>36.19</v>
      </c>
      <c r="N473" s="86">
        <f t="shared" si="22"/>
        <v>0</v>
      </c>
    </row>
    <row r="474" spans="2:14" hidden="1" x14ac:dyDescent="0.25">
      <c r="B474" s="384"/>
      <c r="C474" s="385"/>
      <c r="D474" s="393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7" t="s">
        <v>312</v>
      </c>
      <c r="C475" s="349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14'!V119-'MEMORIAL DE CALCULO 10'!K476</f>
        <v>10.199999999999999</v>
      </c>
      <c r="K476" s="81">
        <f>K477</f>
        <v>21.53</v>
      </c>
      <c r="L476" s="82">
        <f>J476+K476</f>
        <v>31.73</v>
      </c>
      <c r="M476" s="82">
        <f>'BOLETIM DE MEDIÇÃO 14'!G119</f>
        <v>35.340000000000003</v>
      </c>
      <c r="N476" s="86">
        <f>M476-L476</f>
        <v>3.610000000000003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521">
        <v>21.53</v>
      </c>
      <c r="H477" s="522"/>
      <c r="I477" s="523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4" t="s">
        <v>317</v>
      </c>
      <c r="C478" s="385">
        <v>94439</v>
      </c>
      <c r="D478" s="386" t="s">
        <v>319</v>
      </c>
      <c r="E478" s="277" t="s">
        <v>17</v>
      </c>
      <c r="F478" s="312"/>
      <c r="G478" s="121"/>
      <c r="H478" s="70"/>
      <c r="I478" s="105"/>
      <c r="J478" s="99">
        <f>'BOLETIM DE MEDIÇÃO 14'!V120</f>
        <v>636.6</v>
      </c>
      <c r="K478" s="81">
        <f>SUM(K479:K483)</f>
        <v>116.27</v>
      </c>
      <c r="L478" s="82">
        <f t="shared" ref="L478" si="23">J478+K478</f>
        <v>752.87</v>
      </c>
      <c r="M478" s="82">
        <f>'BOLETIM DE MEDIÇÃO 14'!G121</f>
        <v>634.5</v>
      </c>
      <c r="N478" s="86">
        <f>M478-L478</f>
        <v>-118.37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521">
        <v>27</v>
      </c>
      <c r="H479" s="522"/>
      <c r="I479" s="523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521">
        <v>26</v>
      </c>
      <c r="H480" s="522"/>
      <c r="I480" s="523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521">
        <v>30</v>
      </c>
      <c r="H481" s="522"/>
      <c r="I481" s="523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521">
        <v>30</v>
      </c>
      <c r="H482" s="522"/>
      <c r="I482" s="523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521">
        <v>3.27</v>
      </c>
      <c r="H483" s="522"/>
      <c r="I483" s="523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86" t="s">
        <v>368</v>
      </c>
      <c r="D484" s="587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14'!V138-'MEMORIAL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7" t="s">
        <v>1004</v>
      </c>
      <c r="E486" s="217"/>
      <c r="F486" s="312">
        <v>1</v>
      </c>
      <c r="G486" s="521">
        <f>98.77</f>
        <v>98.77</v>
      </c>
      <c r="H486" s="522"/>
      <c r="I486" s="523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14'!V139-'MEMORIAL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7" t="s">
        <v>1004</v>
      </c>
      <c r="E489" s="217"/>
      <c r="F489" s="312">
        <v>1</v>
      </c>
      <c r="G489" s="521">
        <f>62.17</f>
        <v>62.17</v>
      </c>
      <c r="H489" s="522"/>
      <c r="I489" s="523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14'!V140-'MEMORIAL DE CALCULO 10'!K491</f>
        <v>17.324999999999999</v>
      </c>
      <c r="K491" s="81">
        <f>K492</f>
        <v>7.4249999999999998</v>
      </c>
      <c r="L491" s="82">
        <f t="shared" si="26"/>
        <v>24.75</v>
      </c>
      <c r="M491" s="206">
        <v>24.75</v>
      </c>
      <c r="N491" s="86">
        <f t="shared" si="25"/>
        <v>0</v>
      </c>
    </row>
    <row r="492" spans="2:14" hidden="1" x14ac:dyDescent="0.25">
      <c r="B492" s="203"/>
      <c r="C492" s="211"/>
      <c r="D492" s="377" t="s">
        <v>984</v>
      </c>
      <c r="E492" s="217"/>
      <c r="F492" s="312">
        <v>1</v>
      </c>
      <c r="G492" s="521">
        <f>0.3*24.75</f>
        <v>7.4249999999999998</v>
      </c>
      <c r="H492" s="522"/>
      <c r="I492" s="523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14'!V141-'MEMORIAL DE CALCULO 10'!K494</f>
        <v>18.144000000000002</v>
      </c>
      <c r="K494" s="81">
        <f>K495</f>
        <v>7.7759999999999998</v>
      </c>
      <c r="L494" s="82">
        <f t="shared" si="26"/>
        <v>25.92</v>
      </c>
      <c r="M494" s="206">
        <v>25.92</v>
      </c>
      <c r="N494" s="86">
        <f t="shared" si="25"/>
        <v>0</v>
      </c>
    </row>
    <row r="495" spans="2:14" hidden="1" x14ac:dyDescent="0.25">
      <c r="B495" s="203"/>
      <c r="C495" s="211"/>
      <c r="D495" s="377" t="s">
        <v>984</v>
      </c>
      <c r="E495" s="217"/>
      <c r="F495" s="312">
        <v>1</v>
      </c>
      <c r="G495" s="521">
        <f>0.3*25.92</f>
        <v>7.7759999999999998</v>
      </c>
      <c r="H495" s="522"/>
      <c r="I495" s="523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14'!V142-'MEMORIAL DE CALCULO 10'!K497</f>
        <v>7</v>
      </c>
      <c r="K497" s="81">
        <f>K498</f>
        <v>3</v>
      </c>
      <c r="L497" s="82">
        <f t="shared" si="26"/>
        <v>10</v>
      </c>
      <c r="M497" s="206">
        <v>10</v>
      </c>
      <c r="N497" s="86">
        <f t="shared" si="25"/>
        <v>0</v>
      </c>
    </row>
    <row r="498" spans="2:14" hidden="1" x14ac:dyDescent="0.25">
      <c r="B498" s="203"/>
      <c r="C498" s="211"/>
      <c r="D498" s="377" t="s">
        <v>984</v>
      </c>
      <c r="E498" s="217"/>
      <c r="F498" s="312">
        <v>1</v>
      </c>
      <c r="G498" s="521">
        <f>0.3*10</f>
        <v>3</v>
      </c>
      <c r="H498" s="522"/>
      <c r="I498" s="523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14'!V143-'MEMORIAL DE CALCULO 10'!K500</f>
        <v>-1</v>
      </c>
      <c r="K500" s="81">
        <f>K501</f>
        <v>1</v>
      </c>
      <c r="L500" s="82">
        <f t="shared" si="26"/>
        <v>0</v>
      </c>
      <c r="M500" s="206">
        <v>2</v>
      </c>
      <c r="N500" s="86">
        <f t="shared" si="25"/>
        <v>2</v>
      </c>
    </row>
    <row r="501" spans="2:14" hidden="1" x14ac:dyDescent="0.25">
      <c r="B501" s="203"/>
      <c r="C501" s="211"/>
      <c r="D501" s="377" t="s">
        <v>983</v>
      </c>
      <c r="E501" s="217"/>
      <c r="F501" s="312">
        <v>1</v>
      </c>
      <c r="G501" s="521">
        <v>1</v>
      </c>
      <c r="H501" s="522"/>
      <c r="I501" s="523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14'!V144-'MEMORIAL DE CALCULO 10'!K503</f>
        <v>3</v>
      </c>
      <c r="K503" s="81">
        <f>K504</f>
        <v>3</v>
      </c>
      <c r="L503" s="82">
        <f t="shared" si="26"/>
        <v>6</v>
      </c>
      <c r="M503" s="206">
        <v>6</v>
      </c>
      <c r="N503" s="86">
        <f t="shared" si="25"/>
        <v>0</v>
      </c>
    </row>
    <row r="504" spans="2:14" hidden="1" x14ac:dyDescent="0.25">
      <c r="B504" s="203"/>
      <c r="C504" s="211"/>
      <c r="D504" s="377" t="s">
        <v>983</v>
      </c>
      <c r="E504" s="217"/>
      <c r="F504" s="312">
        <v>1</v>
      </c>
      <c r="G504" s="521">
        <v>3</v>
      </c>
      <c r="H504" s="522"/>
      <c r="I504" s="523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14'!V145-'MEMORIAL DE CALCULO 10'!K506</f>
        <v>2</v>
      </c>
      <c r="K506" s="82"/>
      <c r="L506" s="82">
        <f t="shared" si="26"/>
        <v>2</v>
      </c>
      <c r="M506" s="206">
        <v>2</v>
      </c>
      <c r="N506" s="86">
        <f t="shared" si="25"/>
        <v>0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14'!V146-'MEMORIAL DE CALCULO 10'!K509</f>
        <v>2</v>
      </c>
      <c r="K509" s="82"/>
      <c r="L509" s="82">
        <f t="shared" si="26"/>
        <v>2</v>
      </c>
      <c r="M509" s="206">
        <v>2</v>
      </c>
      <c r="N509" s="86">
        <f t="shared" si="25"/>
        <v>0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14'!V147-'MEMORIAL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14'!V148-'MEMORIAL DE CALCULO 10'!K515</f>
        <v>0</v>
      </c>
      <c r="K515" s="82"/>
      <c r="L515" s="82">
        <f t="shared" si="26"/>
        <v>0</v>
      </c>
      <c r="M515" s="206">
        <v>4</v>
      </c>
      <c r="N515" s="86">
        <f t="shared" si="25"/>
        <v>4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14'!V149-'MEMORIAL DE CALCULO 10'!K518</f>
        <v>0</v>
      </c>
      <c r="K518" s="82"/>
      <c r="L518" s="82">
        <f t="shared" si="26"/>
        <v>0</v>
      </c>
      <c r="M518" s="206">
        <v>2</v>
      </c>
      <c r="N518" s="86">
        <f t="shared" si="25"/>
        <v>2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14'!V150-'MEMORIAL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14'!V151-'MEMORIAL DE CALCULO 10'!K524</f>
        <v>7</v>
      </c>
      <c r="K524" s="82"/>
      <c r="L524" s="82">
        <f t="shared" si="26"/>
        <v>7</v>
      </c>
      <c r="M524" s="206">
        <v>7</v>
      </c>
      <c r="N524" s="86">
        <f t="shared" si="25"/>
        <v>0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14'!V152-'MEMORIAL DE CALCULO 10'!K527</f>
        <v>1</v>
      </c>
      <c r="K527" s="82"/>
      <c r="L527" s="82">
        <f t="shared" si="26"/>
        <v>1</v>
      </c>
      <c r="M527" s="206">
        <v>1</v>
      </c>
      <c r="N527" s="86">
        <f t="shared" si="25"/>
        <v>0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14'!V153-'MEMORIAL DE CALCULO 10'!K530</f>
        <v>10</v>
      </c>
      <c r="K530" s="82"/>
      <c r="L530" s="82">
        <f t="shared" si="26"/>
        <v>10</v>
      </c>
      <c r="M530" s="206">
        <v>10</v>
      </c>
      <c r="N530" s="86">
        <f t="shared" si="25"/>
        <v>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14'!V154-'MEMORIAL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7" t="s">
        <v>1004</v>
      </c>
      <c r="E534" s="217"/>
      <c r="F534" s="312">
        <v>1</v>
      </c>
      <c r="G534" s="521">
        <v>38.85</v>
      </c>
      <c r="H534" s="522"/>
      <c r="I534" s="523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14'!V155-'MEMORIAL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7" t="s">
        <v>1004</v>
      </c>
      <c r="E537" s="217"/>
      <c r="F537" s="312">
        <v>1</v>
      </c>
      <c r="G537" s="521">
        <v>46.51</v>
      </c>
      <c r="H537" s="522"/>
      <c r="I537" s="523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14'!V156-'MEMORIAL DE CALCULO 10'!K539</f>
        <v>1</v>
      </c>
      <c r="K539" s="82"/>
      <c r="L539" s="82">
        <f t="shared" si="26"/>
        <v>1</v>
      </c>
      <c r="M539" s="206">
        <v>1</v>
      </c>
      <c r="N539" s="86">
        <f t="shared" si="25"/>
        <v>0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14'!V157-'MEMORIAL DE CALCULO 10'!K542</f>
        <v>66.38000000000001</v>
      </c>
      <c r="K542" s="81">
        <f>K543</f>
        <v>66.385000000000005</v>
      </c>
      <c r="L542" s="82">
        <f t="shared" si="26"/>
        <v>132.76500000000001</v>
      </c>
      <c r="M542" s="206">
        <v>132.77000000000001</v>
      </c>
      <c r="N542" s="86">
        <f t="shared" si="25"/>
        <v>4.9999999999954525E-3</v>
      </c>
    </row>
    <row r="543" spans="2:14" hidden="1" x14ac:dyDescent="0.25">
      <c r="B543" s="203"/>
      <c r="C543" s="211"/>
      <c r="D543" s="377" t="s">
        <v>983</v>
      </c>
      <c r="E543" s="217"/>
      <c r="F543" s="312">
        <v>1</v>
      </c>
      <c r="G543" s="521">
        <f>0.5*132.77</f>
        <v>66.385000000000005</v>
      </c>
      <c r="H543" s="522"/>
      <c r="I543" s="523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14'!V158-'MEMORIAL DE CALCULO 10'!K544</f>
        <v>0</v>
      </c>
      <c r="K544" s="82"/>
      <c r="L544" s="82">
        <f t="shared" si="26"/>
        <v>0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14'!V159-'MEMORIAL DE CALCULO 10'!K547</f>
        <v>-4.2229999999999972</v>
      </c>
      <c r="K547" s="81">
        <f>K548</f>
        <v>12.902999999999999</v>
      </c>
      <c r="L547" s="82">
        <f t="shared" si="26"/>
        <v>8.6800000000000015</v>
      </c>
      <c r="M547" s="206">
        <v>43.01</v>
      </c>
      <c r="N547" s="86"/>
    </row>
    <row r="548" spans="2:14" hidden="1" x14ac:dyDescent="0.25">
      <c r="B548" s="50"/>
      <c r="C548" s="66"/>
      <c r="D548" s="377" t="s">
        <v>984</v>
      </c>
      <c r="E548" s="69"/>
      <c r="F548" s="312">
        <v>1</v>
      </c>
      <c r="G548" s="521">
        <f>0.3*43.01</f>
        <v>12.902999999999999</v>
      </c>
      <c r="H548" s="522"/>
      <c r="I548" s="523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522"/>
      <c r="H578" s="522"/>
      <c r="I578" s="523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1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521">
        <f>65.42</f>
        <v>65.42</v>
      </c>
      <c r="H580" s="524"/>
      <c r="I580" s="105">
        <v>3.1</v>
      </c>
      <c r="J580" s="99"/>
      <c r="K580" s="351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74" t="s">
        <v>836</v>
      </c>
      <c r="H584" s="575"/>
      <c r="I584" s="576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1014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14'!P8</f>
        <v>1020708.1171054498</v>
      </c>
      <c r="I8" s="520"/>
      <c r="J8" s="502" t="s">
        <v>1006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14'!V40-K384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14'!G40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3" t="s">
        <v>1008</v>
      </c>
      <c r="E385" s="64"/>
      <c r="F385" s="94">
        <v>1</v>
      </c>
      <c r="G385" s="526">
        <v>8.8404000000000007</v>
      </c>
      <c r="H385" s="528"/>
      <c r="I385" s="529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2" t="s">
        <v>97</v>
      </c>
      <c r="E386" s="242" t="s">
        <v>17</v>
      </c>
      <c r="F386" s="243"/>
      <c r="G386" s="244"/>
      <c r="H386" s="403"/>
      <c r="I386" s="246"/>
      <c r="J386" s="249">
        <f>'BOLETIM DE MEDIÇÃO 14'!V41-'MEMORIAL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4"/>
      <c r="D387" s="412" t="s">
        <v>1010</v>
      </c>
      <c r="E387" s="242"/>
      <c r="F387" s="243">
        <v>1</v>
      </c>
      <c r="G387" s="549">
        <v>92.376199999999997</v>
      </c>
      <c r="H387" s="595"/>
      <c r="I387" s="591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4"/>
      <c r="D388" s="412" t="s">
        <v>1009</v>
      </c>
      <c r="E388" s="242"/>
      <c r="F388" s="243">
        <v>1</v>
      </c>
      <c r="G388" s="549">
        <v>15.52</v>
      </c>
      <c r="H388" s="590"/>
      <c r="I388" s="591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2" t="s">
        <v>100</v>
      </c>
      <c r="E389" s="242"/>
      <c r="F389" s="243"/>
      <c r="G389" s="394"/>
      <c r="H389" s="242"/>
      <c r="I389" s="406"/>
      <c r="J389" s="249">
        <f>'BOLETIM DE MEDIÇÃO 14'!V42-'MEMORIAL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14'!G42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4"/>
      <c r="D390" s="412" t="s">
        <v>1011</v>
      </c>
      <c r="E390" s="242"/>
      <c r="F390" s="243">
        <v>1</v>
      </c>
      <c r="G390" s="549">
        <f>0.4*88.64</f>
        <v>35.456000000000003</v>
      </c>
      <c r="H390" s="596"/>
      <c r="I390" s="591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4"/>
      <c r="D391" s="412" t="s">
        <v>1012</v>
      </c>
      <c r="E391" s="242"/>
      <c r="F391" s="243">
        <v>1</v>
      </c>
      <c r="G391" s="549">
        <v>22.510300000000001</v>
      </c>
      <c r="H391" s="590"/>
      <c r="I391" s="591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14'!V43-K392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526">
        <v>130.6009</v>
      </c>
      <c r="H393" s="528"/>
      <c r="I393" s="529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521">
        <f>0.4*39.1</f>
        <v>15.64</v>
      </c>
      <c r="H395" s="522"/>
      <c r="I395" s="523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14'!V45-K396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526">
        <v>168.64</v>
      </c>
      <c r="H397" s="528"/>
      <c r="I397" s="529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14'!V46-K398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526">
        <v>11.700799999999999</v>
      </c>
      <c r="H399" s="528"/>
      <c r="I399" s="529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4"/>
      <c r="H400" s="374"/>
      <c r="I400" s="318"/>
      <c r="J400" s="99">
        <f>'BOLETIM DE MEDIÇÃO 14'!V47-K400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14'!G47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526">
        <v>6.6020000000000003</v>
      </c>
      <c r="H401" s="528"/>
      <c r="I401" s="529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14'!V48-'MEMORIAL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1" t="s">
        <v>969</v>
      </c>
      <c r="E403" s="64"/>
      <c r="F403" s="105">
        <v>1</v>
      </c>
      <c r="G403" s="526">
        <v>28.2</v>
      </c>
      <c r="H403" s="528"/>
      <c r="I403" s="529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14'!V49-'MEMORIAL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1" t="s">
        <v>969</v>
      </c>
      <c r="E405" s="64"/>
      <c r="F405" s="105">
        <v>1</v>
      </c>
      <c r="G405" s="526">
        <v>12.9002</v>
      </c>
      <c r="H405" s="528"/>
      <c r="I405" s="529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14'!V50-'MEMORIAL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1" t="s">
        <v>969</v>
      </c>
      <c r="E407" s="64"/>
      <c r="F407" s="105">
        <v>1</v>
      </c>
      <c r="G407" s="526">
        <v>20.100899999999999</v>
      </c>
      <c r="H407" s="528"/>
      <c r="I407" s="529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14'!V51-'MEMORIAL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88">
        <v>10.02003</v>
      </c>
      <c r="H409" s="588"/>
      <c r="I409" s="589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2" t="s">
        <v>71</v>
      </c>
      <c r="E410" s="242" t="s">
        <v>41</v>
      </c>
      <c r="F410" s="246"/>
      <c r="G410" s="249"/>
      <c r="H410" s="403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4"/>
      <c r="D411" s="415" t="s">
        <v>932</v>
      </c>
      <c r="E411" s="242"/>
      <c r="F411" s="243">
        <v>1</v>
      </c>
      <c r="G411" s="588">
        <v>10.02009999</v>
      </c>
      <c r="H411" s="588"/>
      <c r="I411" s="589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2" t="s">
        <v>129</v>
      </c>
      <c r="E412" s="242" t="s">
        <v>62</v>
      </c>
      <c r="F412" s="243"/>
      <c r="G412" s="244"/>
      <c r="H412" s="403"/>
      <c r="I412" s="246"/>
      <c r="J412" s="249">
        <f>'BOLETIM DE MEDIÇÃO 14'!V53-'MEMORIAL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2" t="s">
        <v>969</v>
      </c>
      <c r="E413" s="242"/>
      <c r="F413" s="246">
        <v>1</v>
      </c>
      <c r="G413" s="549">
        <v>94.6</v>
      </c>
      <c r="H413" s="590"/>
      <c r="I413" s="591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3" t="s">
        <v>130</v>
      </c>
      <c r="C414" s="364">
        <v>92772</v>
      </c>
      <c r="D414" s="401" t="s">
        <v>132</v>
      </c>
      <c r="E414" s="366" t="s">
        <v>62</v>
      </c>
      <c r="F414" s="367"/>
      <c r="G414" s="397"/>
      <c r="H414" s="366"/>
      <c r="I414" s="372"/>
      <c r="J414" s="368">
        <f>'BOLETIM DE MEDIÇÃO 14'!V54-'MEMORIAL DE CALCULO 09)'!K414</f>
        <v>154.80000000000001</v>
      </c>
      <c r="K414" s="369"/>
      <c r="L414" s="369">
        <f t="shared" si="0"/>
        <v>154.80000000000001</v>
      </c>
      <c r="M414" s="369">
        <f>'BOLETIM DE MEDIÇÃO 05'!G54</f>
        <v>154.80000000000001</v>
      </c>
      <c r="N414" s="370">
        <f t="shared" si="1"/>
        <v>0</v>
      </c>
      <c r="O414" s="371"/>
    </row>
    <row r="415" spans="2:15" ht="18" hidden="1" customHeight="1" x14ac:dyDescent="0.25">
      <c r="B415" s="363"/>
      <c r="C415" s="364"/>
      <c r="D415" s="365" t="s">
        <v>958</v>
      </c>
      <c r="E415" s="366"/>
      <c r="F415" s="372">
        <v>1</v>
      </c>
      <c r="G415" s="577">
        <v>154.80000000000001</v>
      </c>
      <c r="H415" s="578"/>
      <c r="I415" s="579"/>
      <c r="J415" s="368"/>
      <c r="K415" s="369"/>
      <c r="L415" s="369"/>
      <c r="M415" s="369"/>
      <c r="N415" s="370"/>
      <c r="O415" s="371"/>
    </row>
    <row r="416" spans="2:15" ht="18" hidden="1" customHeight="1" x14ac:dyDescent="0.25">
      <c r="B416" s="363"/>
      <c r="C416" s="364"/>
      <c r="D416" s="365"/>
      <c r="E416" s="366"/>
      <c r="F416" s="372"/>
      <c r="G416" s="388"/>
      <c r="H416" s="388"/>
      <c r="I416" s="389"/>
      <c r="J416" s="368"/>
      <c r="K416" s="369"/>
      <c r="L416" s="369"/>
      <c r="M416" s="369"/>
      <c r="N416" s="370"/>
      <c r="O416" s="371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4"/>
      <c r="H417" s="374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4" t="s">
        <v>135</v>
      </c>
      <c r="C418" s="385">
        <v>103356</v>
      </c>
      <c r="D418" s="386" t="s">
        <v>137</v>
      </c>
      <c r="E418" s="387" t="s">
        <v>17</v>
      </c>
      <c r="F418" s="395"/>
      <c r="G418" s="374"/>
      <c r="H418" s="374"/>
      <c r="I418" s="318"/>
      <c r="J418" s="99">
        <f>'BOLETIM DE MEDIÇÃO 14'!V56-'MEMORIAL DE CALCULO 09)'!K418</f>
        <v>1196.3104999999998</v>
      </c>
      <c r="K418" s="81">
        <f>K419</f>
        <v>46.31</v>
      </c>
      <c r="L418" s="82">
        <f>J418+K418</f>
        <v>1242.6204999999998</v>
      </c>
      <c r="M418" s="82">
        <f>'BOLETIM DE MEDIÇÃO 14'!G56</f>
        <v>1242.6199999999999</v>
      </c>
      <c r="N418" s="86">
        <f>M418-L418</f>
        <v>-4.9999999987448973E-4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526">
        <v>46.31</v>
      </c>
      <c r="H419" s="528"/>
      <c r="I419" s="529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14'!V74-'MEMORIAL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14'!V75-'MEMORIAL DE CALCULO 09)'!K421</f>
        <v>763.67439999999988</v>
      </c>
      <c r="K421" s="81">
        <f>K422</f>
        <v>697.98</v>
      </c>
      <c r="L421" s="82">
        <f t="shared" si="0"/>
        <v>1461.6543999999999</v>
      </c>
      <c r="M421" s="82">
        <f>'BOLETIM DE MEDIÇÃO 05'!G62</f>
        <v>997.11</v>
      </c>
      <c r="N421" s="86">
        <f t="shared" si="1"/>
        <v>-464.54439999999988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526">
        <v>697.98</v>
      </c>
      <c r="H422" s="528"/>
      <c r="I422" s="529"/>
      <c r="J422" s="99">
        <f>'BOLETIM DE MEDIÇÃO 14'!V76-'MEMORIAL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>
        <f>'BOLETIM DE MEDIÇÃO 14'!V77-'MEMORIAL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4"/>
      <c r="H424" s="374"/>
      <c r="I424" s="318"/>
      <c r="J424" s="99">
        <f>'BOLETIM DE MEDIÇÃO 14'!V78-'MEMORIAL DE CALCULO 09)'!K424</f>
        <v>-351.87</v>
      </c>
      <c r="K424" s="81">
        <f>K425</f>
        <v>351.87</v>
      </c>
      <c r="L424" s="82">
        <f>J424+K424</f>
        <v>0</v>
      </c>
      <c r="M424" s="82">
        <f>'BOLETIM DE MEDIÇÃO 14'!G63</f>
        <v>351.87</v>
      </c>
      <c r="N424" s="86">
        <f>M424-L424</f>
        <v>351.87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526">
        <v>351.87</v>
      </c>
      <c r="H425" s="528"/>
      <c r="I425" s="529"/>
      <c r="J425" s="99">
        <f>'BOLETIM DE MEDIÇÃO 14'!V79-'MEMORIAL DE CALCULO 09)'!K425</f>
        <v>-351.87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>
        <f>'BOLETIM DE MEDIÇÃO 14'!V80-'MEMORIAL DE CALCULO 09)'!K426</f>
        <v>0</v>
      </c>
      <c r="K426" s="82"/>
      <c r="L426" s="82"/>
      <c r="M426" s="82"/>
      <c r="N426" s="86"/>
    </row>
    <row r="427" spans="2:14" x14ac:dyDescent="0.25">
      <c r="B427" s="347" t="s">
        <v>208</v>
      </c>
      <c r="C427" s="348" t="s">
        <v>209</v>
      </c>
      <c r="D427" s="344"/>
      <c r="E427" s="64"/>
      <c r="F427" s="105"/>
      <c r="G427" s="374"/>
      <c r="H427" s="374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4"/>
      <c r="H428" s="374"/>
      <c r="I428" s="318"/>
      <c r="J428" s="99">
        <f>'BOLETIM DE MEDIÇÃO 14'!V82-'MEMORIAL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14'!G83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526">
        <v>45.930999999999997</v>
      </c>
      <c r="H429" s="528"/>
      <c r="I429" s="529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5">
        <v>104233</v>
      </c>
      <c r="D430" s="386" t="s">
        <v>215</v>
      </c>
      <c r="E430" s="277" t="s">
        <v>17</v>
      </c>
      <c r="F430" s="105"/>
      <c r="G430" s="416"/>
      <c r="H430" s="390"/>
      <c r="I430" s="417"/>
      <c r="J430" s="99">
        <f>'BOLETIM DE MEDIÇÃO 14'!V83-'MEMORIAL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14'!G83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526">
        <v>187.97049999999999</v>
      </c>
      <c r="H431" s="528"/>
      <c r="I431" s="529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4">
        <v>2.6</v>
      </c>
      <c r="H432" s="374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4">
        <v>0.8</v>
      </c>
      <c r="H433" s="374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4">
        <v>1.5</v>
      </c>
      <c r="H434" s="374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4">
        <v>1</v>
      </c>
      <c r="H435" s="374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4" t="s">
        <v>284</v>
      </c>
      <c r="C437" s="385">
        <v>91834</v>
      </c>
      <c r="D437" s="391" t="s">
        <v>286</v>
      </c>
      <c r="E437" s="245" t="s">
        <v>37</v>
      </c>
      <c r="F437" s="312">
        <v>1</v>
      </c>
      <c r="G437" s="521">
        <v>200</v>
      </c>
      <c r="H437" s="522"/>
      <c r="I437" s="523"/>
      <c r="J437" s="99">
        <f>'BOLETIM DE MEDIÇÃO 14'!V108-'MEMORIAL DE CALCULO 09)'!K437</f>
        <v>630.52</v>
      </c>
      <c r="K437" s="81">
        <f>G437</f>
        <v>200</v>
      </c>
      <c r="L437" s="82">
        <f>J437+K437</f>
        <v>830.52</v>
      </c>
      <c r="M437" s="82">
        <f>'BOLETIM DE MEDIÇÃO 14'!G108</f>
        <v>830.48</v>
      </c>
      <c r="N437" s="86">
        <f>M437-L437</f>
        <v>-3.999999999996362E-2</v>
      </c>
    </row>
    <row r="438" spans="2:14" hidden="1" x14ac:dyDescent="0.25">
      <c r="B438" s="384"/>
      <c r="C438" s="385"/>
      <c r="D438" s="393" t="s">
        <v>1001</v>
      </c>
      <c r="E438" s="245"/>
      <c r="F438" s="312"/>
      <c r="G438" s="383"/>
      <c r="H438" s="392"/>
      <c r="I438" s="318"/>
      <c r="J438" s="99"/>
      <c r="K438" s="81"/>
      <c r="L438" s="82"/>
      <c r="M438" s="82"/>
      <c r="N438" s="86"/>
    </row>
    <row r="439" spans="2:14" ht="33.75" hidden="1" x14ac:dyDescent="0.25">
      <c r="B439" s="384" t="s">
        <v>287</v>
      </c>
      <c r="C439" s="385">
        <v>91868</v>
      </c>
      <c r="D439" s="386" t="s">
        <v>289</v>
      </c>
      <c r="E439" s="245" t="s">
        <v>37</v>
      </c>
      <c r="F439" s="312">
        <v>1</v>
      </c>
      <c r="G439" s="521">
        <v>55.97</v>
      </c>
      <c r="H439" s="522"/>
      <c r="I439" s="523"/>
      <c r="J439" s="99">
        <f>'BOLETIM DE MEDIÇÃO 14'!V109-'MEMORIAL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14'!G109</f>
        <v>55.97</v>
      </c>
      <c r="N439" s="86">
        <f t="shared" ref="N439:N441" si="27">M439-L439</f>
        <v>0</v>
      </c>
    </row>
    <row r="440" spans="2:14" hidden="1" x14ac:dyDescent="0.25">
      <c r="B440" s="384"/>
      <c r="C440" s="385"/>
      <c r="D440" s="393" t="s">
        <v>1001</v>
      </c>
      <c r="E440" s="245"/>
      <c r="F440" s="312"/>
      <c r="G440" s="383"/>
      <c r="H440" s="383"/>
      <c r="I440" s="316"/>
      <c r="J440" s="99"/>
      <c r="K440" s="81"/>
      <c r="L440" s="82"/>
      <c r="M440" s="82"/>
      <c r="N440" s="86"/>
    </row>
    <row r="441" spans="2:14" ht="33.75" hidden="1" x14ac:dyDescent="0.25">
      <c r="B441" s="384" t="s">
        <v>290</v>
      </c>
      <c r="C441" s="385">
        <v>91867</v>
      </c>
      <c r="D441" s="386" t="s">
        <v>292</v>
      </c>
      <c r="E441" s="245" t="s">
        <v>37</v>
      </c>
      <c r="F441" s="312">
        <v>1</v>
      </c>
      <c r="G441" s="521">
        <v>36.19</v>
      </c>
      <c r="H441" s="522"/>
      <c r="I441" s="523"/>
      <c r="J441" s="99">
        <f>'BOLETIM DE MEDIÇÃO 14'!V110-'MEMORIAL DE CALCULO 09)'!K441</f>
        <v>0</v>
      </c>
      <c r="K441" s="81">
        <f>G441</f>
        <v>36.19</v>
      </c>
      <c r="L441" s="82">
        <f>J441+K441</f>
        <v>36.19</v>
      </c>
      <c r="M441" s="82">
        <f>'BOLETIM DE MEDIÇÃO 14'!G110</f>
        <v>36.19</v>
      </c>
      <c r="N441" s="86">
        <f t="shared" si="27"/>
        <v>0</v>
      </c>
    </row>
    <row r="442" spans="2:14" hidden="1" x14ac:dyDescent="0.25">
      <c r="B442" s="384"/>
      <c r="C442" s="385"/>
      <c r="D442" s="393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7" t="s">
        <v>312</v>
      </c>
      <c r="C443" s="349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14'!V119-'MEMORIAL DE CALCULO 09)'!K444</f>
        <v>10.199999999999999</v>
      </c>
      <c r="K444" s="81">
        <f>K445</f>
        <v>21.53</v>
      </c>
      <c r="L444" s="82">
        <f>J444+K444</f>
        <v>31.73</v>
      </c>
      <c r="M444" s="82">
        <f>'BOLETIM DE MEDIÇÃO 14'!G119</f>
        <v>35.340000000000003</v>
      </c>
      <c r="N444" s="86">
        <f>M444-L444</f>
        <v>3.610000000000003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521">
        <v>21.53</v>
      </c>
      <c r="H445" s="522"/>
      <c r="I445" s="523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4" t="s">
        <v>317</v>
      </c>
      <c r="C446" s="385">
        <v>94439</v>
      </c>
      <c r="D446" s="386" t="s">
        <v>319</v>
      </c>
      <c r="E446" s="277" t="s">
        <v>17</v>
      </c>
      <c r="F446" s="312"/>
      <c r="G446" s="121"/>
      <c r="H446" s="70"/>
      <c r="I446" s="105"/>
      <c r="J446" s="99">
        <f>'BOLETIM DE MEDIÇÃO 14'!V120</f>
        <v>636.6</v>
      </c>
      <c r="K446" s="81">
        <f>SUM(K447:K451)</f>
        <v>116.27</v>
      </c>
      <c r="L446" s="82">
        <f t="shared" ref="L446" si="28">J446+K446</f>
        <v>752.87</v>
      </c>
      <c r="M446" s="82">
        <f>'BOLETIM DE MEDIÇÃO 14'!G121</f>
        <v>634.5</v>
      </c>
      <c r="N446" s="86">
        <f>M446-L446</f>
        <v>-118.37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521">
        <v>27</v>
      </c>
      <c r="H447" s="522"/>
      <c r="I447" s="523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521">
        <v>26</v>
      </c>
      <c r="H448" s="522"/>
      <c r="I448" s="523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521">
        <v>30</v>
      </c>
      <c r="H449" s="522"/>
      <c r="I449" s="523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521">
        <v>30</v>
      </c>
      <c r="H450" s="522"/>
      <c r="I450" s="523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521">
        <v>3.27</v>
      </c>
      <c r="H451" s="522"/>
      <c r="I451" s="523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86" t="s">
        <v>368</v>
      </c>
      <c r="D452" s="587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14'!V138-'MEMORIAL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7" t="s">
        <v>1004</v>
      </c>
      <c r="E454" s="217"/>
      <c r="F454" s="312">
        <v>1</v>
      </c>
      <c r="G454" s="521">
        <f>98.77</f>
        <v>98.77</v>
      </c>
      <c r="H454" s="522"/>
      <c r="I454" s="523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14'!V139-'MEMORIAL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7" t="s">
        <v>1004</v>
      </c>
      <c r="E457" s="217"/>
      <c r="F457" s="312">
        <v>1</v>
      </c>
      <c r="G457" s="521">
        <f>62.17</f>
        <v>62.17</v>
      </c>
      <c r="H457" s="522"/>
      <c r="I457" s="523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14'!V140-'MEMORIAL DE CALCULO 09)'!K459</f>
        <v>17.324999999999999</v>
      </c>
      <c r="K459" s="81">
        <f>K460</f>
        <v>7.4249999999999998</v>
      </c>
      <c r="L459" s="82">
        <f t="shared" si="31"/>
        <v>24.75</v>
      </c>
      <c r="M459" s="206">
        <v>24.75</v>
      </c>
      <c r="N459" s="86">
        <f t="shared" si="30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21">
        <f>0.3*24.75</f>
        <v>7.4249999999999998</v>
      </c>
      <c r="H460" s="522"/>
      <c r="I460" s="523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14'!V141-'MEMORIAL DE CALCULO 09)'!K462</f>
        <v>18.144000000000002</v>
      </c>
      <c r="K462" s="81">
        <f>K463</f>
        <v>7.7759999999999998</v>
      </c>
      <c r="L462" s="82">
        <f t="shared" si="31"/>
        <v>25.92</v>
      </c>
      <c r="M462" s="206">
        <v>25.92</v>
      </c>
      <c r="N462" s="86">
        <f t="shared" si="30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21">
        <f>0.3*25.92</f>
        <v>7.7759999999999998</v>
      </c>
      <c r="H463" s="522"/>
      <c r="I463" s="523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14'!V142-'MEMORIAL DE CALCULO 09)'!K465</f>
        <v>7</v>
      </c>
      <c r="K465" s="81">
        <f>K466</f>
        <v>3</v>
      </c>
      <c r="L465" s="82">
        <f t="shared" si="31"/>
        <v>10</v>
      </c>
      <c r="M465" s="206">
        <v>10</v>
      </c>
      <c r="N465" s="86">
        <f t="shared" si="30"/>
        <v>0</v>
      </c>
    </row>
    <row r="466" spans="2:14" hidden="1" x14ac:dyDescent="0.25">
      <c r="B466" s="203"/>
      <c r="C466" s="211"/>
      <c r="D466" s="377" t="s">
        <v>984</v>
      </c>
      <c r="E466" s="217"/>
      <c r="F466" s="312">
        <v>1</v>
      </c>
      <c r="G466" s="521">
        <f>0.3*10</f>
        <v>3</v>
      </c>
      <c r="H466" s="522"/>
      <c r="I466" s="523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14'!V143-'MEMORIAL DE CALCULO 09)'!K468</f>
        <v>-1</v>
      </c>
      <c r="K468" s="81">
        <f>K469</f>
        <v>1</v>
      </c>
      <c r="L468" s="82">
        <f t="shared" si="31"/>
        <v>0</v>
      </c>
      <c r="M468" s="206">
        <v>2</v>
      </c>
      <c r="N468" s="86">
        <f t="shared" si="30"/>
        <v>2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21">
        <v>1</v>
      </c>
      <c r="H469" s="522"/>
      <c r="I469" s="523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14'!V144-'MEMORIAL DE CALCULO 09)'!K471</f>
        <v>3</v>
      </c>
      <c r="K471" s="81">
        <f>K472</f>
        <v>3</v>
      </c>
      <c r="L471" s="82">
        <f t="shared" si="31"/>
        <v>6</v>
      </c>
      <c r="M471" s="206">
        <v>6</v>
      </c>
      <c r="N471" s="86">
        <f t="shared" si="30"/>
        <v>0</v>
      </c>
    </row>
    <row r="472" spans="2:14" hidden="1" x14ac:dyDescent="0.25">
      <c r="B472" s="203"/>
      <c r="C472" s="211"/>
      <c r="D472" s="377" t="s">
        <v>983</v>
      </c>
      <c r="E472" s="217"/>
      <c r="F472" s="312">
        <v>1</v>
      </c>
      <c r="G472" s="521">
        <v>3</v>
      </c>
      <c r="H472" s="522"/>
      <c r="I472" s="523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14'!V145-'MEMORIAL DE CALCULO 09)'!K474</f>
        <v>2</v>
      </c>
      <c r="K474" s="82"/>
      <c r="L474" s="82">
        <f t="shared" si="31"/>
        <v>2</v>
      </c>
      <c r="M474" s="206">
        <v>2</v>
      </c>
      <c r="N474" s="86">
        <f t="shared" si="30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14'!V146-'MEMORIAL DE CALCULO 09)'!K477</f>
        <v>2</v>
      </c>
      <c r="K477" s="82"/>
      <c r="L477" s="82">
        <f t="shared" si="31"/>
        <v>2</v>
      </c>
      <c r="M477" s="206">
        <v>2</v>
      </c>
      <c r="N477" s="86">
        <f t="shared" si="30"/>
        <v>0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14'!V147-'MEMORIAL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14'!V148-'MEMORIAL DE CALCULO 09)'!K483</f>
        <v>0</v>
      </c>
      <c r="K483" s="82"/>
      <c r="L483" s="82">
        <f t="shared" si="31"/>
        <v>0</v>
      </c>
      <c r="M483" s="206">
        <v>4</v>
      </c>
      <c r="N483" s="86">
        <f t="shared" si="30"/>
        <v>4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14'!V149-'MEMORIAL DE CALCULO 09)'!K486</f>
        <v>0</v>
      </c>
      <c r="K486" s="82"/>
      <c r="L486" s="82">
        <f t="shared" si="31"/>
        <v>0</v>
      </c>
      <c r="M486" s="206">
        <v>2</v>
      </c>
      <c r="N486" s="86">
        <f t="shared" si="30"/>
        <v>2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14'!V150-'MEMORIAL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14'!V151-'MEMORIAL DE CALCULO 09)'!K492</f>
        <v>7</v>
      </c>
      <c r="K492" s="82"/>
      <c r="L492" s="82">
        <f t="shared" si="31"/>
        <v>7</v>
      </c>
      <c r="M492" s="206">
        <v>7</v>
      </c>
      <c r="N492" s="86">
        <f t="shared" si="30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14'!V152-'MEMORIAL DE CALCULO 09)'!K495</f>
        <v>1</v>
      </c>
      <c r="K495" s="82"/>
      <c r="L495" s="82">
        <f t="shared" si="31"/>
        <v>1</v>
      </c>
      <c r="M495" s="206">
        <v>1</v>
      </c>
      <c r="N495" s="86">
        <f t="shared" si="30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14'!V153-'MEMORIAL DE CALCULO 09)'!K498</f>
        <v>10</v>
      </c>
      <c r="K498" s="82"/>
      <c r="L498" s="82">
        <f t="shared" si="31"/>
        <v>10</v>
      </c>
      <c r="M498" s="206">
        <v>10</v>
      </c>
      <c r="N498" s="86">
        <f t="shared" si="30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14'!V154-'MEMORIAL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7" t="s">
        <v>1004</v>
      </c>
      <c r="E502" s="217"/>
      <c r="F502" s="312">
        <v>1</v>
      </c>
      <c r="G502" s="521">
        <v>38.85</v>
      </c>
      <c r="H502" s="522"/>
      <c r="I502" s="523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14'!V155-'MEMORIAL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7" t="s">
        <v>1004</v>
      </c>
      <c r="E505" s="217"/>
      <c r="F505" s="312">
        <v>1</v>
      </c>
      <c r="G505" s="521">
        <v>46.51</v>
      </c>
      <c r="H505" s="522"/>
      <c r="I505" s="523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14'!V156-'MEMORIAL DE CALCULO 09)'!K507</f>
        <v>1</v>
      </c>
      <c r="K507" s="82"/>
      <c r="L507" s="82">
        <f t="shared" si="31"/>
        <v>1</v>
      </c>
      <c r="M507" s="206">
        <v>1</v>
      </c>
      <c r="N507" s="86">
        <f t="shared" si="30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14'!V157-'MEMORIAL DE CALCULO 09)'!K510</f>
        <v>66.38000000000001</v>
      </c>
      <c r="K510" s="81">
        <f>K511</f>
        <v>66.385000000000005</v>
      </c>
      <c r="L510" s="82">
        <f t="shared" si="31"/>
        <v>132.76500000000001</v>
      </c>
      <c r="M510" s="206">
        <v>132.77000000000001</v>
      </c>
      <c r="N510" s="86">
        <f t="shared" si="30"/>
        <v>4.9999999999954525E-3</v>
      </c>
    </row>
    <row r="511" spans="2:14" hidden="1" x14ac:dyDescent="0.25">
      <c r="B511" s="203"/>
      <c r="C511" s="211"/>
      <c r="D511" s="377" t="s">
        <v>983</v>
      </c>
      <c r="E511" s="217"/>
      <c r="F511" s="312">
        <v>1</v>
      </c>
      <c r="G511" s="521">
        <f>0.5*132.77</f>
        <v>66.385000000000005</v>
      </c>
      <c r="H511" s="522"/>
      <c r="I511" s="523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14'!V158-'MEMORIAL DE CALCULO 09)'!K512</f>
        <v>0</v>
      </c>
      <c r="K512" s="82"/>
      <c r="L512" s="82">
        <f t="shared" si="31"/>
        <v>0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14'!V159-'MEMORIAL DE CALCULO 09)'!K515</f>
        <v>-4.2229999999999972</v>
      </c>
      <c r="K515" s="81">
        <f>K516</f>
        <v>12.902999999999999</v>
      </c>
      <c r="L515" s="82">
        <f t="shared" si="31"/>
        <v>8.6800000000000015</v>
      </c>
      <c r="M515" s="206">
        <v>43.01</v>
      </c>
      <c r="N515" s="86"/>
    </row>
    <row r="516" spans="2:14" hidden="1" x14ac:dyDescent="0.25">
      <c r="B516" s="50"/>
      <c r="C516" s="66"/>
      <c r="D516" s="377" t="s">
        <v>984</v>
      </c>
      <c r="E516" s="69"/>
      <c r="F516" s="312">
        <v>1</v>
      </c>
      <c r="G516" s="521">
        <f>0.3*43.01</f>
        <v>12.902999999999999</v>
      </c>
      <c r="H516" s="522"/>
      <c r="I516" s="523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522"/>
      <c r="H546" s="522"/>
      <c r="I546" s="523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1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521">
        <f>65.42</f>
        <v>65.42</v>
      </c>
      <c r="H548" s="524"/>
      <c r="I548" s="105">
        <v>3.1</v>
      </c>
      <c r="J548" s="99"/>
      <c r="K548" s="351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74" t="s">
        <v>836</v>
      </c>
      <c r="H552" s="575"/>
      <c r="I552" s="576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993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05'!H8</f>
        <v>274592.67562904983</v>
      </c>
      <c r="I8" s="520"/>
      <c r="J8" s="502" t="s">
        <v>987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2" t="s">
        <v>97</v>
      </c>
      <c r="E384" s="242" t="s">
        <v>17</v>
      </c>
      <c r="F384" s="243"/>
      <c r="G384" s="244"/>
      <c r="H384" s="403"/>
      <c r="I384" s="246"/>
      <c r="J384" s="249">
        <f>'BOLETIM DE MEDIÇÃO 14'!V41-'MEMORIAL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4"/>
      <c r="D385" s="405" t="s">
        <v>1003</v>
      </c>
      <c r="E385" s="242"/>
      <c r="F385" s="243">
        <v>1</v>
      </c>
      <c r="G385" s="549">
        <f>0.1*327.43</f>
        <v>32.743000000000002</v>
      </c>
      <c r="H385" s="595"/>
      <c r="I385" s="591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2" t="s">
        <v>100</v>
      </c>
      <c r="E386" s="242"/>
      <c r="F386" s="243"/>
      <c r="G386" s="394"/>
      <c r="H386" s="242"/>
      <c r="I386" s="406"/>
      <c r="J386" s="249">
        <f>'BOLETIM DE MEDIÇÃO 14'!V42-'MEMORIAL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14'!G42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4"/>
      <c r="D387" s="405" t="s">
        <v>1005</v>
      </c>
      <c r="E387" s="242"/>
      <c r="F387" s="243">
        <v>1</v>
      </c>
      <c r="G387" s="549">
        <f>0.6*88.64</f>
        <v>53.183999999999997</v>
      </c>
      <c r="H387" s="596"/>
      <c r="I387" s="591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3" t="s">
        <v>101</v>
      </c>
      <c r="C388" s="364">
        <v>92759</v>
      </c>
      <c r="D388" s="401" t="s">
        <v>103</v>
      </c>
      <c r="E388" s="366" t="s">
        <v>62</v>
      </c>
      <c r="F388" s="367"/>
      <c r="G388" s="397"/>
      <c r="H388" s="366"/>
      <c r="I388" s="372"/>
      <c r="J388" s="368">
        <f>'BOLETIM DE MEDIÇÃO 05'!O43-'MEMORIAL DE CALCULO 08'!K388</f>
        <v>468.20000000000005</v>
      </c>
      <c r="K388" s="369">
        <f>K389</f>
        <v>214.5</v>
      </c>
      <c r="L388" s="369">
        <f t="shared" si="0"/>
        <v>682.7</v>
      </c>
      <c r="M388" s="369">
        <f>'BOLETIM DE MEDIÇÃO 05'!G43</f>
        <v>1027.8</v>
      </c>
      <c r="N388" s="370">
        <f t="shared" si="1"/>
        <v>345.09999999999991</v>
      </c>
      <c r="O388" s="371"/>
    </row>
    <row r="389" spans="2:15" ht="19.899999999999999" hidden="1" customHeight="1" x14ac:dyDescent="0.25">
      <c r="B389" s="363"/>
      <c r="C389" s="364"/>
      <c r="D389" s="365" t="s">
        <v>968</v>
      </c>
      <c r="E389" s="366"/>
      <c r="F389" s="367">
        <v>1</v>
      </c>
      <c r="G389" s="577">
        <f>0.6*357.5</f>
        <v>214.5</v>
      </c>
      <c r="H389" s="578"/>
      <c r="I389" s="579"/>
      <c r="J389" s="368"/>
      <c r="K389" s="369">
        <f>F389*G389</f>
        <v>214.5</v>
      </c>
      <c r="L389" s="369"/>
      <c r="M389" s="369"/>
      <c r="N389" s="370"/>
      <c r="O389" s="371"/>
    </row>
    <row r="390" spans="2:15" ht="33.6" hidden="1" customHeight="1" x14ac:dyDescent="0.25">
      <c r="B390" s="363" t="s">
        <v>104</v>
      </c>
      <c r="C390" s="364">
        <v>92760</v>
      </c>
      <c r="D390" s="401" t="s">
        <v>106</v>
      </c>
      <c r="E390" s="366" t="s">
        <v>62</v>
      </c>
      <c r="F390" s="367"/>
      <c r="G390" s="397"/>
      <c r="H390" s="366"/>
      <c r="I390" s="372"/>
      <c r="J390" s="368">
        <f>'BOLETIM DE MEDIÇÃO 05'!O44-'MEMORIAL DE CALCULO 08'!K390</f>
        <v>7.82</v>
      </c>
      <c r="K390" s="369">
        <f>K391</f>
        <v>15.64</v>
      </c>
      <c r="L390" s="369">
        <f t="shared" ref="L390" si="19">J390+K390</f>
        <v>23.46</v>
      </c>
      <c r="M390" s="369">
        <f>'BOLETIM DE MEDIÇÃO 05'!G44</f>
        <v>39.1</v>
      </c>
      <c r="N390" s="370">
        <f t="shared" ref="N390" si="20">M390-L390</f>
        <v>15.64</v>
      </c>
      <c r="O390" s="371"/>
    </row>
    <row r="391" spans="2:15" ht="22.9" hidden="1" customHeight="1" x14ac:dyDescent="0.25">
      <c r="B391" s="363"/>
      <c r="C391" s="364"/>
      <c r="D391" s="365" t="s">
        <v>964</v>
      </c>
      <c r="E391" s="366"/>
      <c r="F391" s="367">
        <v>1</v>
      </c>
      <c r="G391" s="600">
        <f>0.4*39.1</f>
        <v>15.64</v>
      </c>
      <c r="H391" s="601"/>
      <c r="I391" s="602"/>
      <c r="J391" s="368"/>
      <c r="K391" s="369">
        <f>F391*G391</f>
        <v>15.64</v>
      </c>
      <c r="L391" s="369"/>
      <c r="M391" s="369"/>
      <c r="N391" s="370"/>
      <c r="O391" s="371"/>
    </row>
    <row r="392" spans="2:15" ht="30.6" hidden="1" customHeight="1" x14ac:dyDescent="0.25">
      <c r="B392" s="363" t="s">
        <v>107</v>
      </c>
      <c r="C392" s="364">
        <v>92761</v>
      </c>
      <c r="D392" s="401" t="s">
        <v>109</v>
      </c>
      <c r="E392" s="366" t="s">
        <v>62</v>
      </c>
      <c r="F392" s="367"/>
      <c r="G392" s="397"/>
      <c r="H392" s="366"/>
      <c r="I392" s="372"/>
      <c r="J392" s="368">
        <f>'BOLETIM DE MEDIÇÃO 05'!O45-'MEMORIAL DE CALCULO 08'!K392</f>
        <v>0</v>
      </c>
      <c r="K392" s="369">
        <f>K393</f>
        <v>415.67999999999995</v>
      </c>
      <c r="L392" s="369">
        <f t="shared" si="0"/>
        <v>415.67999999999995</v>
      </c>
      <c r="M392" s="369">
        <f>'BOLETIM DE MEDIÇÃO 05'!G45</f>
        <v>1000</v>
      </c>
      <c r="N392" s="370">
        <f t="shared" si="1"/>
        <v>584.32000000000005</v>
      </c>
      <c r="O392" s="371"/>
    </row>
    <row r="393" spans="2:15" s="371" customFormat="1" ht="22.9" hidden="1" customHeight="1" x14ac:dyDescent="0.25">
      <c r="B393" s="363"/>
      <c r="C393" s="364"/>
      <c r="D393" s="365" t="s">
        <v>953</v>
      </c>
      <c r="E393" s="366"/>
      <c r="F393" s="367">
        <v>1</v>
      </c>
      <c r="G393" s="577">
        <f>0.6* 692.8</f>
        <v>415.67999999999995</v>
      </c>
      <c r="H393" s="578"/>
      <c r="I393" s="579"/>
      <c r="J393" s="368"/>
      <c r="K393" s="369">
        <f>F393*G393</f>
        <v>415.67999999999995</v>
      </c>
      <c r="L393" s="369"/>
      <c r="M393" s="369"/>
      <c r="N393" s="370"/>
    </row>
    <row r="394" spans="2:15" ht="30.6" hidden="1" customHeight="1" x14ac:dyDescent="0.25">
      <c r="B394" s="363" t="s">
        <v>110</v>
      </c>
      <c r="C394" s="364">
        <v>92762</v>
      </c>
      <c r="D394" s="401" t="s">
        <v>112</v>
      </c>
      <c r="E394" s="366" t="s">
        <v>62</v>
      </c>
      <c r="F394" s="367"/>
      <c r="G394" s="397"/>
      <c r="H394" s="366"/>
      <c r="I394" s="372"/>
      <c r="J394" s="368">
        <f>'BOLETIM DE MEDIÇÃO 05'!O46-'MEMORIAL DE CALCULO 08'!K394</f>
        <v>1180.4000000000001</v>
      </c>
      <c r="K394" s="369">
        <f>K395</f>
        <v>57</v>
      </c>
      <c r="L394" s="369">
        <f t="shared" si="0"/>
        <v>1237.4000000000001</v>
      </c>
      <c r="M394" s="369">
        <f>'BOLETIM DE MEDIÇÃO 05'!G46</f>
        <v>1306.0999999999999</v>
      </c>
      <c r="N394" s="370">
        <f t="shared" si="1"/>
        <v>68.699999999999818</v>
      </c>
      <c r="O394" s="371"/>
    </row>
    <row r="395" spans="2:15" s="371" customFormat="1" ht="19.899999999999999" hidden="1" customHeight="1" x14ac:dyDescent="0.25">
      <c r="B395" s="363"/>
      <c r="C395" s="364"/>
      <c r="D395" s="365" t="s">
        <v>953</v>
      </c>
      <c r="E395" s="366"/>
      <c r="F395" s="372">
        <v>1</v>
      </c>
      <c r="G395" s="577">
        <f>0.6* 95</f>
        <v>57</v>
      </c>
      <c r="H395" s="578"/>
      <c r="I395" s="579"/>
      <c r="J395" s="368"/>
      <c r="K395" s="369">
        <f>F395*G395</f>
        <v>57</v>
      </c>
      <c r="L395" s="369"/>
      <c r="M395" s="369"/>
      <c r="N395" s="370"/>
    </row>
    <row r="396" spans="2:15" ht="33.75" hidden="1" x14ac:dyDescent="0.25">
      <c r="B396" s="363" t="s">
        <v>116</v>
      </c>
      <c r="C396" s="364">
        <v>92768</v>
      </c>
      <c r="D396" s="401" t="s">
        <v>118</v>
      </c>
      <c r="E396" s="366" t="s">
        <v>62</v>
      </c>
      <c r="F396" s="372"/>
      <c r="G396" s="368"/>
      <c r="H396" s="366"/>
      <c r="I396" s="372"/>
      <c r="J396" s="368">
        <f>'BOLETIM DE MEDIÇÃO 14'!V48-'MEMORIAL DE CALCULO 08'!K396</f>
        <v>177.17999999999998</v>
      </c>
      <c r="K396" s="399">
        <f>K397</f>
        <v>28.2</v>
      </c>
      <c r="L396" s="369">
        <f t="shared" si="0"/>
        <v>205.37999999999997</v>
      </c>
      <c r="M396" s="369">
        <f>'BOLETIM DE MEDIÇÃO 05'!G48</f>
        <v>158.69999999999999</v>
      </c>
      <c r="N396" s="370">
        <f t="shared" si="1"/>
        <v>-46.679999999999978</v>
      </c>
      <c r="O396" s="371"/>
    </row>
    <row r="397" spans="2:15" hidden="1" x14ac:dyDescent="0.25">
      <c r="B397" s="363"/>
      <c r="C397" s="364"/>
      <c r="D397" s="400" t="s">
        <v>969</v>
      </c>
      <c r="E397" s="366"/>
      <c r="F397" s="372">
        <v>1</v>
      </c>
      <c r="G397" s="577">
        <v>28.2</v>
      </c>
      <c r="H397" s="578"/>
      <c r="I397" s="579"/>
      <c r="J397" s="368"/>
      <c r="K397" s="369">
        <f>F397*G397</f>
        <v>28.2</v>
      </c>
      <c r="L397" s="369"/>
      <c r="M397" s="369"/>
      <c r="N397" s="370"/>
      <c r="O397" s="371"/>
    </row>
    <row r="398" spans="2:15" ht="33.75" hidden="1" x14ac:dyDescent="0.25">
      <c r="B398" s="363" t="s">
        <v>119</v>
      </c>
      <c r="C398" s="364">
        <v>92769</v>
      </c>
      <c r="D398" s="401" t="s">
        <v>121</v>
      </c>
      <c r="E398" s="366" t="s">
        <v>62</v>
      </c>
      <c r="F398" s="372"/>
      <c r="G398" s="368"/>
      <c r="H398" s="366"/>
      <c r="I398" s="372"/>
      <c r="J398" s="368">
        <f>'BOLETIM DE MEDIÇÃO 14'!V49-'MEMORIAL DE CALCULO 08'!K398</f>
        <v>165.8322</v>
      </c>
      <c r="K398" s="399">
        <f>K399</f>
        <v>12.9</v>
      </c>
      <c r="L398" s="369">
        <f t="shared" si="0"/>
        <v>178.73220000000001</v>
      </c>
      <c r="M398" s="369">
        <f>'BOLETIM DE MEDIÇÃO 05'!G49</f>
        <v>170.5</v>
      </c>
      <c r="N398" s="370">
        <f t="shared" si="1"/>
        <v>-8.232200000000006</v>
      </c>
      <c r="O398" s="371"/>
    </row>
    <row r="399" spans="2:15" hidden="1" x14ac:dyDescent="0.25">
      <c r="B399" s="363"/>
      <c r="C399" s="364"/>
      <c r="D399" s="400" t="s">
        <v>969</v>
      </c>
      <c r="E399" s="366"/>
      <c r="F399" s="372">
        <v>1</v>
      </c>
      <c r="G399" s="577">
        <v>12.9</v>
      </c>
      <c r="H399" s="578"/>
      <c r="I399" s="579"/>
      <c r="J399" s="368"/>
      <c r="K399" s="369">
        <f>F399*G399</f>
        <v>12.9</v>
      </c>
      <c r="L399" s="369"/>
      <c r="M399" s="369"/>
      <c r="N399" s="370"/>
      <c r="O399" s="371"/>
    </row>
    <row r="400" spans="2:15" ht="33.75" hidden="1" x14ac:dyDescent="0.25">
      <c r="B400" s="363" t="s">
        <v>122</v>
      </c>
      <c r="C400" s="364">
        <v>92770</v>
      </c>
      <c r="D400" s="401" t="s">
        <v>124</v>
      </c>
      <c r="E400" s="366" t="s">
        <v>62</v>
      </c>
      <c r="F400" s="372"/>
      <c r="G400" s="368"/>
      <c r="H400" s="366"/>
      <c r="I400" s="372"/>
      <c r="J400" s="368">
        <f>'BOLETIM DE MEDIÇÃO 14'!V50-'MEMORIAL DE CALCULO 08'!K400</f>
        <v>259.0009</v>
      </c>
      <c r="K400" s="399">
        <f>K401</f>
        <v>20.100000000000001</v>
      </c>
      <c r="L400" s="369">
        <f t="shared" si="0"/>
        <v>279.10090000000002</v>
      </c>
      <c r="M400" s="369">
        <f>'BOLETIM DE MEDIÇÃO 05'!G50</f>
        <v>279.10000000000002</v>
      </c>
      <c r="N400" s="370">
        <f t="shared" si="1"/>
        <v>-9.0000000000145519E-4</v>
      </c>
      <c r="O400" s="371"/>
    </row>
    <row r="401" spans="2:15" ht="18" hidden="1" customHeight="1" x14ac:dyDescent="0.25">
      <c r="B401" s="363"/>
      <c r="C401" s="364"/>
      <c r="D401" s="400" t="s">
        <v>969</v>
      </c>
      <c r="E401" s="366"/>
      <c r="F401" s="372">
        <v>1</v>
      </c>
      <c r="G401" s="577">
        <v>20.100000000000001</v>
      </c>
      <c r="H401" s="578"/>
      <c r="I401" s="579"/>
      <c r="J401" s="368"/>
      <c r="K401" s="369">
        <f>F401*G401</f>
        <v>20.100000000000001</v>
      </c>
      <c r="L401" s="369"/>
      <c r="M401" s="369"/>
      <c r="N401" s="370"/>
      <c r="O401" s="371"/>
    </row>
    <row r="402" spans="2:15" ht="33.75" x14ac:dyDescent="0.25">
      <c r="B402" s="247" t="s">
        <v>125</v>
      </c>
      <c r="C402" s="248">
        <v>94966</v>
      </c>
      <c r="D402" s="407" t="s">
        <v>65</v>
      </c>
      <c r="E402" s="242" t="s">
        <v>41</v>
      </c>
      <c r="F402" s="246"/>
      <c r="G402" s="249"/>
      <c r="H402" s="242"/>
      <c r="I402" s="246"/>
      <c r="J402" s="249">
        <f>'BOLETIM DE MEDIÇÃO 14'!V51-'MEMORIAL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5" t="s">
        <v>968</v>
      </c>
      <c r="E403" s="242"/>
      <c r="F403" s="246">
        <v>1</v>
      </c>
      <c r="G403" s="567">
        <f>0.1*21.7</f>
        <v>2.17</v>
      </c>
      <c r="H403" s="567"/>
      <c r="I403" s="568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5" t="s">
        <v>1005</v>
      </c>
      <c r="E404" s="242"/>
      <c r="F404" s="246">
        <v>1</v>
      </c>
      <c r="G404" s="567">
        <f>0.6*9.5</f>
        <v>5.7</v>
      </c>
      <c r="H404" s="567"/>
      <c r="I404" s="568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3"/>
      <c r="C405" s="364"/>
      <c r="D405" s="400" t="s">
        <v>971</v>
      </c>
      <c r="E405" s="366"/>
      <c r="F405" s="372">
        <v>1</v>
      </c>
      <c r="G405" s="597">
        <v>2.48</v>
      </c>
      <c r="H405" s="598"/>
      <c r="I405" s="599"/>
      <c r="J405" s="368"/>
      <c r="K405" s="369">
        <f t="shared" si="21"/>
        <v>2.48</v>
      </c>
      <c r="L405" s="369"/>
      <c r="M405" s="369"/>
      <c r="N405" s="370"/>
      <c r="O405" s="371"/>
    </row>
    <row r="406" spans="2:15" ht="22.5" x14ac:dyDescent="0.25">
      <c r="B406" s="247" t="s">
        <v>126</v>
      </c>
      <c r="C406" s="248">
        <v>103670</v>
      </c>
      <c r="D406" s="402" t="s">
        <v>71</v>
      </c>
      <c r="E406" s="242" t="s">
        <v>41</v>
      </c>
      <c r="F406" s="246"/>
      <c r="G406" s="249"/>
      <c r="H406" s="403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4"/>
      <c r="D407" s="408" t="s">
        <v>932</v>
      </c>
      <c r="E407" s="242"/>
      <c r="F407" s="243">
        <v>1</v>
      </c>
      <c r="G407" s="549">
        <f>K402</f>
        <v>7.87</v>
      </c>
      <c r="H407" s="590"/>
      <c r="I407" s="591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3" t="s">
        <v>127</v>
      </c>
      <c r="C408" s="364">
        <v>92771</v>
      </c>
      <c r="D408" s="396" t="s">
        <v>129</v>
      </c>
      <c r="E408" s="366" t="s">
        <v>62</v>
      </c>
      <c r="F408" s="367"/>
      <c r="G408" s="397"/>
      <c r="H408" s="398"/>
      <c r="I408" s="372"/>
      <c r="J408" s="368">
        <f>'BOLETIM DE MEDIÇÃO 14'!V53-'MEMORIAL DE CALCULO 08'!K408</f>
        <v>406.89999999999992</v>
      </c>
      <c r="K408" s="399"/>
      <c r="L408" s="369">
        <f t="shared" si="0"/>
        <v>406.89999999999992</v>
      </c>
      <c r="M408" s="369">
        <f>'BOLETIM DE MEDIÇÃO 05'!G53</f>
        <v>312.3</v>
      </c>
      <c r="N408" s="370">
        <f t="shared" si="1"/>
        <v>-94.599999999999909</v>
      </c>
      <c r="O408" s="371"/>
    </row>
    <row r="409" spans="2:15" ht="18" hidden="1" customHeight="1" x14ac:dyDescent="0.25">
      <c r="B409" s="363"/>
      <c r="C409" s="364"/>
      <c r="D409" s="400" t="s">
        <v>969</v>
      </c>
      <c r="E409" s="366"/>
      <c r="F409" s="372">
        <v>1</v>
      </c>
      <c r="G409" s="577">
        <v>94.6</v>
      </c>
      <c r="H409" s="578"/>
      <c r="I409" s="579"/>
      <c r="J409" s="368"/>
      <c r="K409" s="369"/>
      <c r="L409" s="369"/>
      <c r="M409" s="369"/>
      <c r="N409" s="370"/>
      <c r="O409" s="371"/>
    </row>
    <row r="410" spans="2:15" ht="33.75" hidden="1" x14ac:dyDescent="0.25">
      <c r="B410" s="363" t="s">
        <v>130</v>
      </c>
      <c r="C410" s="364">
        <v>92772</v>
      </c>
      <c r="D410" s="401" t="s">
        <v>132</v>
      </c>
      <c r="E410" s="366" t="s">
        <v>62</v>
      </c>
      <c r="F410" s="367"/>
      <c r="G410" s="397"/>
      <c r="H410" s="366"/>
      <c r="I410" s="372"/>
      <c r="J410" s="368">
        <f>'BOLETIM DE MEDIÇÃO 14'!V54-'MEMORIAL DE CALCULO 08'!K410</f>
        <v>154.80000000000001</v>
      </c>
      <c r="K410" s="369"/>
      <c r="L410" s="369">
        <f t="shared" si="0"/>
        <v>154.80000000000001</v>
      </c>
      <c r="M410" s="369">
        <f>'BOLETIM DE MEDIÇÃO 05'!G54</f>
        <v>154.80000000000001</v>
      </c>
      <c r="N410" s="370">
        <f t="shared" si="1"/>
        <v>0</v>
      </c>
      <c r="O410" s="371"/>
    </row>
    <row r="411" spans="2:15" ht="18" hidden="1" customHeight="1" x14ac:dyDescent="0.25">
      <c r="B411" s="363"/>
      <c r="C411" s="364"/>
      <c r="D411" s="365" t="s">
        <v>958</v>
      </c>
      <c r="E411" s="366"/>
      <c r="F411" s="372">
        <v>1</v>
      </c>
      <c r="G411" s="577">
        <v>154.80000000000001</v>
      </c>
      <c r="H411" s="578"/>
      <c r="I411" s="579"/>
      <c r="J411" s="368"/>
      <c r="K411" s="369"/>
      <c r="L411" s="369"/>
      <c r="M411" s="369"/>
      <c r="N411" s="370"/>
      <c r="O411" s="371"/>
    </row>
    <row r="412" spans="2:15" ht="18" hidden="1" customHeight="1" x14ac:dyDescent="0.25">
      <c r="B412" s="363"/>
      <c r="C412" s="364"/>
      <c r="D412" s="365"/>
      <c r="E412" s="366"/>
      <c r="F412" s="372"/>
      <c r="G412" s="388"/>
      <c r="H412" s="388"/>
      <c r="I412" s="389"/>
      <c r="J412" s="368"/>
      <c r="K412" s="369"/>
      <c r="L412" s="369"/>
      <c r="M412" s="369"/>
      <c r="N412" s="370"/>
      <c r="O412" s="371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4"/>
      <c r="H413" s="374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4" t="s">
        <v>135</v>
      </c>
      <c r="C414" s="385">
        <v>103356</v>
      </c>
      <c r="D414" s="386" t="s">
        <v>137</v>
      </c>
      <c r="E414" s="387" t="s">
        <v>17</v>
      </c>
      <c r="F414" s="395"/>
      <c r="G414" s="374"/>
      <c r="H414" s="374"/>
      <c r="I414" s="318"/>
      <c r="J414" s="99">
        <f>'BOLETIM DE MEDIÇÃO 14'!V56-'MEMORIAL DE CALCULO 08'!K414</f>
        <v>1003.7804999999997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526">
        <v>238.84</v>
      </c>
      <c r="H415" s="528"/>
      <c r="I415" s="529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14'!V74-'MEMORIAL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14'!V75-'MEMORIAL DE CALCULO 08'!K417</f>
        <v>763.67439999999988</v>
      </c>
      <c r="K417" s="81">
        <f>K418</f>
        <v>697.98</v>
      </c>
      <c r="L417" s="82">
        <f t="shared" si="0"/>
        <v>1461.6543999999999</v>
      </c>
      <c r="M417" s="82">
        <f>'BOLETIM DE MEDIÇÃO 05'!G62</f>
        <v>997.11</v>
      </c>
      <c r="N417" s="86">
        <f t="shared" si="1"/>
        <v>-464.54439999999988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526">
        <v>697.98</v>
      </c>
      <c r="H418" s="528"/>
      <c r="I418" s="529"/>
      <c r="J418" s="99">
        <f>'BOLETIM DE MEDIÇÃO 14'!V76-'MEMORIAL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4"/>
      <c r="H419" s="374"/>
      <c r="I419" s="318"/>
      <c r="J419" s="99">
        <f>'BOLETIM DE MEDIÇÃO 14'!V77-'MEMORIAL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4"/>
      <c r="H420" s="374"/>
      <c r="I420" s="318"/>
      <c r="J420" s="99">
        <f>'BOLETIM DE MEDIÇÃO 14'!V78-'MEMORIAL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14'!G63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526">
        <v>351.87</v>
      </c>
      <c r="H421" s="528"/>
      <c r="I421" s="529"/>
      <c r="J421" s="99">
        <f>'BOLETIM DE MEDIÇÃO 14'!V79-'MEMORIAL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4"/>
      <c r="H422" s="374"/>
      <c r="I422" s="318"/>
      <c r="J422" s="99">
        <f>'BOLETIM DE MEDIÇÃO 14'!V80-'MEMORIAL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4"/>
      <c r="H424" s="374"/>
      <c r="I424" s="318"/>
      <c r="J424" s="99">
        <f>'BOLETIM DE MEDIÇÃO 14'!V82-'MEMORIAL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14'!G83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526">
        <v>100</v>
      </c>
      <c r="H425" s="528"/>
      <c r="I425" s="529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5">
        <v>104233</v>
      </c>
      <c r="D427" s="386" t="s">
        <v>215</v>
      </c>
      <c r="E427" s="277" t="s">
        <v>17</v>
      </c>
      <c r="F427" s="105"/>
      <c r="G427" s="374"/>
      <c r="H427" s="374"/>
      <c r="I427" s="318"/>
      <c r="J427" s="99">
        <f>'BOLETIM DE MEDIÇÃO 14'!V83-'MEMORIAL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3">
        <f>0.6*116</f>
        <v>69.599999999999994</v>
      </c>
      <c r="H428" s="390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4">
        <v>2.6</v>
      </c>
      <c r="H429" s="374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4">
        <v>0.8</v>
      </c>
      <c r="H430" s="374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4">
        <v>1.5</v>
      </c>
      <c r="H431" s="374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4">
        <v>1</v>
      </c>
      <c r="H432" s="374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4" t="s">
        <v>284</v>
      </c>
      <c r="C434" s="385">
        <v>91834</v>
      </c>
      <c r="D434" s="391" t="s">
        <v>286</v>
      </c>
      <c r="E434" s="245" t="s">
        <v>37</v>
      </c>
      <c r="F434" s="312">
        <v>1</v>
      </c>
      <c r="G434" s="521">
        <v>200</v>
      </c>
      <c r="H434" s="522"/>
      <c r="I434" s="523"/>
      <c r="J434" s="99">
        <f>'BOLETIM DE MEDIÇÃO 14'!V108-'MEMORIAL DE CALCULO 08'!K434</f>
        <v>630.52</v>
      </c>
      <c r="K434" s="81">
        <f>G434</f>
        <v>200</v>
      </c>
      <c r="L434" s="82">
        <f>J434+K434</f>
        <v>830.52</v>
      </c>
      <c r="M434" s="82">
        <f>'BOLETIM DE MEDIÇÃO 14'!G108</f>
        <v>830.48</v>
      </c>
      <c r="N434" s="86">
        <f>M434-L434</f>
        <v>-3.999999999996362E-2</v>
      </c>
    </row>
    <row r="435" spans="2:14" x14ac:dyDescent="0.25">
      <c r="B435" s="384"/>
      <c r="C435" s="385"/>
      <c r="D435" s="393" t="s">
        <v>1001</v>
      </c>
      <c r="E435" s="245"/>
      <c r="F435" s="312"/>
      <c r="G435" s="383"/>
      <c r="H435" s="392"/>
      <c r="I435" s="318"/>
      <c r="J435" s="99"/>
      <c r="K435" s="81"/>
      <c r="L435" s="82"/>
      <c r="M435" s="82"/>
      <c r="N435" s="86"/>
    </row>
    <row r="436" spans="2:14" ht="33.75" x14ac:dyDescent="0.25">
      <c r="B436" s="384" t="s">
        <v>287</v>
      </c>
      <c r="C436" s="385">
        <v>91868</v>
      </c>
      <c r="D436" s="386" t="s">
        <v>289</v>
      </c>
      <c r="E436" s="245" t="s">
        <v>37</v>
      </c>
      <c r="F436" s="312">
        <v>1</v>
      </c>
      <c r="G436" s="521">
        <v>55.97</v>
      </c>
      <c r="H436" s="522"/>
      <c r="I436" s="523"/>
      <c r="J436" s="99">
        <f>'BOLETIM DE MEDIÇÃO 14'!V109-'MEMORIAL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14'!G109</f>
        <v>55.97</v>
      </c>
      <c r="N436" s="86">
        <f t="shared" ref="N436:N438" si="25">M436-L436</f>
        <v>0</v>
      </c>
    </row>
    <row r="437" spans="2:14" x14ac:dyDescent="0.25">
      <c r="B437" s="384"/>
      <c r="C437" s="385"/>
      <c r="D437" s="393" t="s">
        <v>1001</v>
      </c>
      <c r="E437" s="245"/>
      <c r="F437" s="312"/>
      <c r="G437" s="383"/>
      <c r="H437" s="383"/>
      <c r="I437" s="316"/>
      <c r="J437" s="99"/>
      <c r="K437" s="81"/>
      <c r="L437" s="82"/>
      <c r="M437" s="82"/>
      <c r="N437" s="86"/>
    </row>
    <row r="438" spans="2:14" ht="33.75" x14ac:dyDescent="0.25">
      <c r="B438" s="384" t="s">
        <v>290</v>
      </c>
      <c r="C438" s="385">
        <v>91867</v>
      </c>
      <c r="D438" s="386" t="s">
        <v>292</v>
      </c>
      <c r="E438" s="245" t="s">
        <v>37</v>
      </c>
      <c r="F438" s="312">
        <v>1</v>
      </c>
      <c r="G438" s="521">
        <v>36.19</v>
      </c>
      <c r="H438" s="522"/>
      <c r="I438" s="523"/>
      <c r="J438" s="99">
        <f>'BOLETIM DE MEDIÇÃO 14'!V110-'MEMORIAL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14'!G110</f>
        <v>36.19</v>
      </c>
      <c r="N438" s="86">
        <f t="shared" si="25"/>
        <v>0</v>
      </c>
    </row>
    <row r="439" spans="2:14" x14ac:dyDescent="0.25">
      <c r="B439" s="384"/>
      <c r="C439" s="385"/>
      <c r="D439" s="393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14'!V119-'MEMORIAL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14'!G119</f>
        <v>35.340000000000003</v>
      </c>
      <c r="N441" s="86">
        <f>M441-L441</f>
        <v>3.610000000000003</v>
      </c>
    </row>
    <row r="442" spans="2:14" x14ac:dyDescent="0.25">
      <c r="B442" s="50"/>
      <c r="C442" s="66"/>
      <c r="D442" s="187" t="s">
        <v>994</v>
      </c>
      <c r="E442" s="69"/>
      <c r="F442" s="312"/>
      <c r="G442" s="521">
        <v>21.53</v>
      </c>
      <c r="H442" s="522"/>
      <c r="I442" s="523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4" t="s">
        <v>317</v>
      </c>
      <c r="C443" s="385">
        <v>94439</v>
      </c>
      <c r="D443" s="386" t="s">
        <v>319</v>
      </c>
      <c r="E443" s="277" t="s">
        <v>17</v>
      </c>
      <c r="F443" s="312"/>
      <c r="G443" s="121"/>
      <c r="H443" s="70"/>
      <c r="I443" s="105"/>
      <c r="J443" s="99">
        <f>'BOLETIM DE MEDIÇÃO 14'!V120</f>
        <v>636.6</v>
      </c>
      <c r="K443" s="81">
        <f>SUM(K444:K448)</f>
        <v>116.27</v>
      </c>
      <c r="L443" s="82">
        <f t="shared" ref="L443" si="26">J443+K443</f>
        <v>752.87</v>
      </c>
      <c r="M443" s="82">
        <f>'BOLETIM DE MEDIÇÃO 14'!G121</f>
        <v>634.5</v>
      </c>
      <c r="N443" s="86">
        <f>M443-L443</f>
        <v>-118.37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521">
        <v>27</v>
      </c>
      <c r="H444" s="522"/>
      <c r="I444" s="523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521">
        <v>26</v>
      </c>
      <c r="H445" s="522"/>
      <c r="I445" s="523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521">
        <v>30</v>
      </c>
      <c r="H446" s="522"/>
      <c r="I446" s="523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521">
        <v>30</v>
      </c>
      <c r="H447" s="522"/>
      <c r="I447" s="523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521">
        <v>3.27</v>
      </c>
      <c r="H448" s="522"/>
      <c r="I448" s="523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86" t="s">
        <v>368</v>
      </c>
      <c r="D449" s="587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14'!V138-'MEMORIAL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7" t="s">
        <v>1004</v>
      </c>
      <c r="E451" s="217"/>
      <c r="F451" s="312">
        <v>1</v>
      </c>
      <c r="G451" s="521">
        <f>98.77</f>
        <v>98.77</v>
      </c>
      <c r="H451" s="522"/>
      <c r="I451" s="523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14'!V139-'MEMORIAL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7" t="s">
        <v>1004</v>
      </c>
      <c r="E454" s="217"/>
      <c r="F454" s="312">
        <v>1</v>
      </c>
      <c r="G454" s="521">
        <f>62.17</f>
        <v>62.17</v>
      </c>
      <c r="H454" s="522"/>
      <c r="I454" s="523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14'!V140-'MEMORIAL DE CALCULO 08'!K456</f>
        <v>17.324999999999999</v>
      </c>
      <c r="K456" s="81">
        <f>K457</f>
        <v>7.4249999999999998</v>
      </c>
      <c r="L456" s="82">
        <f t="shared" si="29"/>
        <v>24.75</v>
      </c>
      <c r="M456" s="206">
        <v>24.75</v>
      </c>
      <c r="N456" s="86">
        <f t="shared" si="28"/>
        <v>0</v>
      </c>
    </row>
    <row r="457" spans="2:14" hidden="1" x14ac:dyDescent="0.25">
      <c r="B457" s="203"/>
      <c r="C457" s="211"/>
      <c r="D457" s="377" t="s">
        <v>984</v>
      </c>
      <c r="E457" s="217"/>
      <c r="F457" s="312">
        <v>1</v>
      </c>
      <c r="G457" s="521">
        <f>0.3*24.75</f>
        <v>7.4249999999999998</v>
      </c>
      <c r="H457" s="522"/>
      <c r="I457" s="523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14'!V141-'MEMORIAL DE CALCULO 08'!K459</f>
        <v>18.144000000000002</v>
      </c>
      <c r="K459" s="81">
        <f>K460</f>
        <v>7.7759999999999998</v>
      </c>
      <c r="L459" s="82">
        <f t="shared" si="29"/>
        <v>25.92</v>
      </c>
      <c r="M459" s="206">
        <v>25.92</v>
      </c>
      <c r="N459" s="86">
        <f t="shared" si="28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21">
        <f>0.3*25.92</f>
        <v>7.7759999999999998</v>
      </c>
      <c r="H460" s="522"/>
      <c r="I460" s="523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14'!V142-'MEMORIAL DE CALCULO 08'!K462</f>
        <v>7</v>
      </c>
      <c r="K462" s="81">
        <f>K463</f>
        <v>3</v>
      </c>
      <c r="L462" s="82">
        <f t="shared" si="29"/>
        <v>10</v>
      </c>
      <c r="M462" s="206">
        <v>10</v>
      </c>
      <c r="N462" s="86">
        <f t="shared" si="28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21">
        <f>0.3*10</f>
        <v>3</v>
      </c>
      <c r="H463" s="522"/>
      <c r="I463" s="523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14'!V143-'MEMORIAL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77" t="s">
        <v>983</v>
      </c>
      <c r="E466" s="217"/>
      <c r="F466" s="312">
        <v>1</v>
      </c>
      <c r="G466" s="521">
        <v>1</v>
      </c>
      <c r="H466" s="522"/>
      <c r="I466" s="523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14'!V144-'MEMORIAL DE CALCULO 08'!K468</f>
        <v>3</v>
      </c>
      <c r="K468" s="81">
        <f>K469</f>
        <v>3</v>
      </c>
      <c r="L468" s="82">
        <f t="shared" si="29"/>
        <v>6</v>
      </c>
      <c r="M468" s="206">
        <v>6</v>
      </c>
      <c r="N468" s="86">
        <f t="shared" si="28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21">
        <v>3</v>
      </c>
      <c r="H469" s="522"/>
      <c r="I469" s="523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14'!V145-'MEMORIAL DE CALCULO 08'!K471</f>
        <v>2</v>
      </c>
      <c r="K471" s="82"/>
      <c r="L471" s="82">
        <f t="shared" si="29"/>
        <v>2</v>
      </c>
      <c r="M471" s="206">
        <v>2</v>
      </c>
      <c r="N471" s="86">
        <f t="shared" si="28"/>
        <v>0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14'!V146-'MEMORIAL DE CALCULO 08'!K474</f>
        <v>2</v>
      </c>
      <c r="K474" s="82"/>
      <c r="L474" s="82">
        <f t="shared" si="29"/>
        <v>2</v>
      </c>
      <c r="M474" s="206">
        <v>2</v>
      </c>
      <c r="N474" s="86">
        <f t="shared" si="28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14'!V147-'MEMORIAL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14'!V148-'MEMORIAL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14'!V149-'MEMORIAL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14'!V150-'MEMORIAL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14'!V151-'MEMORIAL DE CALCULO 08'!K489</f>
        <v>7</v>
      </c>
      <c r="K489" s="82"/>
      <c r="L489" s="82">
        <f t="shared" si="29"/>
        <v>7</v>
      </c>
      <c r="M489" s="206">
        <v>7</v>
      </c>
      <c r="N489" s="86">
        <f t="shared" si="28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14'!V152-'MEMORIAL DE CALCULO 08'!K492</f>
        <v>1</v>
      </c>
      <c r="K492" s="82"/>
      <c r="L492" s="82">
        <f t="shared" si="29"/>
        <v>1</v>
      </c>
      <c r="M492" s="206">
        <v>1</v>
      </c>
      <c r="N492" s="86">
        <f t="shared" si="28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14'!V153-'MEMORIAL DE CALCULO 08'!K495</f>
        <v>10</v>
      </c>
      <c r="K495" s="82"/>
      <c r="L495" s="82">
        <f t="shared" si="29"/>
        <v>10</v>
      </c>
      <c r="M495" s="206">
        <v>10</v>
      </c>
      <c r="N495" s="86">
        <f t="shared" si="28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14'!V154-'MEMORIAL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7" t="s">
        <v>1004</v>
      </c>
      <c r="E499" s="217"/>
      <c r="F499" s="312">
        <v>1</v>
      </c>
      <c r="G499" s="521">
        <v>38.85</v>
      </c>
      <c r="H499" s="522"/>
      <c r="I499" s="523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14'!V155-'MEMORIAL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7" t="s">
        <v>1004</v>
      </c>
      <c r="E502" s="217"/>
      <c r="F502" s="312">
        <v>1</v>
      </c>
      <c r="G502" s="521">
        <v>46.51</v>
      </c>
      <c r="H502" s="522"/>
      <c r="I502" s="523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14'!V156-'MEMORIAL DE CALCULO 08'!K504</f>
        <v>1</v>
      </c>
      <c r="K504" s="82"/>
      <c r="L504" s="82">
        <f t="shared" si="29"/>
        <v>1</v>
      </c>
      <c r="M504" s="206">
        <v>1</v>
      </c>
      <c r="N504" s="86">
        <f t="shared" si="28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14'!V157-'MEMORIAL DE CALCULO 08'!K507</f>
        <v>66.38000000000001</v>
      </c>
      <c r="K507" s="81">
        <f>K508</f>
        <v>66.385000000000005</v>
      </c>
      <c r="L507" s="82">
        <f t="shared" si="29"/>
        <v>132.76500000000001</v>
      </c>
      <c r="M507" s="206">
        <v>132.77000000000001</v>
      </c>
      <c r="N507" s="86">
        <f t="shared" si="28"/>
        <v>4.9999999999954525E-3</v>
      </c>
    </row>
    <row r="508" spans="2:14" x14ac:dyDescent="0.25">
      <c r="B508" s="203"/>
      <c r="C508" s="211"/>
      <c r="D508" s="377" t="s">
        <v>983</v>
      </c>
      <c r="E508" s="217"/>
      <c r="F508" s="312">
        <v>1</v>
      </c>
      <c r="G508" s="521">
        <f>0.5*132.77</f>
        <v>66.385000000000005</v>
      </c>
      <c r="H508" s="522"/>
      <c r="I508" s="523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14'!V158-'MEMORIAL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14'!V159-'MEMORIAL DE CALCULO 08'!K513</f>
        <v>-4.2229999999999972</v>
      </c>
      <c r="K513" s="81">
        <f>K514</f>
        <v>12.902999999999999</v>
      </c>
      <c r="L513" s="82">
        <f t="shared" si="29"/>
        <v>8.6800000000000015</v>
      </c>
      <c r="M513" s="206">
        <v>43.01</v>
      </c>
      <c r="N513" s="86"/>
    </row>
    <row r="514" spans="2:14" hidden="1" x14ac:dyDescent="0.25">
      <c r="B514" s="50"/>
      <c r="C514" s="66"/>
      <c r="D514" s="377" t="s">
        <v>984</v>
      </c>
      <c r="E514" s="69"/>
      <c r="F514" s="312">
        <v>1</v>
      </c>
      <c r="G514" s="521">
        <f>0.3*43.01</f>
        <v>12.902999999999999</v>
      </c>
      <c r="H514" s="522"/>
      <c r="I514" s="523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522"/>
      <c r="H544" s="522"/>
      <c r="I544" s="523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1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521">
        <f>65.42</f>
        <v>65.42</v>
      </c>
      <c r="H546" s="524"/>
      <c r="I546" s="105">
        <v>3.1</v>
      </c>
      <c r="J546" s="99"/>
      <c r="K546" s="351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74" t="s">
        <v>836</v>
      </c>
      <c r="H550" s="575"/>
      <c r="I550" s="576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9" t="s">
        <v>986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05'!H8</f>
        <v>274592.67562904983</v>
      </c>
      <c r="I8" s="520"/>
      <c r="J8" s="502" t="s">
        <v>965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14'!V41-'MEMORIAL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526">
        <v>32.747</v>
      </c>
      <c r="H385" s="528"/>
      <c r="I385" s="529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3"/>
      <c r="H386" s="374"/>
      <c r="I386" s="318"/>
      <c r="J386" s="99">
        <f>'BOLETIM DE MEDIÇÃO 14'!V42-'MEMORIAL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14'!G42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526">
        <v>88.64</v>
      </c>
      <c r="H387" s="528"/>
      <c r="I387" s="529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3"/>
      <c r="H388" s="374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526">
        <f>0.6*357.5</f>
        <v>214.5</v>
      </c>
      <c r="H390" s="528"/>
      <c r="I390" s="529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521">
        <f>0.4*39.1</f>
        <v>15.64</v>
      </c>
      <c r="H392" s="522"/>
      <c r="I392" s="523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1" customFormat="1" ht="22.9" hidden="1" customHeight="1" x14ac:dyDescent="0.25">
      <c r="B394" s="363"/>
      <c r="C394" s="364"/>
      <c r="D394" s="365" t="s">
        <v>953</v>
      </c>
      <c r="E394" s="366"/>
      <c r="F394" s="367">
        <v>1</v>
      </c>
      <c r="G394" s="577">
        <f>0.6* 692.8</f>
        <v>415.67999999999995</v>
      </c>
      <c r="H394" s="578"/>
      <c r="I394" s="579"/>
      <c r="J394" s="368"/>
      <c r="K394" s="369">
        <f>F394*G394</f>
        <v>415.67999999999995</v>
      </c>
      <c r="L394" s="369"/>
      <c r="M394" s="369"/>
      <c r="N394" s="370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1" customFormat="1" ht="19.899999999999999" hidden="1" customHeight="1" x14ac:dyDescent="0.25">
      <c r="B396" s="363"/>
      <c r="C396" s="364"/>
      <c r="D396" s="365" t="s">
        <v>953</v>
      </c>
      <c r="E396" s="366"/>
      <c r="F396" s="372">
        <v>1</v>
      </c>
      <c r="G396" s="577">
        <f>0.6* 95</f>
        <v>57</v>
      </c>
      <c r="H396" s="578"/>
      <c r="I396" s="579"/>
      <c r="J396" s="368"/>
      <c r="K396" s="369">
        <f>F396*G396</f>
        <v>57</v>
      </c>
      <c r="L396" s="369"/>
      <c r="M396" s="369"/>
      <c r="N396" s="370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14'!V48-'MEMORIAL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526">
        <v>28.2</v>
      </c>
      <c r="H398" s="528"/>
      <c r="I398" s="529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14'!V49-'MEMORIAL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526">
        <v>12.9</v>
      </c>
      <c r="H400" s="528"/>
      <c r="I400" s="529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14'!V50-'MEMORIAL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526">
        <v>20.100000000000001</v>
      </c>
      <c r="H402" s="528"/>
      <c r="I402" s="529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14'!V51-'MEMORIAL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67">
        <v>4.84</v>
      </c>
      <c r="H404" s="567"/>
      <c r="I404" s="568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67">
        <v>9.5</v>
      </c>
      <c r="H405" s="567"/>
      <c r="I405" s="568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66">
        <v>2.48</v>
      </c>
      <c r="H406" s="567"/>
      <c r="I406" s="568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526">
        <f>K403</f>
        <v>4.84</v>
      </c>
      <c r="H408" s="528"/>
      <c r="I408" s="529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14'!V53-'MEMORIAL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526">
        <v>94.6</v>
      </c>
      <c r="H410" s="528"/>
      <c r="I410" s="529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526">
        <v>154.80000000000001</v>
      </c>
      <c r="H412" s="528"/>
      <c r="I412" s="529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526">
        <v>697.98</v>
      </c>
      <c r="H415" s="528"/>
      <c r="I415" s="529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4"/>
      <c r="H416" s="374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4"/>
      <c r="H417" s="374"/>
      <c r="I417" s="318"/>
      <c r="J417" s="99">
        <f>'BOLETIM DE MEDIÇÃO 14'!V63-'MEMORIAL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14'!G63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526">
        <v>351.87</v>
      </c>
      <c r="H418" s="528"/>
      <c r="I418" s="529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4"/>
      <c r="H419" s="374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4"/>
      <c r="H420" s="374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4"/>
      <c r="H421" s="374"/>
      <c r="I421" s="318"/>
      <c r="J421" s="99">
        <f>'BOLETIM DE MEDIÇÃO 14'!V82-'MEMORIAL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14'!G83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526">
        <v>320.44</v>
      </c>
      <c r="H422" s="528"/>
      <c r="I422" s="529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521">
        <v>150</v>
      </c>
      <c r="H426" s="522"/>
      <c r="I426" s="523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14'!V119-'MEMORIAL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14'!G119</f>
        <v>35.340000000000003</v>
      </c>
      <c r="N432" s="86">
        <f>M432-L432</f>
        <v>3.6100000000000065</v>
      </c>
    </row>
    <row r="433" spans="2:14" x14ac:dyDescent="0.25">
      <c r="B433" s="50"/>
      <c r="C433" s="66"/>
      <c r="D433" s="187" t="s">
        <v>976</v>
      </c>
      <c r="E433" s="69"/>
      <c r="F433" s="312"/>
      <c r="G433" s="521" t="s">
        <v>838</v>
      </c>
      <c r="H433" s="524"/>
      <c r="I433" s="376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5" t="s">
        <v>977</v>
      </c>
      <c r="E434" s="69"/>
      <c r="F434" s="312">
        <v>1</v>
      </c>
      <c r="G434" s="521">
        <v>9</v>
      </c>
      <c r="H434" s="522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5" t="s">
        <v>840</v>
      </c>
      <c r="E435" s="69"/>
      <c r="F435" s="97">
        <v>1</v>
      </c>
      <c r="G435" s="521">
        <v>7</v>
      </c>
      <c r="H435" s="524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5" t="s">
        <v>978</v>
      </c>
      <c r="E436" s="69"/>
      <c r="F436" s="97">
        <v>1</v>
      </c>
      <c r="G436" s="521">
        <v>3</v>
      </c>
      <c r="H436" s="524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5" t="s">
        <v>841</v>
      </c>
      <c r="E437" s="69"/>
      <c r="F437" s="97">
        <v>1</v>
      </c>
      <c r="G437" s="521">
        <v>21</v>
      </c>
      <c r="H437" s="524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5" t="s">
        <v>849</v>
      </c>
      <c r="E438" s="69"/>
      <c r="F438" s="312">
        <v>1</v>
      </c>
      <c r="G438" s="522">
        <v>19</v>
      </c>
      <c r="H438" s="524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5" t="s">
        <v>979</v>
      </c>
      <c r="E439" s="69"/>
      <c r="F439" s="97">
        <v>1</v>
      </c>
      <c r="G439" s="521">
        <v>19</v>
      </c>
      <c r="H439" s="524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5" t="s">
        <v>980</v>
      </c>
      <c r="E440" s="69"/>
      <c r="F440" s="312">
        <v>1</v>
      </c>
      <c r="G440" s="522">
        <v>46</v>
      </c>
      <c r="H440" s="524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5" t="s">
        <v>846</v>
      </c>
      <c r="E441" s="69"/>
      <c r="F441" s="312">
        <v>1</v>
      </c>
      <c r="G441" s="521">
        <v>27</v>
      </c>
      <c r="H441" s="522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5" t="s">
        <v>842</v>
      </c>
      <c r="E442" s="69"/>
      <c r="F442" s="312">
        <v>1</v>
      </c>
      <c r="G442" s="521">
        <v>26</v>
      </c>
      <c r="H442" s="522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5" t="s">
        <v>847</v>
      </c>
      <c r="E443" s="69"/>
      <c r="F443" s="312">
        <v>1</v>
      </c>
      <c r="G443" s="521">
        <v>27</v>
      </c>
      <c r="H443" s="524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5" t="s">
        <v>854</v>
      </c>
      <c r="E444" s="69"/>
      <c r="F444" s="312">
        <v>1</v>
      </c>
      <c r="G444" s="521">
        <v>41</v>
      </c>
      <c r="H444" s="524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5" t="s">
        <v>859</v>
      </c>
      <c r="E445" s="69"/>
      <c r="F445" s="312">
        <v>1</v>
      </c>
      <c r="G445" s="521">
        <v>20</v>
      </c>
      <c r="H445" s="522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5" t="s">
        <v>856</v>
      </c>
      <c r="E446" s="69"/>
      <c r="F446" s="312"/>
      <c r="G446" s="521">
        <v>30</v>
      </c>
      <c r="H446" s="522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5" t="s">
        <v>981</v>
      </c>
      <c r="E447" s="69"/>
      <c r="F447" s="312"/>
      <c r="G447" s="521">
        <v>30</v>
      </c>
      <c r="H447" s="524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14'!V138-'MEMORIAL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7" t="s">
        <v>984</v>
      </c>
      <c r="E450" s="217"/>
      <c r="F450" s="312">
        <v>1</v>
      </c>
      <c r="G450" s="521">
        <f>0.3*98.77</f>
        <v>29.630999999999997</v>
      </c>
      <c r="H450" s="522"/>
      <c r="I450" s="523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14'!V139-'MEMORIAL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7" t="s">
        <v>984</v>
      </c>
      <c r="E453" s="217"/>
      <c r="F453" s="312">
        <v>1</v>
      </c>
      <c r="G453" s="521">
        <f>0.3*62.17</f>
        <v>18.651</v>
      </c>
      <c r="H453" s="522"/>
      <c r="I453" s="523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14'!V140-'MEMORIAL DE CALCULO 07'!K455</f>
        <v>17.324999999999999</v>
      </c>
      <c r="K455" s="81">
        <f>K456</f>
        <v>7.4249999999999998</v>
      </c>
      <c r="L455" s="82">
        <f t="shared" si="26"/>
        <v>24.75</v>
      </c>
      <c r="M455" s="206">
        <v>24.75</v>
      </c>
      <c r="N455" s="86">
        <f>M455-L455</f>
        <v>0</v>
      </c>
    </row>
    <row r="456" spans="2:14" x14ac:dyDescent="0.25">
      <c r="B456" s="203"/>
      <c r="C456" s="211"/>
      <c r="D456" s="377" t="s">
        <v>984</v>
      </c>
      <c r="E456" s="217"/>
      <c r="F456" s="312">
        <v>1</v>
      </c>
      <c r="G456" s="521">
        <f>0.3*24.75</f>
        <v>7.4249999999999998</v>
      </c>
      <c r="H456" s="522"/>
      <c r="I456" s="523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14'!V141-'MEMORIAL DE CALCULO 07'!K458</f>
        <v>18.144000000000002</v>
      </c>
      <c r="K458" s="81">
        <f>K459</f>
        <v>7.7759999999999998</v>
      </c>
      <c r="L458" s="82">
        <f t="shared" si="26"/>
        <v>25.92</v>
      </c>
      <c r="M458" s="206">
        <v>25.92</v>
      </c>
      <c r="N458" s="86">
        <f>M458-L458</f>
        <v>0</v>
      </c>
    </row>
    <row r="459" spans="2:14" x14ac:dyDescent="0.25">
      <c r="B459" s="203"/>
      <c r="C459" s="211"/>
      <c r="D459" s="377" t="s">
        <v>984</v>
      </c>
      <c r="E459" s="217"/>
      <c r="F459" s="312">
        <v>1</v>
      </c>
      <c r="G459" s="521">
        <f>0.3*25.92</f>
        <v>7.7759999999999998</v>
      </c>
      <c r="H459" s="522"/>
      <c r="I459" s="523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14'!V142-'MEMORIAL DE CALCULO 07'!K461</f>
        <v>7</v>
      </c>
      <c r="K461" s="81">
        <f>K462</f>
        <v>3</v>
      </c>
      <c r="L461" s="82">
        <f t="shared" si="26"/>
        <v>10</v>
      </c>
      <c r="M461" s="206">
        <v>10</v>
      </c>
      <c r="N461" s="86">
        <f>M461-L461</f>
        <v>0</v>
      </c>
    </row>
    <row r="462" spans="2:14" x14ac:dyDescent="0.25">
      <c r="B462" s="203"/>
      <c r="C462" s="211"/>
      <c r="D462" s="377" t="s">
        <v>984</v>
      </c>
      <c r="E462" s="217"/>
      <c r="F462" s="312">
        <v>1</v>
      </c>
      <c r="G462" s="521">
        <f>0.3*10</f>
        <v>3</v>
      </c>
      <c r="H462" s="522"/>
      <c r="I462" s="523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14'!V143-'MEMORIAL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77" t="s">
        <v>983</v>
      </c>
      <c r="E465" s="217"/>
      <c r="F465" s="312">
        <v>1</v>
      </c>
      <c r="G465" s="521">
        <v>1</v>
      </c>
      <c r="H465" s="522"/>
      <c r="I465" s="523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14'!V144-'MEMORIAL DE CALCULO 07'!K467</f>
        <v>3</v>
      </c>
      <c r="K467" s="81">
        <f>K468</f>
        <v>3</v>
      </c>
      <c r="L467" s="82">
        <f t="shared" si="26"/>
        <v>6</v>
      </c>
      <c r="M467" s="206">
        <v>6</v>
      </c>
      <c r="N467" s="86">
        <f>M467-L467</f>
        <v>0</v>
      </c>
    </row>
    <row r="468" spans="2:14" x14ac:dyDescent="0.25">
      <c r="B468" s="203"/>
      <c r="C468" s="211"/>
      <c r="D468" s="377" t="s">
        <v>983</v>
      </c>
      <c r="E468" s="217"/>
      <c r="F468" s="312">
        <v>1</v>
      </c>
      <c r="G468" s="521">
        <v>3</v>
      </c>
      <c r="H468" s="522"/>
      <c r="I468" s="523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14'!V145-'MEMORIAL DE CALCULO 07'!K470</f>
        <v>2</v>
      </c>
      <c r="K470" s="82"/>
      <c r="L470" s="82">
        <f t="shared" si="26"/>
        <v>2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14'!V146-'MEMORIAL DE CALCULO 07'!K473</f>
        <v>2</v>
      </c>
      <c r="K473" s="82"/>
      <c r="L473" s="82">
        <f t="shared" si="26"/>
        <v>2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14'!V147-'MEMORIAL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14'!V148-'MEMORIAL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14'!V149-'MEMORIAL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14'!V150-'MEMORIAL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14'!V151-'MEMORIAL DE CALCULO 07'!K488</f>
        <v>7</v>
      </c>
      <c r="K488" s="82"/>
      <c r="L488" s="82">
        <f t="shared" si="26"/>
        <v>7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14'!V152-'MEMORIAL DE CALCULO 07'!K491</f>
        <v>1</v>
      </c>
      <c r="K491" s="82"/>
      <c r="L491" s="82">
        <f t="shared" si="26"/>
        <v>1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14'!V153-'MEMORIAL DE CALCULO 07'!K494</f>
        <v>10</v>
      </c>
      <c r="K494" s="82"/>
      <c r="L494" s="82">
        <f t="shared" si="26"/>
        <v>10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14'!V154-'MEMORIAL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7" t="s">
        <v>984</v>
      </c>
      <c r="E498" s="217"/>
      <c r="F498" s="312">
        <v>1</v>
      </c>
      <c r="G498" s="521">
        <f>0.3*38.85</f>
        <v>11.654999999999999</v>
      </c>
      <c r="H498" s="522"/>
      <c r="I498" s="523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14'!V155-'MEMORIAL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7" t="s">
        <v>984</v>
      </c>
      <c r="E501" s="217"/>
      <c r="F501" s="312">
        <v>1</v>
      </c>
      <c r="G501" s="521">
        <f>0.3*46.51</f>
        <v>13.952999999999999</v>
      </c>
      <c r="H501" s="522"/>
      <c r="I501" s="523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14'!V156-'MEMORIAL DE CALCULO 07'!K503</f>
        <v>1</v>
      </c>
      <c r="K503" s="82"/>
      <c r="L503" s="82">
        <f t="shared" si="26"/>
        <v>1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14'!V157-'MEMORIAL DE CALCULO 07'!K506</f>
        <v>92.934000000000012</v>
      </c>
      <c r="K506" s="81">
        <f>K507</f>
        <v>39.831000000000003</v>
      </c>
      <c r="L506" s="82">
        <f t="shared" si="26"/>
        <v>132.76500000000001</v>
      </c>
      <c r="M506" s="206">
        <v>132.77000000000001</v>
      </c>
      <c r="N506" s="86"/>
    </row>
    <row r="507" spans="2:14" x14ac:dyDescent="0.25">
      <c r="B507" s="203"/>
      <c r="C507" s="211"/>
      <c r="D507" s="377" t="s">
        <v>984</v>
      </c>
      <c r="E507" s="217"/>
      <c r="F507" s="312">
        <v>1</v>
      </c>
      <c r="G507" s="521">
        <f>0.3*132.77</f>
        <v>39.831000000000003</v>
      </c>
      <c r="H507" s="522"/>
      <c r="I507" s="523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14'!V158-'MEMORIAL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14'!V159-'MEMORIAL DE CALCULO 07'!K512</f>
        <v>-4.2229999999999972</v>
      </c>
      <c r="K512" s="81">
        <f>K513</f>
        <v>12.902999999999999</v>
      </c>
      <c r="L512" s="82">
        <f t="shared" si="26"/>
        <v>8.6800000000000015</v>
      </c>
      <c r="M512" s="206">
        <v>43.01</v>
      </c>
      <c r="N512" s="86"/>
    </row>
    <row r="513" spans="2:14" x14ac:dyDescent="0.25">
      <c r="B513" s="50"/>
      <c r="C513" s="66"/>
      <c r="D513" s="377" t="s">
        <v>984</v>
      </c>
      <c r="E513" s="69"/>
      <c r="F513" s="312">
        <v>1</v>
      </c>
      <c r="G513" s="521">
        <f>0.3*43.01</f>
        <v>12.902999999999999</v>
      </c>
      <c r="H513" s="522"/>
      <c r="I513" s="523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522"/>
      <c r="H543" s="522"/>
      <c r="I543" s="523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1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521">
        <f>65.42</f>
        <v>65.42</v>
      </c>
      <c r="H545" s="524"/>
      <c r="I545" s="105">
        <v>3.1</v>
      </c>
      <c r="J545" s="99"/>
      <c r="K545" s="351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74" t="s">
        <v>836</v>
      </c>
      <c r="H549" s="575"/>
      <c r="I549" s="576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9" t="s">
        <v>956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1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511"/>
    </row>
    <row r="4" spans="2:14" ht="16.5" x14ac:dyDescent="0.25">
      <c r="B4" s="492" t="s">
        <v>542</v>
      </c>
      <c r="C4" s="493"/>
      <c r="D4" s="493"/>
      <c r="E4" s="493"/>
      <c r="F4" s="493"/>
      <c r="G4" s="493"/>
      <c r="H4" s="493"/>
      <c r="I4" s="16" t="s">
        <v>544</v>
      </c>
      <c r="J4" s="494">
        <v>1240378.43</v>
      </c>
      <c r="K4" s="495"/>
      <c r="L4" s="495"/>
      <c r="M4" s="495"/>
      <c r="N4" s="512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512"/>
    </row>
    <row r="6" spans="2:14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8" t="s">
        <v>592</v>
      </c>
      <c r="J6" s="499"/>
      <c r="K6" s="499"/>
      <c r="L6" s="499"/>
      <c r="M6" s="499"/>
      <c r="N6" s="512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512"/>
    </row>
    <row r="8" spans="2:14" ht="17.25" thickBot="1" x14ac:dyDescent="0.3">
      <c r="B8" s="514">
        <v>45453</v>
      </c>
      <c r="C8" s="515"/>
      <c r="D8" s="23" t="s">
        <v>957</v>
      </c>
      <c r="E8" s="516">
        <f>'BOLETIM DE MEDIÇÃO 14'!AD209</f>
        <v>70347.038280000008</v>
      </c>
      <c r="F8" s="517"/>
      <c r="G8" s="518"/>
      <c r="H8" s="519">
        <f>'BOLETIM DE MEDIÇÃO 05'!H8</f>
        <v>274592.67562904983</v>
      </c>
      <c r="I8" s="520"/>
      <c r="J8" s="502" t="s">
        <v>955</v>
      </c>
      <c r="K8" s="503"/>
      <c r="L8" s="503"/>
      <c r="M8" s="503"/>
      <c r="N8" s="513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504" t="s">
        <v>526</v>
      </c>
      <c r="C10" s="504" t="s">
        <v>527</v>
      </c>
      <c r="D10" s="506" t="s">
        <v>528</v>
      </c>
      <c r="E10" s="504" t="s">
        <v>529</v>
      </c>
      <c r="F10" s="508" t="s">
        <v>556</v>
      </c>
      <c r="G10" s="525" t="s">
        <v>557</v>
      </c>
      <c r="H10" s="488"/>
      <c r="I10" s="488"/>
      <c r="J10" s="479" t="s">
        <v>594</v>
      </c>
      <c r="K10" s="480"/>
      <c r="L10" s="480"/>
      <c r="M10" s="480"/>
      <c r="N10" s="482"/>
    </row>
    <row r="11" spans="2:14" ht="18" x14ac:dyDescent="0.25">
      <c r="B11" s="505"/>
      <c r="C11" s="505"/>
      <c r="D11" s="507"/>
      <c r="E11" s="505"/>
      <c r="F11" s="50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26">
        <v>1430.2</v>
      </c>
      <c r="H20" s="528"/>
      <c r="I20" s="52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26">
        <v>1430.2</v>
      </c>
      <c r="H22" s="528"/>
      <c r="I22" s="52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7">
        <v>1</v>
      </c>
      <c r="G70" s="554">
        <f>43.05</f>
        <v>43.05</v>
      </c>
      <c r="H70" s="555"/>
      <c r="I70" s="556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8"/>
      <c r="G71" s="557"/>
      <c r="H71" s="558"/>
      <c r="I71" s="559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51" t="s">
        <v>883</v>
      </c>
      <c r="H72" s="552"/>
      <c r="I72" s="553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49" t="s">
        <v>838</v>
      </c>
      <c r="H73" s="550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49">
        <v>9</v>
      </c>
      <c r="H74" s="550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49">
        <v>5</v>
      </c>
      <c r="H75" s="550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49">
        <f xml:space="preserve"> (13.03 * 2.7)</f>
        <v>35.180999999999997</v>
      </c>
      <c r="H76" s="550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49">
        <v>3</v>
      </c>
      <c r="H77" s="550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49">
        <v>7</v>
      </c>
      <c r="H78" s="550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49">
        <v>21</v>
      </c>
      <c r="H79" s="550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49">
        <v>27</v>
      </c>
      <c r="H80" s="550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49">
        <v>26</v>
      </c>
      <c r="H81" s="550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49">
        <v>1.6</v>
      </c>
      <c r="H82" s="550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49">
        <v>1.6</v>
      </c>
      <c r="H83" s="550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49">
        <v>45</v>
      </c>
      <c r="H84" s="550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49">
        <v>19</v>
      </c>
      <c r="H85" s="550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49">
        <v>19</v>
      </c>
      <c r="H86" s="550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49">
        <v>5</v>
      </c>
      <c r="H87" s="550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49">
        <v>14</v>
      </c>
      <c r="H88" s="550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60">
        <v>36</v>
      </c>
      <c r="H89" s="561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60">
        <v>46</v>
      </c>
      <c r="H90" s="561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49">
        <v>41</v>
      </c>
      <c r="H91" s="550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49">
        <v>27</v>
      </c>
      <c r="H92" s="550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49">
        <v>53</v>
      </c>
      <c r="H93" s="550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49">
        <f xml:space="preserve"> (2.65*1.8)</f>
        <v>4.7699999999999996</v>
      </c>
      <c r="H94" s="550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49">
        <v>30</v>
      </c>
      <c r="H95" s="550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49">
        <v>30</v>
      </c>
      <c r="H96" s="550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49">
        <v>14</v>
      </c>
      <c r="H97" s="550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49">
        <v>14</v>
      </c>
      <c r="H98" s="550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49">
        <v>20</v>
      </c>
      <c r="H99" s="550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49">
        <v>3</v>
      </c>
      <c r="H100" s="550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49">
        <v>4</v>
      </c>
      <c r="H101" s="550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49">
        <v>12</v>
      </c>
      <c r="H102" s="550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49">
        <v>20</v>
      </c>
      <c r="H103" s="550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49">
        <v>4</v>
      </c>
      <c r="H104" s="550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49">
        <v>5</v>
      </c>
      <c r="H105" s="550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49">
        <f>1184.23-SUM(G74:H105)</f>
        <v>582.07900000000006</v>
      </c>
      <c r="H106" s="550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49"/>
      <c r="H107" s="550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0" t="s">
        <v>652</v>
      </c>
      <c r="H108" s="532"/>
      <c r="I108" s="53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26" t="s">
        <v>831</v>
      </c>
      <c r="H172" s="528"/>
      <c r="I172" s="529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30">
        <v>492.78</v>
      </c>
      <c r="H173" s="532"/>
      <c r="I173" s="53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30">
        <f>(2*12)+(2*3.79)+(2*8.94)+(2*6.27)+ 1.39+0.99 +(2*1.85)+(2*1.7)+ (2*1.35)</f>
        <v>74.180000000000007</v>
      </c>
      <c r="H174" s="53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30">
        <f>(2*10.92)+(2*10.92)+ 1.3 + 1.1</f>
        <v>46.08</v>
      </c>
      <c r="H175" s="53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30">
        <f>(2*1.87)+(2*1.87)</f>
        <v>7.48</v>
      </c>
      <c r="H176" s="53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30">
        <f>(2*6.55)+(2*6.3)+1.75+1.35+1.19</f>
        <v>29.990000000000002</v>
      </c>
      <c r="H177" s="53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30">
        <f>(2*8.39)+(2*1.7)+ 1.1+ 3.13 + (2*5.24)+ (2*3.11)</f>
        <v>41.11</v>
      </c>
      <c r="H178" s="53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30"/>
      <c r="H179" s="53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30"/>
      <c r="H180" s="53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30"/>
      <c r="H181" s="53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30"/>
      <c r="H182" s="53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30"/>
      <c r="H183" s="53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30"/>
      <c r="H184" s="53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30"/>
      <c r="H185" s="53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30"/>
      <c r="H186" s="53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30"/>
      <c r="H187" s="53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30"/>
      <c r="H188" s="53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30"/>
      <c r="H189" s="53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30"/>
      <c r="H190" s="53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30"/>
      <c r="H191" s="53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30"/>
      <c r="H192" s="53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30"/>
      <c r="H193" s="53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30"/>
      <c r="H194" s="53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30"/>
      <c r="H195" s="53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30"/>
      <c r="H196" s="53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30"/>
      <c r="H197" s="53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30"/>
      <c r="H198" s="53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30"/>
      <c r="H199" s="53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26">
        <f xml:space="preserve"> (2*1.31) + (2*1.51) + (2*4.98)</f>
        <v>15.600000000000001</v>
      </c>
      <c r="H201" s="527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26">
        <f xml:space="preserve"> (3*3.37) + (1.37) + (2*3.47)</f>
        <v>18.420000000000002</v>
      </c>
      <c r="H202" s="527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26">
        <f xml:space="preserve"> (1.87) + (2*3.62)</f>
        <v>9.11</v>
      </c>
      <c r="H203" s="527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26">
        <f xml:space="preserve"> (4*0.88) + (2*3.36) + (2*5.03)</f>
        <v>20.3</v>
      </c>
      <c r="H204" s="527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26">
        <f xml:space="preserve"> (2*3.18) + (2*3.18)</f>
        <v>12.72</v>
      </c>
      <c r="H205" s="527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26">
        <f xml:space="preserve"> (4*2.15)</f>
        <v>8.6</v>
      </c>
      <c r="H206" s="527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26">
        <f xml:space="preserve"> (4*6.99)</f>
        <v>27.96</v>
      </c>
      <c r="H207" s="527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26" t="s">
        <v>831</v>
      </c>
      <c r="H208" s="528"/>
      <c r="I208" s="52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26"/>
      <c r="H209" s="528"/>
      <c r="I209" s="52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30" t="s">
        <v>679</v>
      </c>
      <c r="H217" s="53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26" t="s">
        <v>680</v>
      </c>
      <c r="H218" s="527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26" t="s">
        <v>681</v>
      </c>
      <c r="H219" s="527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26" t="s">
        <v>682</v>
      </c>
      <c r="H220" s="527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26" t="s">
        <v>684</v>
      </c>
      <c r="H221" s="527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26" t="s">
        <v>683</v>
      </c>
      <c r="H222" s="527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26" t="s">
        <v>685</v>
      </c>
      <c r="H223" s="527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30" t="s">
        <v>686</v>
      </c>
      <c r="H224" s="53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26" t="s">
        <v>687</v>
      </c>
      <c r="H225" s="527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26" t="s">
        <v>688</v>
      </c>
      <c r="H226" s="527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30" t="s">
        <v>689</v>
      </c>
      <c r="H227" s="53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26" t="s">
        <v>690</v>
      </c>
      <c r="H228" s="527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30" t="s">
        <v>691</v>
      </c>
      <c r="H229" s="53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26" t="s">
        <v>692</v>
      </c>
      <c r="H230" s="527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26" t="s">
        <v>693</v>
      </c>
      <c r="H231" s="527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30" t="s">
        <v>694</v>
      </c>
      <c r="H232" s="53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26" t="s">
        <v>695</v>
      </c>
      <c r="H233" s="527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26" t="s">
        <v>696</v>
      </c>
      <c r="H234" s="527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26" t="s">
        <v>697</v>
      </c>
      <c r="H235" s="527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26" t="s">
        <v>698</v>
      </c>
      <c r="H236" s="527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26" t="s">
        <v>699</v>
      </c>
      <c r="H237" s="527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26" t="s">
        <v>700</v>
      </c>
      <c r="H238" s="527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26" t="s">
        <v>701</v>
      </c>
      <c r="H239" s="527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30" t="s">
        <v>702</v>
      </c>
      <c r="H240" s="53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26" t="s">
        <v>704</v>
      </c>
      <c r="H241" s="527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26" t="s">
        <v>703</v>
      </c>
      <c r="H242" s="527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26" t="s">
        <v>703</v>
      </c>
      <c r="H243" s="527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26" t="s">
        <v>705</v>
      </c>
      <c r="H244" s="527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26" t="s">
        <v>704</v>
      </c>
      <c r="H245" s="527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26" t="s">
        <v>705</v>
      </c>
      <c r="H246" s="527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26" t="s">
        <v>704</v>
      </c>
      <c r="H247" s="527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26">
        <v>9.6</v>
      </c>
      <c r="H248" s="528"/>
      <c r="I248" s="52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26">
        <v>12.75</v>
      </c>
      <c r="H249" s="528"/>
      <c r="I249" s="52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43" t="s">
        <v>874</v>
      </c>
      <c r="H257" s="544"/>
      <c r="I257" s="545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26"/>
      <c r="H258" s="528"/>
      <c r="I258" s="52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26">
        <v>9.6</v>
      </c>
      <c r="H259" s="528"/>
      <c r="I259" s="52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26" t="s">
        <v>831</v>
      </c>
      <c r="H260" s="528"/>
      <c r="I260" s="52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26">
        <f>G249</f>
        <v>12.75</v>
      </c>
      <c r="H261" s="528"/>
      <c r="I261" s="52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26" t="s">
        <v>831</v>
      </c>
      <c r="H262" s="528"/>
      <c r="I262" s="52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30" t="s">
        <v>647</v>
      </c>
      <c r="H263" s="53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26">
        <f xml:space="preserve"> ((0.59*(1.85/0.1)) * 2)</f>
        <v>21.83</v>
      </c>
      <c r="H264" s="527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26">
        <f>(0.69*(1.87/0.1)) + (0.79*(1.87/0.1))</f>
        <v>27.675999999999998</v>
      </c>
      <c r="H265" s="527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26">
        <f>((0.69*(1.9/0.1))*3) + ((0.59*(1.87/0.1))*2)</f>
        <v>61.395999999999987</v>
      </c>
      <c r="H266" s="527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26">
        <f>((0.69*(1.92/0.1))*1) + ((0.59*(1.92/0.1))*2)</f>
        <v>35.903999999999996</v>
      </c>
      <c r="H267" s="527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26">
        <f>((0.79*(1.94/0.1))*3)</f>
        <v>45.977999999999994</v>
      </c>
      <c r="H268" s="527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26">
        <f>((0.69*(1.96/0.1))*3) + ((0.59*(1.96/0.1))*2)</f>
        <v>63.699999999999989</v>
      </c>
      <c r="H269" s="527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26">
        <f>((0.59*(1.95/0.1))*2) + ((0.69*(1.95/0.1))*3) +((0.79*(1.95/0.1))*1)</f>
        <v>78.78</v>
      </c>
      <c r="H270" s="527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26">
        <f>((0.59*(1.97/0.1))*1)  +((0.79*(1.97/0.1))*2)</f>
        <v>42.749000000000002</v>
      </c>
      <c r="H271" s="527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26">
        <f>((0.59*(1.9/0.1))*3)</f>
        <v>33.629999999999995</v>
      </c>
      <c r="H272" s="527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26">
        <f>((0.69*(1.86/0.1))*1) + ((0.69*(1.86/0.1))*1) + ((0.89*(1.86/0.1))*1)</f>
        <v>42.222000000000001</v>
      </c>
      <c r="H273" s="527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26">
        <f>((0.69*(1.87/0.1))*3)</f>
        <v>38.708999999999996</v>
      </c>
      <c r="H274" s="527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26">
        <f>((0.69*(1.9/0.1))*1) + ((0.79*(1.9/0.1))*2) + ((0.59*(1.9/0.1))*1)</f>
        <v>54.339999999999989</v>
      </c>
      <c r="H275" s="527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26">
        <f>((0.79*(1.91/0.1))*1) +((0.59*(1.91/0.1))*1)</f>
        <v>26.357999999999997</v>
      </c>
      <c r="H276" s="527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26">
        <f>((0.79*(1.94/0.1))*1) +((0.59*(1.94/0.1))*5)</f>
        <v>72.555999999999983</v>
      </c>
      <c r="H277" s="527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26">
        <f>((0.69*(1.92/0.1))*2) + ((0.69*(1.92/0.1))*1)</f>
        <v>39.744</v>
      </c>
      <c r="H278" s="527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26">
        <f>((0.59*(1.93/0.1))*2) + ((0.79*(1.93/0.1))*1)</f>
        <v>38.020999999999994</v>
      </c>
      <c r="H279" s="527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26">
        <f>((0.59*(1.87/0.1))*2) + ((0.69*(1.87/0.1))*2)</f>
        <v>47.872</v>
      </c>
      <c r="H280" s="527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26">
        <f>((0.59*(1.88/0.1))*3) + ((0.69*(1.88/0.1))*1)</f>
        <v>46.24799999999999</v>
      </c>
      <c r="H281" s="527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26">
        <f>((0.79*(1.9/0.1))*1) + ((0.69*(1.9/0.1))*3)</f>
        <v>54.339999999999982</v>
      </c>
      <c r="H282" s="527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26">
        <f>((0.59*(1.9/0.1))*1)</f>
        <v>11.209999999999997</v>
      </c>
      <c r="H283" s="527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26">
        <f>((0.69*(1.87/0.1))*1) + ((0.59*(1.87/0.1))*1)</f>
        <v>23.936</v>
      </c>
      <c r="H284" s="527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26">
        <f>((0.69*(2/0.1))*1) + ((0.59*(2/0.1))*2)</f>
        <v>37.4</v>
      </c>
      <c r="H285" s="527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26">
        <f>((0.69*(2.01/0.1))*1) + ((0.59*(2.01/0.1))*5) + ((0.79*(2.01/0.1))*1)</f>
        <v>89.042999999999992</v>
      </c>
      <c r="H286" s="527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26">
        <f>(((1.39+0.47+0.47))*(1.86/0.15))</f>
        <v>28.892000000000003</v>
      </c>
      <c r="H287" s="527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26">
        <f>(((1.09+0.022))*(1.87/0.15))</f>
        <v>13.862933333333336</v>
      </c>
      <c r="H288" s="527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26">
        <f>(((1.09+0.022))*(1.89/0.15))</f>
        <v>14.011200000000001</v>
      </c>
      <c r="H289" s="527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26">
        <f>(((0.59))*(1.9/0.15))</f>
        <v>7.4733333333333327</v>
      </c>
      <c r="H290" s="527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26">
        <f>(((0.59))*(1.92/0.15))</f>
        <v>7.5519999999999996</v>
      </c>
      <c r="H291" s="527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26">
        <f>(((0.59))*(1.9/0.15))</f>
        <v>7.4733333333333327</v>
      </c>
      <c r="H292" s="527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26">
        <f>(((0.69))*(1.98/0.15))</f>
        <v>9.1080000000000005</v>
      </c>
      <c r="H293" s="527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30">
        <v>210.13</v>
      </c>
      <c r="H294" s="532"/>
      <c r="I294" s="53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26">
        <f xml:space="preserve"> (2*2.51) + (40*0.59)</f>
        <v>28.619999999999997</v>
      </c>
      <c r="H295" s="527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26">
        <f xml:space="preserve"> (19*0.79)</f>
        <v>15.010000000000002</v>
      </c>
      <c r="H296" s="527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26">
        <f xml:space="preserve"> (21*0.79)</f>
        <v>16.59</v>
      </c>
      <c r="H297" s="527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26">
        <f xml:space="preserve"> (2*3.86) + (29*0.79)</f>
        <v>30.63</v>
      </c>
      <c r="H298" s="527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26">
        <f xml:space="preserve"> (22*0.59)</f>
        <v>12.979999999999999</v>
      </c>
      <c r="H299" s="527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26">
        <f xml:space="preserve"> (14*0.059)</f>
        <v>0.82599999999999996</v>
      </c>
      <c r="H300" s="527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26">
        <f xml:space="preserve"> (59*0.59)</f>
        <v>34.809999999999995</v>
      </c>
      <c r="H301" s="527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26">
        <v>295</v>
      </c>
      <c r="H303" s="528"/>
      <c r="I303" s="52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30" t="s">
        <v>628</v>
      </c>
      <c r="H306" s="53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26">
        <f xml:space="preserve"> (4*(0.2+0.25+1.85+0.33)) * 2</f>
        <v>21.040000000000003</v>
      </c>
      <c r="H307" s="527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26">
        <f xml:space="preserve"> ((4*(0.2+0.25+1.87+0.33)) * 2)</f>
        <v>21.200000000000003</v>
      </c>
      <c r="H308" s="527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26">
        <f xml:space="preserve"> (4*(0.2+0.25+1.9+0.33)) * 5</f>
        <v>53.6</v>
      </c>
      <c r="H309" s="527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26">
        <f xml:space="preserve"> (4*(0.2+0.25+1.92+0.33)) *3</f>
        <v>32.400000000000006</v>
      </c>
      <c r="H310" s="527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26">
        <f xml:space="preserve"> (4*(0.2+0.25+1.94+0.33)) * 3</f>
        <v>32.64</v>
      </c>
      <c r="H311" s="527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26">
        <f xml:space="preserve"> (4*(0.2+0.25+1.96+0.33)) * 5</f>
        <v>54.800000000000004</v>
      </c>
      <c r="H312" s="527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26">
        <f xml:space="preserve"> (4*(0.2+0.25+1.95+0.33)) * 6</f>
        <v>65.52</v>
      </c>
      <c r="H313" s="527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26">
        <f xml:space="preserve"> (4*(0.2+0.25+1.97+0.33)) * 3</f>
        <v>33</v>
      </c>
      <c r="H314" s="527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26">
        <f xml:space="preserve"> (4*(0.2+0.25+1.9+0.33)) * 3</f>
        <v>32.160000000000004</v>
      </c>
      <c r="H315" s="527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26">
        <f xml:space="preserve"> ((4*(0.2+0.25+1.86+0.33)) * 3)</f>
        <v>31.68</v>
      </c>
      <c r="H316" s="527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26">
        <f xml:space="preserve"> ((4*(0.2+0.25+1.87+0.33)) * 3)</f>
        <v>31.800000000000004</v>
      </c>
      <c r="H317" s="527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26">
        <f xml:space="preserve"> ((4*(0.2+0.25+1.9+0.33)) * 4)</f>
        <v>42.88</v>
      </c>
      <c r="H318" s="527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26">
        <f xml:space="preserve"> ((4*(0.2+0.25+1.91+0.33)) * 2)</f>
        <v>21.52</v>
      </c>
      <c r="H319" s="527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26">
        <f xml:space="preserve"> ((4*(0.2+0.25+1.94+0.33)) * 6)</f>
        <v>65.28</v>
      </c>
      <c r="H320" s="527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26">
        <f xml:space="preserve"> ((4*(0.2+0.25+1.92+0.33)) *3)</f>
        <v>32.400000000000006</v>
      </c>
      <c r="H321" s="527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26">
        <f xml:space="preserve"> ((4*(0.2+0.25+1.93+0.33)) *3)</f>
        <v>32.519999999999996</v>
      </c>
      <c r="H322" s="527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26">
        <f xml:space="preserve"> ((4*(0.2+0.25+1.87+0.33)) *4)</f>
        <v>42.400000000000006</v>
      </c>
      <c r="H323" s="527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26">
        <f xml:space="preserve"> ((4*(0.2+0.25+1.88+0.33)) *4)</f>
        <v>42.56</v>
      </c>
      <c r="H324" s="527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26">
        <f xml:space="preserve"> ((4*(0.2+0.25+1.9+0.33)) *4)</f>
        <v>42.88</v>
      </c>
      <c r="H325" s="527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26">
        <f>((4*(0.2+0.25+1.9+0.33))) + ((8*(0.2+0.25+1.9)))</f>
        <v>29.520000000000003</v>
      </c>
      <c r="H326" s="527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26">
        <f xml:space="preserve"> ((4*(0.2+0.25+1.97+0.33)) *2)</f>
        <v>22</v>
      </c>
      <c r="H327" s="527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26">
        <f xml:space="preserve"> ((4*(0.2+0.25+2+0.33)) *3)</f>
        <v>33.36</v>
      </c>
      <c r="H328" s="527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26">
        <f xml:space="preserve"> ((4*(0.2+0.25+2.01+0.33)) *7)</f>
        <v>78.12</v>
      </c>
      <c r="H329" s="527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26" t="s">
        <v>831</v>
      </c>
      <c r="H330" s="528"/>
      <c r="I330" s="52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30" t="s">
        <v>628</v>
      </c>
      <c r="H331" s="53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26">
        <f>((8*(0.2+0.25+1.86+0.42)))</f>
        <v>21.84</v>
      </c>
      <c r="H332" s="527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26">
        <f>((6*(0.2+0.25+1.87+0.42)))</f>
        <v>16.440000000000001</v>
      </c>
      <c r="H333" s="527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26">
        <f>((6*(0.2+0.25+1.89+0.42)))</f>
        <v>16.559999999999999</v>
      </c>
      <c r="H334" s="527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26">
        <f>((4*(0.2+0.25+1.9+0.42)))</f>
        <v>11.08</v>
      </c>
      <c r="H335" s="527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26">
        <f>((4*(0.2+0.25+1.92+0.42)))</f>
        <v>11.16</v>
      </c>
      <c r="H336" s="527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26">
        <f>((4*(0.2+0.25+1.9+0.42)))</f>
        <v>11.08</v>
      </c>
      <c r="H337" s="527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26">
        <f>((4*(0.2+0.25+1.98+0.42)))+(2*(0.2+0.25+1.98))</f>
        <v>16.260000000000002</v>
      </c>
      <c r="H338" s="527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30">
        <v>52.34</v>
      </c>
      <c r="H339" s="532"/>
      <c r="I339" s="53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26"/>
      <c r="H340" s="528"/>
      <c r="I340" s="52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26">
        <v>223.49</v>
      </c>
      <c r="H341" s="528"/>
      <c r="I341" s="52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30" t="s">
        <v>706</v>
      </c>
      <c r="H350" s="53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26">
        <f xml:space="preserve"> ((0.15+0.25)*2) *2</f>
        <v>1.6</v>
      </c>
      <c r="H351" s="527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26">
        <f xml:space="preserve"> ((0.2+0.25)*2) + ((0.2+0.3)*2)</f>
        <v>1.9</v>
      </c>
      <c r="H352" s="527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26">
        <f xml:space="preserve"> ((0.2+0.25)*2*3) + ((0.2+0.2)*2*1) + ((0.15+0.2)*2*1)</f>
        <v>4.2</v>
      </c>
      <c r="H353" s="527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26">
        <f xml:space="preserve"> ((0.2+0.25)*2*1) + ((0.15+0.25)*2*2)</f>
        <v>2.5</v>
      </c>
      <c r="H354" s="527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26">
        <f xml:space="preserve"> ((0.15+0.3)*2*3)</f>
        <v>2.6999999999999997</v>
      </c>
      <c r="H355" s="527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26">
        <f xml:space="preserve"> ((0.2+0.25)*2*3) + ((0.15+0.25)*2*2)</f>
        <v>4.3000000000000007</v>
      </c>
      <c r="H356" s="527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26">
        <f xml:space="preserve"> ((0.2+0.25)*2*3) + ((0.15+0.25)*2*2) +  ((0.2+0.3)*2*1)</f>
        <v>5.3000000000000007</v>
      </c>
      <c r="H357" s="527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26">
        <f xml:space="preserve"> ((0.2+0.25)*2*2) + ((0.15+0.25)*2*1)</f>
        <v>2.6</v>
      </c>
      <c r="H358" s="527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26">
        <f>((0.15+0.25)*2*3)</f>
        <v>2.4000000000000004</v>
      </c>
      <c r="H359" s="527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26">
        <f xml:space="preserve"> ((0.2+0.25)*2*1) + ((0.15+0.25)*2*1) +  ((0.2+0.35)*2*1)</f>
        <v>2.8000000000000003</v>
      </c>
      <c r="H360" s="527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26">
        <f xml:space="preserve"> ((0.2+0.25)*2*1) + ((0.15+0.3)*2*2)</f>
        <v>2.6999999999999997</v>
      </c>
      <c r="H361" s="527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26">
        <f xml:space="preserve"> ((0.2+0.3)*2*1) + ((0.15+0.3)*2*1) +  ((0.15+0.25)*2*1) + ((0.15+0.35)*2*1)</f>
        <v>3.7</v>
      </c>
      <c r="H362" s="527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26">
        <f xml:space="preserve"> ((0.15+0.25)*2*1) + ((0.2+0.3)*2*1)</f>
        <v>1.8</v>
      </c>
      <c r="H363" s="527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26">
        <f xml:space="preserve"> ((0.15+0.25)*2*5) + ((0.25+0.25)*2*1)</f>
        <v>5</v>
      </c>
      <c r="H364" s="527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26">
        <f xml:space="preserve"> ((0.2+0.25)*2*1) + ((0.15+0.25)*2*1) +  ((0.25+0.25)*2*1)</f>
        <v>2.7</v>
      </c>
      <c r="H365" s="527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26">
        <f xml:space="preserve"> ((0.15+0.25)*2*2) + ((0.25+0.25)*2*1)</f>
        <v>2.6</v>
      </c>
      <c r="H366" s="527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26">
        <f xml:space="preserve"> ((0.15+0.25)*2*2) + ((0.2+0.25)*2*2)</f>
        <v>3.4000000000000004</v>
      </c>
      <c r="H367" s="527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26">
        <f xml:space="preserve"> ((0.15+0.25)*2*3) + ((0.2+0.25)*2*1)</f>
        <v>3.3000000000000003</v>
      </c>
      <c r="H368" s="527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26">
        <f>((0.2+0.25)*2*3) + ((0.25+0.25)*2*1)</f>
        <v>3.7</v>
      </c>
      <c r="H369" s="527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26">
        <f>((0.2+0.2)*2*1)</f>
        <v>0.8</v>
      </c>
      <c r="H370" s="527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26">
        <f>((0.2+0.25)*2*1) + ((0.15+0.25)*2*1)</f>
        <v>1.7000000000000002</v>
      </c>
      <c r="H371" s="527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26">
        <f>((0.2+0.25)*2*1) + ((0.15+0.25)*2*2)</f>
        <v>2.5</v>
      </c>
      <c r="H372" s="527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26">
        <f xml:space="preserve"> ((0.2+0.3)*2*1) + ((0.15+0.25)*2*5) +  ((0.25+0.25)*2*1)</f>
        <v>6</v>
      </c>
      <c r="H373" s="527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26">
        <f>((0.15+0.3)*2*1)</f>
        <v>0.89999999999999991</v>
      </c>
      <c r="H374" s="527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26">
        <f>((0.15+0.5)*2*1)</f>
        <v>1.3</v>
      </c>
      <c r="H375" s="527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26">
        <f>((0.15+0.5)*2*1)</f>
        <v>1.3</v>
      </c>
      <c r="H376" s="527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26">
        <f>((0.15+0.25)*2*1)</f>
        <v>0.8</v>
      </c>
      <c r="H377" s="527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26">
        <f t="shared" ref="G378" si="18">((0.15+0.3)*2*1)</f>
        <v>0.89999999999999991</v>
      </c>
      <c r="H378" s="527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26">
        <f>((0.15+0.25)*2*1)</f>
        <v>0.8</v>
      </c>
      <c r="H379" s="527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26">
        <f>((0.15+0.3)*2*1)</f>
        <v>0.89999999999999991</v>
      </c>
      <c r="H380" s="527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526">
        <f>0.8*327.43</f>
        <v>261.94400000000002</v>
      </c>
      <c r="H385" s="528"/>
      <c r="I385" s="529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526">
        <f>0.6*357.5</f>
        <v>214.5</v>
      </c>
      <c r="H387" s="528"/>
      <c r="I387" s="529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521">
        <f>0.4*39.1</f>
        <v>15.64</v>
      </c>
      <c r="H389" s="522"/>
      <c r="I389" s="523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1" customFormat="1" ht="22.9" customHeight="1" x14ac:dyDescent="0.25">
      <c r="B391" s="363"/>
      <c r="C391" s="364"/>
      <c r="D391" s="365" t="s">
        <v>953</v>
      </c>
      <c r="E391" s="366"/>
      <c r="F391" s="367">
        <v>1</v>
      </c>
      <c r="G391" s="577">
        <f>0.6* 692.8</f>
        <v>415.67999999999995</v>
      </c>
      <c r="H391" s="578"/>
      <c r="I391" s="579"/>
      <c r="J391" s="368"/>
      <c r="K391" s="369">
        <f>F391*G391</f>
        <v>415.67999999999995</v>
      </c>
      <c r="L391" s="369"/>
      <c r="M391" s="369"/>
      <c r="N391" s="370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1" customFormat="1" ht="19.899999999999999" customHeight="1" x14ac:dyDescent="0.25">
      <c r="B393" s="363"/>
      <c r="C393" s="364"/>
      <c r="D393" s="365" t="s">
        <v>953</v>
      </c>
      <c r="E393" s="366"/>
      <c r="F393" s="372">
        <v>1</v>
      </c>
      <c r="G393" s="577">
        <f>0.6* 95</f>
        <v>57</v>
      </c>
      <c r="H393" s="578"/>
      <c r="I393" s="579"/>
      <c r="J393" s="368"/>
      <c r="K393" s="369">
        <f>F393*G393</f>
        <v>57</v>
      </c>
      <c r="L393" s="369"/>
      <c r="M393" s="369"/>
      <c r="N393" s="370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526">
        <v>130.5</v>
      </c>
      <c r="H395" s="528"/>
      <c r="I395" s="529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526">
        <v>157.6</v>
      </c>
      <c r="H397" s="528"/>
      <c r="I397" s="529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526">
        <v>259</v>
      </c>
      <c r="H399" s="528"/>
      <c r="I399" s="529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67">
        <f>0.8*21.7</f>
        <v>17.36</v>
      </c>
      <c r="H401" s="567"/>
      <c r="I401" s="568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66">
        <v>2.04</v>
      </c>
      <c r="H402" s="567"/>
      <c r="I402" s="568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526">
        <f>K400</f>
        <v>19.399999999999999</v>
      </c>
      <c r="H404" s="528"/>
      <c r="I404" s="529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526">
        <v>217.7</v>
      </c>
      <c r="H406" s="528"/>
      <c r="I406" s="529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526">
        <v>154.80000000000001</v>
      </c>
      <c r="H408" s="528"/>
      <c r="I408" s="529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526">
        <f>0.3*997.11</f>
        <v>299.13299999999998</v>
      </c>
      <c r="H411" s="528"/>
      <c r="I411" s="529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521">
        <v>150</v>
      </c>
      <c r="H414" s="522"/>
      <c r="I414" s="523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522"/>
      <c r="H419" s="522"/>
      <c r="I419" s="523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1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521">
        <f>65.42</f>
        <v>65.42</v>
      </c>
      <c r="H421" s="524"/>
      <c r="I421" s="105">
        <v>3.1</v>
      </c>
      <c r="J421" s="99"/>
      <c r="K421" s="351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74" t="s">
        <v>836</v>
      </c>
      <c r="H425" s="575"/>
      <c r="I425" s="576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966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v>45453</v>
      </c>
      <c r="C8" s="515"/>
      <c r="D8" s="23" t="s">
        <v>957</v>
      </c>
      <c r="E8" s="516">
        <f>'BOLETIM DE MEDIÇÃO 14'!AD209</f>
        <v>70347.038280000008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955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1007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141">
        <f>'BOLETIM DE MEDIÇÃO 14'!P8</f>
        <v>1020708.1171054498</v>
      </c>
      <c r="I8" s="142"/>
      <c r="J8" s="142"/>
      <c r="K8" s="142"/>
      <c r="L8" s="142"/>
      <c r="M8" s="142"/>
      <c r="N8" s="142"/>
      <c r="O8" s="142"/>
      <c r="P8" s="410"/>
      <c r="Q8" s="502" t="s">
        <v>1006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992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987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9" t="s">
        <v>985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1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36"/>
      <c r="Z3" s="511"/>
    </row>
    <row r="4" spans="2:26" ht="16.5" x14ac:dyDescent="0.25">
      <c r="B4" s="492" t="s">
        <v>542</v>
      </c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16" t="s">
        <v>544</v>
      </c>
      <c r="P4" s="80" t="s">
        <v>555</v>
      </c>
      <c r="Q4" s="494">
        <v>1240378.43</v>
      </c>
      <c r="R4" s="495"/>
      <c r="S4" s="495"/>
      <c r="T4" s="495"/>
      <c r="U4" s="495"/>
      <c r="V4" s="495"/>
      <c r="W4" s="495"/>
      <c r="X4" s="495"/>
      <c r="Y4" s="537"/>
      <c r="Z4" s="512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37"/>
      <c r="Z5" s="512"/>
    </row>
    <row r="6" spans="2:26" ht="16.5" x14ac:dyDescent="0.25">
      <c r="B6" s="492" t="s">
        <v>518</v>
      </c>
      <c r="C6" s="493"/>
      <c r="D6" s="496"/>
      <c r="E6" s="497" t="s">
        <v>519</v>
      </c>
      <c r="F6" s="493"/>
      <c r="G6" s="493"/>
      <c r="H6" s="493"/>
      <c r="I6" s="493"/>
      <c r="J6" s="493"/>
      <c r="K6" s="493"/>
      <c r="L6" s="493"/>
      <c r="M6" s="493"/>
      <c r="N6" s="493"/>
      <c r="O6" s="498" t="s">
        <v>592</v>
      </c>
      <c r="P6" s="499"/>
      <c r="Q6" s="499"/>
      <c r="R6" s="499"/>
      <c r="S6" s="499"/>
      <c r="T6" s="499"/>
      <c r="U6" s="499"/>
      <c r="V6" s="499"/>
      <c r="W6" s="499"/>
      <c r="X6" s="499"/>
      <c r="Y6" s="537"/>
      <c r="Z6" s="512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37"/>
      <c r="Z7" s="512"/>
    </row>
    <row r="8" spans="2:26" ht="17.25" thickBot="1" x14ac:dyDescent="0.3">
      <c r="B8" s="514">
        <f>'BOLETIM DE MEDIÇÃO 14'!B8:C8</f>
        <v>46090</v>
      </c>
      <c r="C8" s="515"/>
      <c r="D8" s="23" t="str">
        <f>'BOLETIM DE MEDIÇÃO 14'!D8</f>
        <v>30/12/2025 a 09/03/2026</v>
      </c>
      <c r="E8" s="516">
        <f>'BOLETIM DE MEDIÇÃO 14'!E8</f>
        <v>62180.25</v>
      </c>
      <c r="F8" s="517"/>
      <c r="G8" s="518"/>
      <c r="H8" s="519">
        <f>'BOLETIM DE MEDIÇÃO 05'!H8</f>
        <v>274592.67562904983</v>
      </c>
      <c r="I8" s="520"/>
      <c r="J8" s="520"/>
      <c r="K8" s="520"/>
      <c r="L8" s="520"/>
      <c r="M8" s="520"/>
      <c r="N8" s="520"/>
      <c r="O8" s="520"/>
      <c r="P8" s="539"/>
      <c r="Q8" s="502" t="s">
        <v>965</v>
      </c>
      <c r="R8" s="503"/>
      <c r="S8" s="503"/>
      <c r="T8" s="503"/>
      <c r="U8" s="503"/>
      <c r="V8" s="503"/>
      <c r="W8" s="503"/>
      <c r="X8" s="503"/>
      <c r="Y8" s="538"/>
      <c r="Z8" s="513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34" t="s">
        <v>565</v>
      </c>
      <c r="C10" s="535"/>
      <c r="D10" s="535"/>
      <c r="E10" s="535"/>
      <c r="F10" s="535"/>
      <c r="G10" s="535"/>
      <c r="H10" s="535"/>
      <c r="I10" s="535"/>
      <c r="J10" s="535"/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</row>
    <row r="11" spans="2:26" ht="10.9" customHeight="1" thickBot="1" x14ac:dyDescent="0.3"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605"/>
      <c r="B1" s="605"/>
      <c r="C1" s="605"/>
      <c r="D1" s="605"/>
      <c r="E1" s="605"/>
      <c r="F1" s="605"/>
      <c r="G1" s="605"/>
      <c r="H1" s="605"/>
    </row>
    <row r="2" spans="1:8" ht="10.15" customHeight="1" x14ac:dyDescent="0.25">
      <c r="A2" s="1"/>
      <c r="B2" s="606" t="s">
        <v>0</v>
      </c>
      <c r="C2" s="606"/>
      <c r="D2" s="606"/>
      <c r="E2" s="606"/>
      <c r="F2" s="606"/>
      <c r="G2" s="606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604" t="s">
        <v>10</v>
      </c>
      <c r="C4" s="604"/>
      <c r="D4" s="604"/>
      <c r="E4" s="604"/>
      <c r="F4" s="604"/>
      <c r="G4" s="604"/>
      <c r="H4" s="4">
        <v>1240378.43</v>
      </c>
    </row>
    <row r="5" spans="1:8" ht="19.899999999999999" customHeight="1" x14ac:dyDescent="0.25">
      <c r="A5" s="3" t="s">
        <v>11</v>
      </c>
      <c r="B5" s="604" t="s">
        <v>12</v>
      </c>
      <c r="C5" s="604"/>
      <c r="D5" s="604"/>
      <c r="E5" s="604"/>
      <c r="F5" s="604"/>
      <c r="G5" s="604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604" t="s">
        <v>33</v>
      </c>
      <c r="C12" s="604"/>
      <c r="D12" s="604"/>
      <c r="E12" s="604"/>
      <c r="F12" s="604"/>
      <c r="G12" s="604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604" t="s">
        <v>49</v>
      </c>
      <c r="C17" s="604"/>
      <c r="D17" s="604"/>
      <c r="E17" s="604"/>
      <c r="F17" s="604"/>
      <c r="G17" s="604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604" t="s">
        <v>91</v>
      </c>
      <c r="C31" s="604"/>
      <c r="D31" s="604"/>
      <c r="E31" s="604"/>
      <c r="F31" s="604"/>
      <c r="G31" s="604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604" t="s">
        <v>134</v>
      </c>
      <c r="C47" s="604"/>
      <c r="D47" s="604"/>
      <c r="E47" s="604"/>
      <c r="F47" s="604"/>
      <c r="G47" s="604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604" t="s">
        <v>148</v>
      </c>
      <c r="C52" s="604"/>
      <c r="D52" s="604"/>
      <c r="E52" s="604"/>
      <c r="F52" s="604"/>
      <c r="G52" s="604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604" t="s">
        <v>162</v>
      </c>
      <c r="C57" s="604"/>
      <c r="D57" s="604"/>
      <c r="E57" s="604"/>
      <c r="F57" s="604"/>
      <c r="G57" s="604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1.2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604" t="s">
        <v>189</v>
      </c>
      <c r="C66" s="604"/>
      <c r="D66" s="604"/>
      <c r="E66" s="604"/>
      <c r="F66" s="604"/>
      <c r="G66" s="604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604" t="s">
        <v>209</v>
      </c>
      <c r="C73" s="604"/>
      <c r="D73" s="604"/>
      <c r="E73" s="604"/>
      <c r="F73" s="604"/>
      <c r="G73" s="604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604" t="s">
        <v>229</v>
      </c>
      <c r="C81" s="604"/>
      <c r="D81" s="604"/>
      <c r="E81" s="604"/>
      <c r="F81" s="604"/>
      <c r="G81" s="604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16.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604" t="s">
        <v>313</v>
      </c>
      <c r="C110" s="604"/>
      <c r="D110" s="604"/>
      <c r="E110" s="604"/>
      <c r="F110" s="604"/>
      <c r="G110" s="604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604" t="s">
        <v>339</v>
      </c>
      <c r="C119" s="604"/>
      <c r="D119" s="604"/>
      <c r="E119" s="604"/>
      <c r="F119" s="604"/>
      <c r="G119" s="604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604" t="s">
        <v>368</v>
      </c>
      <c r="C129" s="604"/>
      <c r="D129" s="604"/>
      <c r="E129" s="604"/>
      <c r="F129" s="604"/>
      <c r="G129" s="604"/>
      <c r="H129" s="4">
        <v>36628.07</v>
      </c>
    </row>
    <row r="130" spans="1:8" ht="41.2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1.2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16.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16.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16.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604" t="s">
        <v>436</v>
      </c>
      <c r="C152" s="604"/>
      <c r="D152" s="604"/>
      <c r="E152" s="604"/>
      <c r="F152" s="604"/>
      <c r="G152" s="604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1.2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604" t="s">
        <v>474</v>
      </c>
      <c r="C165" s="604"/>
      <c r="D165" s="604"/>
      <c r="E165" s="604"/>
      <c r="F165" s="604"/>
      <c r="G165" s="604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604" t="s">
        <v>501</v>
      </c>
      <c r="C185" s="604"/>
      <c r="D185" s="604"/>
      <c r="E185" s="604"/>
      <c r="F185" s="604"/>
      <c r="G185" s="604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603" t="s">
        <v>508</v>
      </c>
      <c r="G188" s="603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603" t="s">
        <v>509</v>
      </c>
      <c r="G189" s="603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603" t="s">
        <v>510</v>
      </c>
      <c r="G190" s="603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23</vt:i4>
      </vt:variant>
    </vt:vector>
  </HeadingPairs>
  <TitlesOfParts>
    <vt:vector size="46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14</vt:lpstr>
      <vt:lpstr>MEMÓRIA MEDIÇÃO 14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08</vt:lpstr>
      <vt:lpstr>MEMORIAL FOTOGRÁFICO 07</vt:lpstr>
      <vt:lpstr>orcamento</vt:lpstr>
      <vt:lpstr>'BOLETIM DE MEDIÇÃO 05'!Area_de_impressao</vt:lpstr>
      <vt:lpstr>'BOLETIM DE MEDIÇÃO 14'!Area_de_impressao</vt:lpstr>
      <vt:lpstr>'MEMÓRIA MEDIÇÃO 14'!Area_de_impressao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2026-03-10T22:09:38Z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