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manoel (J. Galdino)\Desktop\J. Galdino\OBRAS\OBRAS 21-06\SOUSA-PB\Escola 4 salas\PLANILHAS\PLANILHA VENCEDORA\"/>
    </mc:Choice>
  </mc:AlternateContent>
  <xr:revisionPtr revIDLastSave="0" documentId="13_ncr:1_{8B74A759-050B-4D39-9376-94881A43A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" sheetId="1" r:id="rId1"/>
    <sheet name="CRONOGRAMA" sheetId="3" r:id="rId2"/>
    <sheet name=" BDI" sheetId="2" r:id="rId3"/>
    <sheet name="LS" sheetId="5" r:id="rId4"/>
  </sheets>
  <definedNames>
    <definedName name="_xlnm._FilterDatabase" localSheetId="0" hidden="1">PLANILHA!$I$27:$I$187</definedName>
    <definedName name="_xlnm.Print_Area" localSheetId="1">CRONOGRAMA!$A$1:$L$96</definedName>
    <definedName name="_xlnm.Print_Area" localSheetId="3">LS!$A$1:$D$51</definedName>
    <definedName name="_xlnm.Print_Area" localSheetId="0">PLANILHA!$A$1:$J$196</definedName>
    <definedName name="_xlnm.Print_Titles" localSheetId="1">CRONOGRAMA!$1:$15</definedName>
    <definedName name="_xlnm.Print_Titles" localSheetId="0">PLANILHA!$1:$15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" i="3" l="1"/>
  <c r="A9" i="2" s="1"/>
  <c r="S75" i="1" l="1"/>
  <c r="G75" i="1" s="1"/>
  <c r="H75" i="1" l="1"/>
  <c r="S73" i="1"/>
  <c r="G73" i="1" s="1"/>
  <c r="H73" i="1" l="1"/>
  <c r="L56" i="3" l="1"/>
  <c r="K47" i="3"/>
  <c r="J44" i="3"/>
  <c r="B89" i="3"/>
  <c r="B86" i="3"/>
  <c r="B83" i="3"/>
  <c r="B80" i="3"/>
  <c r="B77" i="3"/>
  <c r="B74" i="3"/>
  <c r="B71" i="3"/>
  <c r="B68" i="3"/>
  <c r="B65" i="3"/>
  <c r="A89" i="3"/>
  <c r="A86" i="3"/>
  <c r="A83" i="3"/>
  <c r="A80" i="3"/>
  <c r="A77" i="3"/>
  <c r="A74" i="3"/>
  <c r="A71" i="3"/>
  <c r="A68" i="3"/>
  <c r="A65" i="3"/>
  <c r="B64" i="3"/>
  <c r="B61" i="3"/>
  <c r="B58" i="3"/>
  <c r="B55" i="3"/>
  <c r="B52" i="3"/>
  <c r="B49" i="3"/>
  <c r="B46" i="3"/>
  <c r="B43" i="3"/>
  <c r="B40" i="3"/>
  <c r="B37" i="3"/>
  <c r="B34" i="3"/>
  <c r="B31" i="3"/>
  <c r="B28" i="3"/>
  <c r="B25" i="3"/>
  <c r="B22" i="3"/>
  <c r="A61" i="3"/>
  <c r="A58" i="3"/>
  <c r="A55" i="3"/>
  <c r="A52" i="3"/>
  <c r="A49" i="3"/>
  <c r="A46" i="3"/>
  <c r="A43" i="3"/>
  <c r="A40" i="3"/>
  <c r="A37" i="3"/>
  <c r="A34" i="3"/>
  <c r="A31" i="3"/>
  <c r="A28" i="3"/>
  <c r="A25" i="3"/>
  <c r="A22" i="3"/>
  <c r="A19" i="3"/>
  <c r="B19" i="3"/>
  <c r="B18" i="3"/>
  <c r="S192" i="1"/>
  <c r="G192" i="1" s="1"/>
  <c r="S191" i="1"/>
  <c r="G191" i="1" s="1"/>
  <c r="S190" i="1"/>
  <c r="G190" i="1" s="1"/>
  <c r="S189" i="1"/>
  <c r="G189" i="1" s="1"/>
  <c r="S188" i="1"/>
  <c r="G188" i="1" s="1"/>
  <c r="S186" i="1"/>
  <c r="G186" i="1" s="1"/>
  <c r="S185" i="1"/>
  <c r="G185" i="1" s="1"/>
  <c r="S184" i="1"/>
  <c r="G184" i="1" s="1"/>
  <c r="S182" i="1"/>
  <c r="G182" i="1" s="1"/>
  <c r="S181" i="1"/>
  <c r="G181" i="1" s="1"/>
  <c r="S180" i="1"/>
  <c r="G180" i="1" s="1"/>
  <c r="S178" i="1"/>
  <c r="G178" i="1" s="1"/>
  <c r="S177" i="1"/>
  <c r="G177" i="1" s="1"/>
  <c r="S176" i="1"/>
  <c r="G176" i="1" s="1"/>
  <c r="S175" i="1"/>
  <c r="G175" i="1" s="1"/>
  <c r="S173" i="1"/>
  <c r="G173" i="1" s="1"/>
  <c r="S171" i="1"/>
  <c r="G171" i="1" s="1"/>
  <c r="S169" i="1"/>
  <c r="G169" i="1" s="1"/>
  <c r="S168" i="1"/>
  <c r="G168" i="1" s="1"/>
  <c r="S167" i="1"/>
  <c r="G167" i="1" s="1"/>
  <c r="S165" i="1"/>
  <c r="G165" i="1" s="1"/>
  <c r="S164" i="1"/>
  <c r="G164" i="1" s="1"/>
  <c r="S162" i="1"/>
  <c r="G162" i="1" s="1"/>
  <c r="S159" i="1"/>
  <c r="G159" i="1" s="1"/>
  <c r="S158" i="1"/>
  <c r="G158" i="1" s="1"/>
  <c r="S156" i="1"/>
  <c r="G156" i="1" s="1"/>
  <c r="S155" i="1"/>
  <c r="G155" i="1" s="1"/>
  <c r="S154" i="1"/>
  <c r="G154" i="1" s="1"/>
  <c r="S153" i="1"/>
  <c r="G153" i="1" s="1"/>
  <c r="S152" i="1"/>
  <c r="G152" i="1" s="1"/>
  <c r="S151" i="1"/>
  <c r="G151" i="1" s="1"/>
  <c r="S150" i="1"/>
  <c r="G150" i="1" s="1"/>
  <c r="S148" i="1"/>
  <c r="G148" i="1" s="1"/>
  <c r="S147" i="1"/>
  <c r="G147" i="1" s="1"/>
  <c r="S146" i="1"/>
  <c r="G146" i="1" s="1"/>
  <c r="S145" i="1"/>
  <c r="G145" i="1" s="1"/>
  <c r="S144" i="1"/>
  <c r="G144" i="1" s="1"/>
  <c r="S143" i="1"/>
  <c r="G143" i="1" s="1"/>
  <c r="S142" i="1"/>
  <c r="G142" i="1" s="1"/>
  <c r="S141" i="1"/>
  <c r="G141" i="1" s="1"/>
  <c r="S140" i="1"/>
  <c r="G140" i="1" s="1"/>
  <c r="S139" i="1"/>
  <c r="G139" i="1" s="1"/>
  <c r="S138" i="1"/>
  <c r="G138" i="1" s="1"/>
  <c r="S137" i="1"/>
  <c r="G137" i="1" s="1"/>
  <c r="S136" i="1"/>
  <c r="G136" i="1" s="1"/>
  <c r="S135" i="1"/>
  <c r="G135" i="1" s="1"/>
  <c r="S134" i="1"/>
  <c r="G134" i="1" s="1"/>
  <c r="S133" i="1"/>
  <c r="G133" i="1" s="1"/>
  <c r="S132" i="1"/>
  <c r="G132" i="1" s="1"/>
  <c r="S131" i="1"/>
  <c r="G131" i="1" s="1"/>
  <c r="S130" i="1"/>
  <c r="G130" i="1" s="1"/>
  <c r="S129" i="1"/>
  <c r="G129" i="1" s="1"/>
  <c r="S128" i="1"/>
  <c r="G128" i="1" s="1"/>
  <c r="S127" i="1"/>
  <c r="G127" i="1" s="1"/>
  <c r="S126" i="1"/>
  <c r="G126" i="1" s="1"/>
  <c r="S125" i="1"/>
  <c r="G125" i="1" s="1"/>
  <c r="S123" i="1"/>
  <c r="G123" i="1" s="1"/>
  <c r="S122" i="1"/>
  <c r="G122" i="1" s="1"/>
  <c r="S121" i="1"/>
  <c r="G121" i="1" s="1"/>
  <c r="S120" i="1"/>
  <c r="G120" i="1" s="1"/>
  <c r="S119" i="1"/>
  <c r="G119" i="1" s="1"/>
  <c r="S118" i="1"/>
  <c r="G118" i="1" s="1"/>
  <c r="S117" i="1"/>
  <c r="G117" i="1" s="1"/>
  <c r="S116" i="1"/>
  <c r="G116" i="1" s="1"/>
  <c r="S114" i="1"/>
  <c r="G114" i="1" s="1"/>
  <c r="S113" i="1"/>
  <c r="G113" i="1" s="1"/>
  <c r="S112" i="1"/>
  <c r="G112" i="1" s="1"/>
  <c r="S111" i="1"/>
  <c r="G111" i="1" s="1"/>
  <c r="S110" i="1"/>
  <c r="G110" i="1" s="1"/>
  <c r="S109" i="1"/>
  <c r="G109" i="1" s="1"/>
  <c r="S108" i="1"/>
  <c r="G108" i="1" s="1"/>
  <c r="S107" i="1"/>
  <c r="G107" i="1" s="1"/>
  <c r="S106" i="1"/>
  <c r="G106" i="1" s="1"/>
  <c r="S105" i="1"/>
  <c r="G105" i="1" s="1"/>
  <c r="S104" i="1"/>
  <c r="G104" i="1" s="1"/>
  <c r="S103" i="1"/>
  <c r="G103" i="1" s="1"/>
  <c r="S102" i="1"/>
  <c r="G102" i="1" s="1"/>
  <c r="S101" i="1"/>
  <c r="G101" i="1" s="1"/>
  <c r="S100" i="1"/>
  <c r="G100" i="1" s="1"/>
  <c r="S99" i="1"/>
  <c r="G99" i="1" s="1"/>
  <c r="S98" i="1"/>
  <c r="G98" i="1" s="1"/>
  <c r="S97" i="1"/>
  <c r="G97" i="1" s="1"/>
  <c r="S96" i="1"/>
  <c r="G96" i="1" s="1"/>
  <c r="S95" i="1"/>
  <c r="G95" i="1" s="1"/>
  <c r="S94" i="1"/>
  <c r="G94" i="1" s="1"/>
  <c r="S93" i="1"/>
  <c r="G93" i="1" s="1"/>
  <c r="S92" i="1"/>
  <c r="G92" i="1" s="1"/>
  <c r="S91" i="1"/>
  <c r="G91" i="1" s="1"/>
  <c r="S89" i="1"/>
  <c r="G89" i="1" s="1"/>
  <c r="S88" i="1"/>
  <c r="G88" i="1" s="1"/>
  <c r="S87" i="1"/>
  <c r="G87" i="1" s="1"/>
  <c r="S86" i="1"/>
  <c r="G86" i="1" s="1"/>
  <c r="S85" i="1"/>
  <c r="G85" i="1" s="1"/>
  <c r="S84" i="1"/>
  <c r="G84" i="1" s="1"/>
  <c r="S83" i="1"/>
  <c r="G83" i="1" s="1"/>
  <c r="S82" i="1"/>
  <c r="G82" i="1" s="1"/>
  <c r="S80" i="1"/>
  <c r="G80" i="1" s="1"/>
  <c r="S79" i="1"/>
  <c r="G79" i="1" s="1"/>
  <c r="S78" i="1"/>
  <c r="G78" i="1" s="1"/>
  <c r="S77" i="1"/>
  <c r="G77" i="1" s="1"/>
  <c r="S76" i="1"/>
  <c r="G76" i="1" s="1"/>
  <c r="S74" i="1"/>
  <c r="G74" i="1" s="1"/>
  <c r="S71" i="1"/>
  <c r="G71" i="1" s="1"/>
  <c r="S70" i="1"/>
  <c r="G70" i="1" s="1"/>
  <c r="S69" i="1"/>
  <c r="G69" i="1" s="1"/>
  <c r="S68" i="1"/>
  <c r="G68" i="1" s="1"/>
  <c r="S66" i="1"/>
  <c r="G66" i="1" s="1"/>
  <c r="S65" i="1"/>
  <c r="G65" i="1" s="1"/>
  <c r="S64" i="1"/>
  <c r="G64" i="1" s="1"/>
  <c r="S63" i="1"/>
  <c r="G63" i="1" s="1"/>
  <c r="S62" i="1"/>
  <c r="G62" i="1" s="1"/>
  <c r="S61" i="1"/>
  <c r="G61" i="1" s="1"/>
  <c r="S60" i="1"/>
  <c r="G60" i="1" s="1"/>
  <c r="S59" i="1"/>
  <c r="G59" i="1" s="1"/>
  <c r="S57" i="1"/>
  <c r="G57" i="1" s="1"/>
  <c r="S56" i="1"/>
  <c r="G56" i="1" s="1"/>
  <c r="S55" i="1"/>
  <c r="G55" i="1" s="1"/>
  <c r="S54" i="1"/>
  <c r="G54" i="1" s="1"/>
  <c r="S53" i="1"/>
  <c r="G53" i="1" s="1"/>
  <c r="S52" i="1"/>
  <c r="G52" i="1" s="1"/>
  <c r="S51" i="1"/>
  <c r="G51" i="1" s="1"/>
  <c r="S50" i="1"/>
  <c r="G50" i="1" s="1"/>
  <c r="S49" i="1"/>
  <c r="G49" i="1" s="1"/>
  <c r="S48" i="1"/>
  <c r="G48" i="1" s="1"/>
  <c r="S47" i="1"/>
  <c r="G47" i="1" s="1"/>
  <c r="S45" i="1"/>
  <c r="G45" i="1" s="1"/>
  <c r="S44" i="1"/>
  <c r="G44" i="1" s="1"/>
  <c r="S43" i="1"/>
  <c r="G43" i="1" s="1"/>
  <c r="S41" i="1"/>
  <c r="G41" i="1" s="1"/>
  <c r="S40" i="1"/>
  <c r="G40" i="1" s="1"/>
  <c r="S39" i="1"/>
  <c r="G39" i="1" s="1"/>
  <c r="S38" i="1"/>
  <c r="G38" i="1" s="1"/>
  <c r="S36" i="1"/>
  <c r="G36" i="1" s="1"/>
  <c r="S35" i="1"/>
  <c r="G35" i="1" s="1"/>
  <c r="S34" i="1"/>
  <c r="G34" i="1" s="1"/>
  <c r="S33" i="1"/>
  <c r="G33" i="1" s="1"/>
  <c r="S32" i="1"/>
  <c r="G32" i="1" s="1"/>
  <c r="S30" i="1"/>
  <c r="G30" i="1" s="1"/>
  <c r="S29" i="1"/>
  <c r="G29" i="1" s="1"/>
  <c r="S28" i="1"/>
  <c r="G28" i="1" s="1"/>
  <c r="S26" i="1"/>
  <c r="G26" i="1" s="1"/>
  <c r="S25" i="1"/>
  <c r="G25" i="1" s="1"/>
  <c r="S24" i="1"/>
  <c r="G24" i="1" s="1"/>
  <c r="S23" i="1"/>
  <c r="G23" i="1" s="1"/>
  <c r="S22" i="1"/>
  <c r="G22" i="1" s="1"/>
  <c r="S21" i="1"/>
  <c r="G21" i="1" s="1"/>
  <c r="S20" i="1"/>
  <c r="G20" i="1" s="1"/>
  <c r="S19" i="1"/>
  <c r="G19" i="1" s="1"/>
  <c r="H28" i="1" l="1"/>
  <c r="H38" i="1"/>
  <c r="H48" i="1"/>
  <c r="H64" i="1"/>
  <c r="H85" i="1"/>
  <c r="H93" i="1"/>
  <c r="H109" i="1"/>
  <c r="H118" i="1"/>
  <c r="H127" i="1"/>
  <c r="H135" i="1"/>
  <c r="H143" i="1"/>
  <c r="H151" i="1"/>
  <c r="H155" i="1"/>
  <c r="H168" i="1"/>
  <c r="H39" i="1"/>
  <c r="H49" i="1"/>
  <c r="H56" i="1"/>
  <c r="H74" i="1"/>
  <c r="H79" i="1"/>
  <c r="H86" i="1"/>
  <c r="H94" i="1"/>
  <c r="H102" i="1"/>
  <c r="H110" i="1"/>
  <c r="H119" i="1"/>
  <c r="H128" i="1"/>
  <c r="H136" i="1"/>
  <c r="H144" i="1"/>
  <c r="H152" i="1"/>
  <c r="H156" i="1"/>
  <c r="H169" i="1"/>
  <c r="H40" i="1"/>
  <c r="H45" i="1"/>
  <c r="H50" i="1"/>
  <c r="H57" i="1"/>
  <c r="H62" i="1"/>
  <c r="H66" i="1"/>
  <c r="H76" i="1"/>
  <c r="H83" i="1"/>
  <c r="H91" i="1"/>
  <c r="H95" i="1"/>
  <c r="H99" i="1"/>
  <c r="H111" i="1"/>
  <c r="H116" i="1"/>
  <c r="H120" i="1"/>
  <c r="H125" i="1"/>
  <c r="H129" i="1"/>
  <c r="H137" i="1"/>
  <c r="H141" i="1"/>
  <c r="H145" i="1"/>
  <c r="H148" i="1"/>
  <c r="H153" i="1"/>
  <c r="H165" i="1"/>
  <c r="H23" i="1"/>
  <c r="H33" i="1"/>
  <c r="H60" i="1"/>
  <c r="H89" i="1"/>
  <c r="H97" i="1"/>
  <c r="H105" i="1"/>
  <c r="H122" i="1"/>
  <c r="H131" i="1"/>
  <c r="H185" i="1"/>
  <c r="H24" i="1"/>
  <c r="H34" i="1"/>
  <c r="H44" i="1"/>
  <c r="H82" i="1"/>
  <c r="H98" i="1"/>
  <c r="H106" i="1"/>
  <c r="H114" i="1"/>
  <c r="H132" i="1"/>
  <c r="H140" i="1"/>
  <c r="H181" i="1"/>
  <c r="H35" i="1"/>
  <c r="H22" i="1"/>
  <c r="H26" i="1"/>
  <c r="H32" i="1"/>
  <c r="H36" i="1"/>
  <c r="H41" i="1"/>
  <c r="H47" i="1"/>
  <c r="H51" i="1"/>
  <c r="H55" i="1"/>
  <c r="H77" i="1"/>
  <c r="H80" i="1"/>
  <c r="H96" i="1"/>
  <c r="H100" i="1"/>
  <c r="H108" i="1"/>
  <c r="H112" i="1"/>
  <c r="H117" i="1"/>
  <c r="H130" i="1"/>
  <c r="H142" i="1"/>
  <c r="H146" i="1"/>
  <c r="H150" i="1"/>
  <c r="H159" i="1"/>
  <c r="H178" i="1"/>
  <c r="H189" i="1"/>
  <c r="H19" i="1"/>
  <c r="H162" i="1"/>
  <c r="H161" i="1" s="1"/>
  <c r="H180" i="1"/>
  <c r="H164" i="1"/>
  <c r="H158" i="1"/>
  <c r="H171" i="1"/>
  <c r="H170" i="1" s="1"/>
  <c r="H20" i="1"/>
  <c r="H167" i="1"/>
  <c r="H173" i="1"/>
  <c r="H172" i="1" s="1"/>
  <c r="H184" i="1"/>
  <c r="H190" i="1" l="1"/>
  <c r="H188" i="1"/>
  <c r="H25" i="1"/>
  <c r="H84" i="1"/>
  <c r="H52" i="1"/>
  <c r="H163" i="1"/>
  <c r="H134" i="1"/>
  <c r="H68" i="1"/>
  <c r="H147" i="1"/>
  <c r="H175" i="1"/>
  <c r="H192" i="1"/>
  <c r="H107" i="1"/>
  <c r="H126" i="1"/>
  <c r="H92" i="1"/>
  <c r="H59" i="1"/>
  <c r="H61" i="1"/>
  <c r="H139" i="1"/>
  <c r="H69" i="1"/>
  <c r="H182" i="1"/>
  <c r="H179" i="1" s="1"/>
  <c r="H133" i="1"/>
  <c r="H21" i="1"/>
  <c r="H37" i="1"/>
  <c r="H31" i="1"/>
  <c r="H154" i="1"/>
  <c r="H149" i="1" s="1"/>
  <c r="H63" i="1"/>
  <c r="H191" i="1"/>
  <c r="H70" i="1"/>
  <c r="H113" i="1"/>
  <c r="H78" i="1"/>
  <c r="H72" i="1" s="1"/>
  <c r="H43" i="1"/>
  <c r="H42" i="1" s="1"/>
  <c r="H103" i="1"/>
  <c r="H87" i="1"/>
  <c r="H54" i="1"/>
  <c r="H186" i="1"/>
  <c r="H183" i="1" s="1"/>
  <c r="H101" i="1"/>
  <c r="H166" i="1"/>
  <c r="H157" i="1"/>
  <c r="H138" i="1"/>
  <c r="H121" i="1"/>
  <c r="H104" i="1"/>
  <c r="H88" i="1"/>
  <c r="H71" i="1"/>
  <c r="H176" i="1"/>
  <c r="H123" i="1"/>
  <c r="H53" i="1"/>
  <c r="H177" i="1"/>
  <c r="H30" i="1"/>
  <c r="H65" i="1"/>
  <c r="H29" i="1"/>
  <c r="H18" i="1" l="1"/>
  <c r="H174" i="1"/>
  <c r="H46" i="1"/>
  <c r="H67" i="1"/>
  <c r="H187" i="1"/>
  <c r="H124" i="1"/>
  <c r="H81" i="1"/>
  <c r="H115" i="1"/>
  <c r="H27" i="1"/>
  <c r="H58" i="1"/>
  <c r="H90" i="1"/>
  <c r="L69" i="3"/>
  <c r="M89" i="3"/>
  <c r="M77" i="3"/>
  <c r="M80" i="3"/>
  <c r="M83" i="3"/>
  <c r="M86" i="3"/>
  <c r="M74" i="3"/>
  <c r="L78" i="3"/>
  <c r="H160" i="1" l="1"/>
  <c r="H17" i="1"/>
  <c r="L66" i="3"/>
  <c r="L72" i="3"/>
  <c r="L81" i="3"/>
  <c r="G194" i="1" l="1"/>
  <c r="L84" i="3"/>
  <c r="L90" i="3"/>
  <c r="L75" i="3"/>
  <c r="L87" i="3"/>
  <c r="D50" i="5" l="1"/>
  <c r="C50" i="5"/>
  <c r="D46" i="5"/>
  <c r="C46" i="5"/>
  <c r="D39" i="5"/>
  <c r="C39" i="5"/>
  <c r="D27" i="5"/>
  <c r="C27" i="5"/>
  <c r="C51" i="5" l="1"/>
  <c r="D51" i="5"/>
  <c r="M55" i="3"/>
  <c r="M58" i="3"/>
  <c r="M61" i="3"/>
  <c r="M65" i="3"/>
  <c r="M68" i="3"/>
  <c r="M71" i="3"/>
  <c r="M52" i="3"/>
  <c r="M49" i="3"/>
  <c r="M46" i="3"/>
  <c r="H72" i="3" l="1"/>
  <c r="H35" i="3" l="1"/>
  <c r="G20" i="3" l="1"/>
  <c r="F20" i="3"/>
  <c r="M43" i="3" l="1"/>
  <c r="M40" i="3"/>
  <c r="M37" i="3"/>
  <c r="M34" i="3"/>
  <c r="M31" i="3"/>
  <c r="M28" i="3"/>
  <c r="M25" i="3"/>
  <c r="M22" i="3"/>
  <c r="M19" i="3"/>
  <c r="M16" i="3"/>
  <c r="B27" i="2"/>
  <c r="I11" i="1" s="1"/>
  <c r="I190" i="1" l="1"/>
  <c r="J190" i="1" s="1"/>
  <c r="I188" i="1"/>
  <c r="J188" i="1" s="1"/>
  <c r="I73" i="1"/>
  <c r="J73" i="1" s="1"/>
  <c r="I75" i="1"/>
  <c r="J75" i="1" s="1"/>
  <c r="I93" i="1"/>
  <c r="J93" i="1" s="1"/>
  <c r="I44" i="1"/>
  <c r="J44" i="1" s="1"/>
  <c r="I110" i="1"/>
  <c r="J110" i="1" s="1"/>
  <c r="I95" i="1"/>
  <c r="J95" i="1" s="1"/>
  <c r="I64" i="1"/>
  <c r="J64" i="1" s="1"/>
  <c r="I155" i="1"/>
  <c r="J155" i="1" s="1"/>
  <c r="I114" i="1"/>
  <c r="J114" i="1" s="1"/>
  <c r="I100" i="1"/>
  <c r="J100" i="1" s="1"/>
  <c r="I165" i="1"/>
  <c r="J165" i="1" s="1"/>
  <c r="I56" i="1"/>
  <c r="J56" i="1" s="1"/>
  <c r="I171" i="1"/>
  <c r="J171" i="1" s="1"/>
  <c r="J170" i="1" s="1"/>
  <c r="C74" i="3" s="1"/>
  <c r="I39" i="1"/>
  <c r="J39" i="1" s="1"/>
  <c r="I135" i="1"/>
  <c r="J135" i="1" s="1"/>
  <c r="I158" i="1"/>
  <c r="J158" i="1" s="1"/>
  <c r="I20" i="1"/>
  <c r="J20" i="1" s="1"/>
  <c r="I28" i="1"/>
  <c r="J28" i="1" s="1"/>
  <c r="I109" i="1"/>
  <c r="J109" i="1" s="1"/>
  <c r="I49" i="1"/>
  <c r="J49" i="1" s="1"/>
  <c r="I136" i="1"/>
  <c r="J136" i="1" s="1"/>
  <c r="I125" i="1"/>
  <c r="J125" i="1" s="1"/>
  <c r="I89" i="1"/>
  <c r="J89" i="1" s="1"/>
  <c r="I24" i="1"/>
  <c r="J24" i="1" s="1"/>
  <c r="I32" i="1"/>
  <c r="J32" i="1" s="1"/>
  <c r="I117" i="1"/>
  <c r="J117" i="1" s="1"/>
  <c r="I167" i="1"/>
  <c r="J167" i="1" s="1"/>
  <c r="I164" i="1"/>
  <c r="J164" i="1" s="1"/>
  <c r="I162" i="1"/>
  <c r="J162" i="1" s="1"/>
  <c r="J161" i="1" s="1"/>
  <c r="I102" i="1"/>
  <c r="J102" i="1" s="1"/>
  <c r="I23" i="1"/>
  <c r="J23" i="1" s="1"/>
  <c r="I51" i="1"/>
  <c r="J51" i="1" s="1"/>
  <c r="I57" i="1"/>
  <c r="J57" i="1" s="1"/>
  <c r="I19" i="1"/>
  <c r="J19" i="1" s="1"/>
  <c r="I48" i="1"/>
  <c r="J48" i="1" s="1"/>
  <c r="I131" i="1"/>
  <c r="J131" i="1" s="1"/>
  <c r="I79" i="1"/>
  <c r="J79" i="1" s="1"/>
  <c r="I76" i="1"/>
  <c r="J76" i="1" s="1"/>
  <c r="I141" i="1"/>
  <c r="J141" i="1" s="1"/>
  <c r="I127" i="1"/>
  <c r="J127" i="1" s="1"/>
  <c r="I74" i="1"/>
  <c r="J74" i="1" s="1"/>
  <c r="I150" i="1"/>
  <c r="J150" i="1" s="1"/>
  <c r="I173" i="1"/>
  <c r="J173" i="1" s="1"/>
  <c r="J172" i="1" s="1"/>
  <c r="C77" i="3" s="1"/>
  <c r="I169" i="1"/>
  <c r="J169" i="1" s="1"/>
  <c r="I168" i="1"/>
  <c r="J168" i="1" s="1"/>
  <c r="I91" i="1"/>
  <c r="J91" i="1" s="1"/>
  <c r="I82" i="1"/>
  <c r="J82" i="1" s="1"/>
  <c r="I184" i="1"/>
  <c r="J184" i="1" s="1"/>
  <c r="I180" i="1"/>
  <c r="J180" i="1" s="1"/>
  <c r="I63" i="1"/>
  <c r="J63" i="1" s="1"/>
  <c r="I54" i="1"/>
  <c r="J54" i="1" s="1"/>
  <c r="I126" i="1"/>
  <c r="J126" i="1" s="1"/>
  <c r="I139" i="1"/>
  <c r="J139" i="1" s="1"/>
  <c r="I21" i="1"/>
  <c r="J21" i="1" s="1"/>
  <c r="I154" i="1"/>
  <c r="J154" i="1" s="1"/>
  <c r="I88" i="1"/>
  <c r="J88" i="1" s="1"/>
  <c r="I101" i="1"/>
  <c r="J101" i="1" s="1"/>
  <c r="I84" i="1"/>
  <c r="J84" i="1" s="1"/>
  <c r="I175" i="1"/>
  <c r="J175" i="1" s="1"/>
  <c r="I153" i="1"/>
  <c r="J153" i="1" s="1"/>
  <c r="I143" i="1"/>
  <c r="J143" i="1" s="1"/>
  <c r="I116" i="1"/>
  <c r="J116" i="1" s="1"/>
  <c r="I40" i="1"/>
  <c r="J40" i="1" s="1"/>
  <c r="I105" i="1"/>
  <c r="J105" i="1" s="1"/>
  <c r="I83" i="1"/>
  <c r="J83" i="1" s="1"/>
  <c r="I22" i="1"/>
  <c r="J22" i="1" s="1"/>
  <c r="I45" i="1"/>
  <c r="J45" i="1" s="1"/>
  <c r="I112" i="1"/>
  <c r="J112" i="1" s="1"/>
  <c r="I140" i="1"/>
  <c r="J140" i="1" s="1"/>
  <c r="I62" i="1"/>
  <c r="J62" i="1" s="1"/>
  <c r="I145" i="1"/>
  <c r="J145" i="1" s="1"/>
  <c r="I94" i="1"/>
  <c r="J94" i="1" s="1"/>
  <c r="I78" i="1"/>
  <c r="J78" i="1" s="1"/>
  <c r="I29" i="1"/>
  <c r="J29" i="1" s="1"/>
  <c r="I92" i="1"/>
  <c r="J92" i="1" s="1"/>
  <c r="I69" i="1"/>
  <c r="J69" i="1" s="1"/>
  <c r="I103" i="1"/>
  <c r="J103" i="1" s="1"/>
  <c r="I138" i="1"/>
  <c r="J138" i="1" s="1"/>
  <c r="I71" i="1"/>
  <c r="J71" i="1" s="1"/>
  <c r="I53" i="1"/>
  <c r="J53" i="1" s="1"/>
  <c r="I191" i="1"/>
  <c r="J191" i="1" s="1"/>
  <c r="I68" i="1"/>
  <c r="J68" i="1" s="1"/>
  <c r="I52" i="1"/>
  <c r="J52" i="1" s="1"/>
  <c r="I41" i="1"/>
  <c r="J41" i="1" s="1"/>
  <c r="I50" i="1"/>
  <c r="J50" i="1" s="1"/>
  <c r="I142" i="1"/>
  <c r="J142" i="1" s="1"/>
  <c r="I148" i="1"/>
  <c r="J148" i="1" s="1"/>
  <c r="I108" i="1"/>
  <c r="J108" i="1" s="1"/>
  <c r="I151" i="1"/>
  <c r="J151" i="1" s="1"/>
  <c r="I96" i="1"/>
  <c r="J96" i="1" s="1"/>
  <c r="I106" i="1"/>
  <c r="J106" i="1" s="1"/>
  <c r="I118" i="1"/>
  <c r="J118" i="1" s="1"/>
  <c r="I185" i="1"/>
  <c r="J185" i="1" s="1"/>
  <c r="I129" i="1"/>
  <c r="J129" i="1" s="1"/>
  <c r="I60" i="1"/>
  <c r="J60" i="1" s="1"/>
  <c r="I146" i="1"/>
  <c r="J146" i="1" s="1"/>
  <c r="I43" i="1"/>
  <c r="J43" i="1" s="1"/>
  <c r="I59" i="1"/>
  <c r="J59" i="1" s="1"/>
  <c r="I182" i="1"/>
  <c r="J182" i="1" s="1"/>
  <c r="I70" i="1"/>
  <c r="J70" i="1" s="1"/>
  <c r="I87" i="1"/>
  <c r="J87" i="1" s="1"/>
  <c r="I121" i="1"/>
  <c r="J121" i="1" s="1"/>
  <c r="I176" i="1"/>
  <c r="J176" i="1" s="1"/>
  <c r="I177" i="1"/>
  <c r="J177" i="1" s="1"/>
  <c r="I30" i="1"/>
  <c r="J30" i="1" s="1"/>
  <c r="I25" i="1"/>
  <c r="J25" i="1" s="1"/>
  <c r="I192" i="1"/>
  <c r="J192" i="1" s="1"/>
  <c r="I181" i="1"/>
  <c r="J181" i="1" s="1"/>
  <c r="I132" i="1"/>
  <c r="J132" i="1" s="1"/>
  <c r="I86" i="1"/>
  <c r="J86" i="1" s="1"/>
  <c r="I33" i="1"/>
  <c r="J33" i="1" s="1"/>
  <c r="I159" i="1"/>
  <c r="J159" i="1" s="1"/>
  <c r="I26" i="1"/>
  <c r="J26" i="1" s="1"/>
  <c r="I152" i="1"/>
  <c r="J152" i="1" s="1"/>
  <c r="I66" i="1"/>
  <c r="J66" i="1" s="1"/>
  <c r="I111" i="1"/>
  <c r="J111" i="1" s="1"/>
  <c r="I178" i="1"/>
  <c r="J178" i="1" s="1"/>
  <c r="I80" i="1"/>
  <c r="J80" i="1" s="1"/>
  <c r="I85" i="1"/>
  <c r="J85" i="1" s="1"/>
  <c r="I36" i="1"/>
  <c r="J36" i="1" s="1"/>
  <c r="I35" i="1"/>
  <c r="J35" i="1" s="1"/>
  <c r="I38" i="1"/>
  <c r="J38" i="1" s="1"/>
  <c r="I97" i="1"/>
  <c r="J97" i="1" s="1"/>
  <c r="I47" i="1"/>
  <c r="J47" i="1" s="1"/>
  <c r="I61" i="1"/>
  <c r="J61" i="1" s="1"/>
  <c r="I133" i="1"/>
  <c r="J133" i="1" s="1"/>
  <c r="I113" i="1"/>
  <c r="J113" i="1" s="1"/>
  <c r="I65" i="1"/>
  <c r="J65" i="1" s="1"/>
  <c r="I104" i="1"/>
  <c r="J104" i="1" s="1"/>
  <c r="I123" i="1"/>
  <c r="J123" i="1" s="1"/>
  <c r="I186" i="1"/>
  <c r="J186" i="1" s="1"/>
  <c r="I134" i="1"/>
  <c r="J134" i="1" s="1"/>
  <c r="I147" i="1"/>
  <c r="J147" i="1" s="1"/>
  <c r="I107" i="1"/>
  <c r="J107" i="1" s="1"/>
  <c r="I77" i="1"/>
  <c r="J77" i="1" s="1"/>
  <c r="I34" i="1"/>
  <c r="J34" i="1" s="1"/>
  <c r="I189" i="1"/>
  <c r="J189" i="1" s="1"/>
  <c r="I99" i="1"/>
  <c r="J99" i="1" s="1"/>
  <c r="I122" i="1"/>
  <c r="J122" i="1" s="1"/>
  <c r="I98" i="1"/>
  <c r="J98" i="1" s="1"/>
  <c r="I137" i="1"/>
  <c r="J137" i="1" s="1"/>
  <c r="I119" i="1"/>
  <c r="J119" i="1" s="1"/>
  <c r="I144" i="1"/>
  <c r="J144" i="1" s="1"/>
  <c r="I130" i="1"/>
  <c r="J130" i="1" s="1"/>
  <c r="I55" i="1"/>
  <c r="J55" i="1" s="1"/>
  <c r="I120" i="1"/>
  <c r="J120" i="1" s="1"/>
  <c r="I156" i="1"/>
  <c r="J156" i="1" s="1"/>
  <c r="I128" i="1"/>
  <c r="J128" i="1" s="1"/>
  <c r="E35" i="3"/>
  <c r="C65" i="3" l="1"/>
  <c r="E66" i="3" s="1"/>
  <c r="M66" i="3" s="1"/>
  <c r="J42" i="1"/>
  <c r="C31" i="3" s="1"/>
  <c r="G32" i="3" s="1"/>
  <c r="J157" i="1"/>
  <c r="C61" i="3" s="1"/>
  <c r="L62" i="3" s="1"/>
  <c r="M62" i="3" s="1"/>
  <c r="J163" i="1"/>
  <c r="C68" i="3" s="1"/>
  <c r="E69" i="3" s="1"/>
  <c r="M69" i="3" s="1"/>
  <c r="J37" i="1"/>
  <c r="C28" i="3" s="1"/>
  <c r="H29" i="3" s="1"/>
  <c r="J187" i="1"/>
  <c r="C89" i="3" s="1"/>
  <c r="J183" i="1"/>
  <c r="C86" i="3" s="1"/>
  <c r="J67" i="1"/>
  <c r="C40" i="3" s="1"/>
  <c r="J174" i="1"/>
  <c r="J179" i="1"/>
  <c r="C83" i="3" s="1"/>
  <c r="J72" i="1"/>
  <c r="C43" i="3" s="1"/>
  <c r="L44" i="3" s="1"/>
  <c r="M44" i="3" s="1"/>
  <c r="J124" i="1"/>
  <c r="C55" i="3" s="1"/>
  <c r="J27" i="1"/>
  <c r="C22" i="3" s="1"/>
  <c r="E23" i="3" s="1"/>
  <c r="J115" i="1"/>
  <c r="C52" i="3" s="1"/>
  <c r="J31" i="1"/>
  <c r="C25" i="3" s="1"/>
  <c r="H75" i="3"/>
  <c r="M75" i="3" s="1"/>
  <c r="J46" i="1"/>
  <c r="C34" i="3" s="1"/>
  <c r="J58" i="1"/>
  <c r="C37" i="3" s="1"/>
  <c r="H38" i="3" s="1"/>
  <c r="M38" i="3" s="1"/>
  <c r="J81" i="1"/>
  <c r="C46" i="3" s="1"/>
  <c r="G78" i="3"/>
  <c r="F78" i="3"/>
  <c r="J90" i="1"/>
  <c r="C49" i="3" s="1"/>
  <c r="J149" i="1"/>
  <c r="C58" i="3" s="1"/>
  <c r="J18" i="1"/>
  <c r="J166" i="1"/>
  <c r="C71" i="3" s="1"/>
  <c r="H41" i="3"/>
  <c r="G29" i="3" l="1"/>
  <c r="H90" i="3"/>
  <c r="J160" i="1"/>
  <c r="F32" i="3"/>
  <c r="F29" i="3"/>
  <c r="M29" i="3" s="1"/>
  <c r="E90" i="3"/>
  <c r="M78" i="3"/>
  <c r="G90" i="3"/>
  <c r="F72" i="3"/>
  <c r="M72" i="3" s="1"/>
  <c r="C19" i="3"/>
  <c r="J17" i="1"/>
  <c r="H47" i="3"/>
  <c r="J47" i="3"/>
  <c r="I47" i="3"/>
  <c r="K53" i="3"/>
  <c r="J53" i="3"/>
  <c r="E53" i="3"/>
  <c r="H84" i="3"/>
  <c r="I84" i="3"/>
  <c r="L59" i="3"/>
  <c r="M59" i="3" s="1"/>
  <c r="F26" i="3"/>
  <c r="E26" i="3"/>
  <c r="F23" i="3"/>
  <c r="M23" i="3" s="1"/>
  <c r="C80" i="3"/>
  <c r="I50" i="3"/>
  <c r="H50" i="3"/>
  <c r="K50" i="3"/>
  <c r="K35" i="3"/>
  <c r="J35" i="3"/>
  <c r="H56" i="3"/>
  <c r="K56" i="3"/>
  <c r="J56" i="3"/>
  <c r="J41" i="3"/>
  <c r="I41" i="3"/>
  <c r="I87" i="3"/>
  <c r="M87" i="3" s="1"/>
  <c r="M32" i="3"/>
  <c r="C93" i="3" l="1"/>
  <c r="D22" i="3" s="1"/>
  <c r="M90" i="3"/>
  <c r="M26" i="3"/>
  <c r="M41" i="3"/>
  <c r="M47" i="3"/>
  <c r="G93" i="3"/>
  <c r="M50" i="3"/>
  <c r="M53" i="3"/>
  <c r="M56" i="3"/>
  <c r="M84" i="3"/>
  <c r="M35" i="3"/>
  <c r="I93" i="3"/>
  <c r="F93" i="3"/>
  <c r="G196" i="1"/>
  <c r="E20" i="3"/>
  <c r="E93" i="3" s="1"/>
  <c r="H81" i="3"/>
  <c r="J93" i="3"/>
  <c r="K93" i="3"/>
  <c r="L93" i="3"/>
  <c r="M17" i="3"/>
  <c r="K95" i="3" l="1"/>
  <c r="D43" i="3"/>
  <c r="D52" i="3"/>
  <c r="D58" i="3"/>
  <c r="D31" i="3"/>
  <c r="D61" i="3"/>
  <c r="D68" i="3"/>
  <c r="D86" i="3"/>
  <c r="D37" i="3"/>
  <c r="D74" i="3"/>
  <c r="D34" i="3"/>
  <c r="D46" i="3"/>
  <c r="D65" i="3"/>
  <c r="L95" i="3"/>
  <c r="E94" i="3"/>
  <c r="F94" i="3" s="1"/>
  <c r="G94" i="3" s="1"/>
  <c r="E95" i="3"/>
  <c r="E96" i="3" s="1"/>
  <c r="G95" i="3"/>
  <c r="M81" i="3"/>
  <c r="H93" i="3"/>
  <c r="H95" i="3" s="1"/>
  <c r="M12" i="1"/>
  <c r="G195" i="1"/>
  <c r="D28" i="3"/>
  <c r="D49" i="3"/>
  <c r="D55" i="3"/>
  <c r="D89" i="3"/>
  <c r="D80" i="3"/>
  <c r="I95" i="3"/>
  <c r="M20" i="3"/>
  <c r="F95" i="3"/>
  <c r="D19" i="3"/>
  <c r="D25" i="3"/>
  <c r="D40" i="3"/>
  <c r="D83" i="3"/>
  <c r="D77" i="3"/>
  <c r="D71" i="3"/>
  <c r="J95" i="3"/>
  <c r="D93" i="3" l="1"/>
  <c r="M95" i="3"/>
  <c r="F96" i="3"/>
  <c r="G96" i="3" s="1"/>
  <c r="H96" i="3" s="1"/>
  <c r="I96" i="3" s="1"/>
  <c r="J96" i="3" s="1"/>
  <c r="K96" i="3" s="1"/>
  <c r="L96" i="3" s="1"/>
  <c r="H94" i="3"/>
  <c r="I94" i="3" s="1"/>
  <c r="J94" i="3" s="1"/>
  <c r="K94" i="3" s="1"/>
  <c r="L94" i="3" s="1"/>
</calcChain>
</file>

<file path=xl/sharedStrings.xml><?xml version="1.0" encoding="utf-8"?>
<sst xmlns="http://schemas.openxmlformats.org/spreadsheetml/2006/main" count="831" uniqueCount="488">
  <si>
    <t>ITEM</t>
  </si>
  <si>
    <t>QUANT.</t>
  </si>
  <si>
    <t xml:space="preserve">DESCRIÇÃO DOS SERVIÇOS </t>
  </si>
  <si>
    <t>UND.</t>
  </si>
  <si>
    <t>PLANILHA ORÇAMETÁRIA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</si>
  <si>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</si>
  <si>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</si>
  <si>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</si>
  <si>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</si>
  <si>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</si>
  <si>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</si>
  <si>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</si>
  <si>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</si>
  <si>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</si>
  <si>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</si>
  <si>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</si>
  <si>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</si>
  <si>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</si>
  <si>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</si>
  <si>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</si>
  <si>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</si>
  <si>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</si>
  <si>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</si>
  <si>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</si>
  <si>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</si>
  <si>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</si>
  <si>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</si>
  <si>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</si>
  <si>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</si>
  <si>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(0,65%), COFINS (3,00%) e ISS (variável até 5,00% conforme o município).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</si>
  <si>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</si>
  <si>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</si>
  <si>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</si>
  <si>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</si>
  <si>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</si>
  <si>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</si>
  <si>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</si>
  <si>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</si>
  <si>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</si>
  <si>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</si>
  <si>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</si>
  <si>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</si>
  <si>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</si>
  <si>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COMPOSIÇÃO DE BDI</t>
  </si>
  <si>
    <t>CRONOGRAMA FÍSICO-FINACEIRO</t>
  </si>
  <si>
    <t>DESCRIÇÃO DOS SERVIÇOS</t>
  </si>
  <si>
    <t>MÊS 01</t>
  </si>
  <si>
    <t>MÊS 02</t>
  </si>
  <si>
    <t>MÊS 03</t>
  </si>
  <si>
    <t>TOTAIS SIMPLES</t>
  </si>
  <si>
    <t>TOTAIS ACUMULADOS</t>
  </si>
  <si>
    <t>PERCENTUAL MENSAL %</t>
  </si>
  <si>
    <t>PERCENTUAL ACUMULADO %</t>
  </si>
  <si>
    <t>MÊS 04</t>
  </si>
  <si>
    <t>MÊS 05</t>
  </si>
  <si>
    <t>MÊS 06</t>
  </si>
  <si>
    <t>ENCARGOS SOCIAIS SOBRE A MÃO DE OBRA</t>
  </si>
  <si>
    <t>CÓDIGO</t>
  </si>
  <si>
    <t>DESCRIÇÃO</t>
  </si>
  <si>
    <t>COM DESONERAÇÃO</t>
  </si>
  <si>
    <t>HORISTA</t>
  </si>
  <si>
    <t>MENSALISTA</t>
  </si>
  <si>
    <t>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</si>
  <si>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</si>
  <si>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</si>
  <si>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</si>
  <si>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</si>
  <si>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</si>
  <si>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</si>
  <si>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</si>
  <si>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</si>
  <si>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</si>
  <si>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</si>
  <si>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</si>
  <si>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</si>
  <si>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</si>
  <si>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</si>
  <si>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</si>
  <si>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</si>
  <si>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</si>
  <si>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</si>
  <si>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</si>
  <si>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</si>
  <si>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</si>
  <si>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</si>
  <si>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</si>
  <si>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</si>
  <si>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</si>
  <si>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</si>
  <si>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</si>
  <si>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</si>
  <si>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</si>
  <si>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</si>
  <si>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</si>
  <si>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</si>
  <si>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</si>
  <si>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</si>
  <si>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</si>
  <si>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</si>
  <si>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</si>
  <si>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</si>
  <si>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</si>
  <si>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</si>
  <si>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</si>
  <si>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</si>
  <si>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</si>
  <si>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</si>
  <si>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</si>
  <si>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</si>
  <si>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</si>
  <si>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</si>
  <si>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</si>
  <si>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</si>
  <si>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</si>
  <si>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</si>
  <si>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</si>
  <si>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</si>
  <si>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</si>
  <si>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</si>
  <si>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</si>
  <si>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</si>
  <si>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</si>
  <si>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</si>
  <si>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</si>
  <si>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</si>
  <si>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</si>
  <si>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VALOR EDITAL:</t>
  </si>
  <si>
    <t>VALOR C/DESC.:</t>
  </si>
  <si>
    <t>DESCONTO</t>
  </si>
  <si>
    <t>SINAPI</t>
  </si>
  <si>
    <t>MÊS 07</t>
  </si>
  <si>
    <t>MÊS 08</t>
  </si>
  <si>
    <t>M³</t>
  </si>
  <si>
    <t>M²</t>
  </si>
  <si>
    <t>PINTURA</t>
  </si>
  <si>
    <t>M</t>
  </si>
  <si>
    <t>REFERÊNCIA</t>
  </si>
  <si>
    <t>ORIGEM</t>
  </si>
  <si>
    <t>1.1.1</t>
  </si>
  <si>
    <t>1.1.2</t>
  </si>
  <si>
    <t>1.1.3</t>
  </si>
  <si>
    <t>1.1.4</t>
  </si>
  <si>
    <t>1.1.5</t>
  </si>
  <si>
    <t>SUPLAN</t>
  </si>
  <si>
    <t>UN</t>
  </si>
  <si>
    <t>1.2.1</t>
  </si>
  <si>
    <t>MÊS</t>
  </si>
  <si>
    <t>74130/001</t>
  </si>
  <si>
    <t>PLACA DE OBRA EM CHAPA DE ACO GALVANIZADO</t>
  </si>
  <si>
    <t>EMBASAMENTO C/PEDRA ARGAMASSADA UTILIZANDO ARG.CIM/AREIA 1:4</t>
  </si>
  <si>
    <t>LASTRO DE CONCRETO MAGRO, APLICADO EM BLOCOS DE COROAMENTO OU SAPATAS. AF_08/2017</t>
  </si>
  <si>
    <t>CONCRETO ARMADO (PREPARO E LANCAMENTO) PARA RADIER COM FCK&gt;=25MPA, COM TABUA DE MADEIRA, COM APROVEITAMENTO DE 3 VEZES COM BETONEIRA</t>
  </si>
  <si>
    <t>COBOGO DE CONCRETO (ELEMENTO VAZADO), 10X29X39CM ABERTURA COM VIDRO, ASSENTADO COM ARGAMASSA TRACO 1:4 (CIMENTO E AREIA MEDIA NAO PENEIRADA)</t>
  </si>
  <si>
    <t>PORTAO EM GRADIL BELGO NYLOFOR 3D, DE CORRER,SOLDADO EM QUADRO DE TUBO GALVANIZADO 2" COM CANTONEIRA 3/4", MONTANTES EM TUBO DE FERRO GALVANIZADO DE 4", INCLUSIVE FERROLHO E RODIZIOS</t>
  </si>
  <si>
    <t>VIDRO FANTASIA TIPO CANELADO, ESPESSURA 4MM</t>
  </si>
  <si>
    <t>COBERTA</t>
  </si>
  <si>
    <t>PAREDES E PAINEIS</t>
  </si>
  <si>
    <t xml:space="preserve"> ESQUADRIAS, FERRAGENS E VIDROS</t>
  </si>
  <si>
    <t xml:space="preserve"> SUPER-ESTRUTURA</t>
  </si>
  <si>
    <t>INFRAESTRUTURA</t>
  </si>
  <si>
    <t>MOVIMENTO DE TERRA</t>
  </si>
  <si>
    <t>SERVIÇOS PRELIMINARES</t>
  </si>
  <si>
    <t>1.2</t>
  </si>
  <si>
    <t xml:space="preserve">1.1 </t>
  </si>
  <si>
    <t>TRAMA DE MADEIRA COMPOSTA POR RIPAS, CAIBROS E TERÇAS PARA TELHADOS DE ATÉ 2 ÁGUAS PARA TELHA CERÂMICA CAPA-CANAL, INCLUSO TRANSPORTE VERTICAL. AF_12/2015</t>
  </si>
  <si>
    <t>CUMEEIRA PARA TELHA CERÂMICA EMBOÇADA COM ARGAMASSA TRAÇO 1:2:9 (CIMENTO, CAL E AREIA) PARA TELHADOS COM ATÉ 2 ÁGUAS, INCLUSO TRANSPORTE VERTICAL. AF_06/2016</t>
  </si>
  <si>
    <t>TELHAMENTO COM TELHA CERÂMICA CAPA-CANAL, TIPO PLAN, COM ATÉ 2 ÁGUAS, INCLUSO TRANSPORTE VERTICAL. AF_06/2016</t>
  </si>
  <si>
    <t>ALGEROZ/RUFO DE CONCRETO ARMADO FCK=20MPA L=40CM, E=5CM</t>
  </si>
  <si>
    <t>EMBOÇAMENTO COM ARGAMASSA TRAÇO 1:2:9 (CIMENTO, CAL E AREIA). AF_06/2016</t>
  </si>
  <si>
    <t>IMPERMEABILIZACAO COM APLICACAO DE ARGAMASSA POLIMERICA TIPO DENVERTEC 100 OU SIMILAR</t>
  </si>
  <si>
    <t xml:space="preserve"> REVESTIMENTO E FORRO</t>
  </si>
  <si>
    <t>CHAPISCO EM PAREDES VERTICAIS TRACO 1:3 (CIMENTO E AREIA), ESPESSURA 0,5CM, PREPARO MECANICO;</t>
  </si>
  <si>
    <t>EMBOCO, PARA RECEBIMENTO DE CERAMICA, EM ARGAMASSA TRAO 1:2:8, PREPARO MECANICO COM BETONEIRA 400L, APLICADO MANUALMENTE, ESPESSURA DE</t>
  </si>
  <si>
    <t>APLICAÇÃO DE FUNDO SELADOR ACRÍLICO EM PAREDES, UMA DEMÃO. AF_06/2014</t>
  </si>
  <si>
    <t>APLICAÇÃO MANUAL DE PINTURA COM TINTA LÁTEX ACRÍLICA EM PAREDES, DUAS DEMÃOS. AF_06/2014</t>
  </si>
  <si>
    <t>PINTURA ESMALTE ACETINADO, DUAS DEMAOS, SOBRE SUPERFICIE METALICA</t>
  </si>
  <si>
    <t>APLICAÇÃO MANUAL DE PINTURA COM TINTA LÁTEX PVA EM PAREDES, DUAS DEMÃOS. AF_06/2014</t>
  </si>
  <si>
    <t xml:space="preserve"> PAVIMENTAÇÃO</t>
  </si>
  <si>
    <t>RAMPA EM CALCADA DE PASSEIO EM CONCRETO PARA ACESSIBILIDADE DE PORTADORES DE NECESSIDADES ESPECIAIS (PNE), EXECUTADA CONCRETO ESTRUTURAL, INCLUSIVE SINALIZACAO TATIL DE ALERTA (25X25CM) E SINALIZACAO UNIVERSAL EM TINTA ACRILICA-ESTIRENADA (0,80 X 1,60)M</t>
  </si>
  <si>
    <t>INSTALAÇÃO HIDRAULICAS - LOUCAS E METAIS</t>
  </si>
  <si>
    <t>INSTALAÇÃO ELETRICA</t>
  </si>
  <si>
    <t>PISOS</t>
  </si>
  <si>
    <t>REVESTIMENTO</t>
  </si>
  <si>
    <t>ALVENARIA</t>
  </si>
  <si>
    <t xml:space="preserve">ESTRUTURA </t>
  </si>
  <si>
    <t>FUNDAÇÃO</t>
  </si>
  <si>
    <t xml:space="preserve">SERVIÇOS PRELIMINARES </t>
  </si>
  <si>
    <t>LIMPEZA, ENTREGA DE OBRA</t>
  </si>
  <si>
    <t>ELEMENTOS DECORATIVOS, MOBILIARIO</t>
  </si>
  <si>
    <t>INSTALAÇÕES ELÉTRICAS, TELEFÔNICAS E MECÂNICAS</t>
  </si>
  <si>
    <t>INSTALAÇÃO SANITARIAS</t>
  </si>
  <si>
    <t>LAVATORIO /CUBA LOUCA BRANCA SUSPENSO *40 X 30* CM, VALVULA EM METAL CROMADO 1.1/2"" X 1.1/2", SIFAO DO TIPO FLEXIVEL EM PVC 1 X 1.1/2, ENGATE FLEXIVEL EM PLASTICO BRANCO, 1/2" X 30CM, EXCLUSIVE TORNEIRA</t>
  </si>
  <si>
    <t>TORNEIRA CROMADA TUBO MOVEL, DE PAREDE, 1/2" OU 3/4", PARA PIA DE COZINHA, PADRAO MEDIO - FORNECIMENTO E INSTALACAO. AF_12/2013</t>
  </si>
  <si>
    <t>LAVANDERIA/TANQUE EM RESILINEA SUSPENSO, CAPACIDADE *38* L, *60 X 60CM, COM SIFAO EM PVC DE 1 1/2" E VALVULA EM PVC DE 1 1/2", EXCLUSIVE TORNEIRA</t>
  </si>
  <si>
    <t>ESPELHO CRISTAL, ESPESSURA 4MM, COM PARAFUSOS DE FIXACAO, SEM MOLDURA</t>
  </si>
  <si>
    <t>RALO SIFONADO, PVC, DN 100 X 40 MM, JUNTA SOLDÁVEL, FORNECIDO E INSTALADO EM RAMAL DE DESCARGA OU EM RAMAL DE ESGOTO SANITÁRIO. AF_12/2014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</si>
  <si>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</si>
  <si>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CAIXA INSPECAO/PASSAGEM/GORDURA/DISTRIBUICAO (40X40X40)CM, REVESTIDO INTERNAMENTE CIMENTO E AREIA, INCLUSIVE TAMPA</t>
  </si>
  <si>
    <t>CAIXA ENTERRADA DE INSPECAO/GORDURA/PASSAGEM RETANGULAR, 40X40X40CM, EM ALVENARIA DE 1/2 VEZ COM TAMPA DE CONCRETO E CANTONEIRA NA CAIXA E
TAMPA (ESCAVACAO, CONCRETO MAGRO, ALVENARIA DE 1/2 VEZ, CHAPISCO, REBOCO,TAMPA E CANTONEIRA)</t>
  </si>
  <si>
    <t>CAIXA DE PASSAGEM/INSPECAO/GORDURA EM ALVENARIA DE 1/2 VEZ 50X50X50CM,REVESTIDA INTERNAMENTE COM BARRA LISA, COM E=2CM, EM TAMPA PREMOLDADA
EM CONCRETO E FUNDO EM CONCRETO</t>
  </si>
  <si>
    <t>CAIXA INSPECAO/PASSAGEM/GORDURA/DISTRIBUICAO (60X60X60)CM, REVESTIDO INTERNAMENTE CIMENTO E AREIA, INCLUSIVE TAMPA</t>
  </si>
  <si>
    <t>PONTO DE TOMADA RESIDENCIAL INCLUINDO TOMADA 10A/250V, CAIXA ELÉTRICA, ELETRODUTO, CABO, RASGO, QUEBRA E CHUMBAMENTO. AF_01/2016</t>
  </si>
  <si>
    <t>INTERRUPTOR PULSADOR DE CAMPAINHA OU MINUTERIA 2A/250V C/ CAIXA - FORNECIMENTO E INSTALACAO</t>
  </si>
  <si>
    <t>EXTINTOR INCENDIO AGUA-PRESSURIZADA 10L INCL SUPORTE PAREDE CARGA COMPLETA FORNECIMENTO E COLOCACAO</t>
  </si>
  <si>
    <t>LIMPEZA FINAL DA OBRA</t>
  </si>
  <si>
    <t>BOTA-FORA (CARGA MANUAL, TRANSPORTE E DESCARGA MECANICA, CAMINHAO BASCULANTE DE 10M3) ATE 5,00KM</t>
  </si>
  <si>
    <t>FABRICAÇÃO E INSTALAÇÃO DE ESTRUTURA PONTALETADA DE MADEIRA NÃO APARELHADA PARA TELHADOS COM ATÉ 2 ÁGUAS E PARA TELHA CERÂMICA OU DE CONCRETO, INCLUSO TRANSPORTE VERTICAL</t>
  </si>
  <si>
    <t>INSTALACAO DE TESOURA (INTEIRA OU MEIA), BIAPOIADA, EM MADEIRA NAO APARELHADA, PARA VAOS MAIORES OU IGUAIS A 6,0 M E MENORES QUE 8,0 M, INCL USO ICAMENTO. AF_12/2015</t>
  </si>
  <si>
    <t>TELHAMENTO COM TELHA CERAMICA CAPACANAL, TIPO PLAN, COM ATE 2 AGUAS,INCLUSO TRANSPORTE VERTICAL</t>
  </si>
  <si>
    <t>PONTO DE ILUMINAÇÃO RESIDENCIAL INCLUINDO INTERRUPTOR SIMPLES, CAIXA ELÉTRICA, ELETRODUTO, CABO, RASGO, QUEBRA E CHUMBAMENTO (EXCLUINDO LUMINÁRIA E LÂMPADA). AF_01/2016</t>
  </si>
  <si>
    <t>UND</t>
  </si>
  <si>
    <t>OBRA: CONSTRUÇÃO DE UMA UNIDADE ESCOLAR (4 SALAS)</t>
  </si>
  <si>
    <t>LOCAL: SOUSA - PB</t>
  </si>
  <si>
    <t>ETAPA 01: CONSTRUÇÃO DA ESCOLA</t>
  </si>
  <si>
    <t>1.1.6</t>
  </si>
  <si>
    <t>1.1.7</t>
  </si>
  <si>
    <t>1.1.8</t>
  </si>
  <si>
    <t xml:space="preserve">LOCAÇÃO DE CONTAINER - ALMOXARIFADO COM BANHEIRO - 6,00 X 2,30M </t>
  </si>
  <si>
    <t>LOCAÇÃO DE CONTAINER - ESCRITÓRIO COM BANHEIRO - 6,20 X 2,20M</t>
  </si>
  <si>
    <t>LIGACAO DOMICILIAR DE ESGOTO DN 100MM, DA CASA ATE A CAIXA, COMPOSTO POR 10,0M TUBO DE PVC ESGOTO PREDIAL DN 100MM E CAIXA DE ALVENARIA COM TAMPA DE CONCRETO - FORNECIMENTO</t>
  </si>
  <si>
    <t xml:space="preserve">ENTRADA DE ENERGIA ELETRICA MONOFASICA COM POSTE DE CONCRETO, INCLUSIVE CABEAMENTO, CAIXA DE PROTECAO PARA MEDIDOR </t>
  </si>
  <si>
    <t>LIGAÇÃO PREDIAL DE ÁGUA EM MURETA DE CONCRETO, PROVISÓRIA OU DEFINITIVA, COM FORNECIMENTO DE MATERIAL, INCLUSIVE MURETA E HIDRÔMETRO, REDE DN 50MM</t>
  </si>
  <si>
    <t>LIMPEZA MECANIZADA DE CAMADA VEGETAL, VEGETAÇÃO E PEQUENAS ÁRVORES DIÂMETRO DE TRONCO MENOR QUE 0,20 M), COM TRATOR DE ESTEIRAS.AF_05/2018</t>
  </si>
  <si>
    <t xml:space="preserve">LOCACAO CONVENCIONAL DE OBRA, UTILIZANDO GABARITO DE TÁBUAS CORRIDAS PONTALETADAS A CADA 2,00M - 2 UTILIZAÇÕES. AF_10/2018 </t>
  </si>
  <si>
    <t>ORSE</t>
  </si>
  <si>
    <t>1.2.2</t>
  </si>
  <si>
    <t>1.2.3</t>
  </si>
  <si>
    <t xml:space="preserve">ESCAVACAO MECANICA DE VALA EM MATERIAL DE 2A. CATEGORIA ATE 2 M DE PROFUNDIDADE COM UTILIZACAO DE ESCAVADEIRA HIDRAULICA </t>
  </si>
  <si>
    <t xml:space="preserve">ATERRO MANUAL DE VALAS COM SOLO ARGILO-ARENOSO E COMPACTAÇÃO MECANIZADA. AF_05/2016 </t>
  </si>
  <si>
    <t>1.3</t>
  </si>
  <si>
    <t>1.3.1</t>
  </si>
  <si>
    <t>1.3.2</t>
  </si>
  <si>
    <t>1.3.3</t>
  </si>
  <si>
    <t>1.3.4</t>
  </si>
  <si>
    <t>1.3.5</t>
  </si>
  <si>
    <t>CONCRETO ARMADO (PREPARO E LANCAMENTO)PARA SAPATAS COM FCK &gt;= 25MPA, COM FORMA DE TABUA, COM APROVEITAMENTO DE 2 VEZES, COM BETONEIRA</t>
  </si>
  <si>
    <t>ALVENARIA DE VEDAÇÃO DE BLOCOS CERÂMICOS FURADOS NA HORIZONTAL DE 9X19X19CM (ESPESSURA 19CM) DE PAREDES COM ÁREA LÍQUIDA MAIOR OU IGUAL A 6M² COM VÃOS E ARGAMASSA DE ASSENTAMENTO COM PREPARO MANUAL. AF_06/2014</t>
  </si>
  <si>
    <t>1.4</t>
  </si>
  <si>
    <t>1.4.1</t>
  </si>
  <si>
    <t>1.4.2</t>
  </si>
  <si>
    <t>1.4.3</t>
  </si>
  <si>
    <t>1.4.4</t>
  </si>
  <si>
    <t>CONCRETO ARMADO (PREPARO E LANCAMENTO) PARA VIGA COM FCK&gt;=25MPA, COM FORMA EM CHAPA DE MADEIRA COM- PENSADARESINADA , COM APROVEITAMENTO DE 3 VEZES COM BETONEIRA</t>
  </si>
  <si>
    <t>CONCRETO ARMADO (PREPARO E LANCAMENTO) P/ PILARES COM FCK&gt;=25MPA, COM FORMA EM CHAPA DE MADEIRA COM- PENSADARESINADA , COM APROVEITAMENTO DE 3 VEZES, COM BETONEIRA</t>
  </si>
  <si>
    <t>PRATELEIRA EM GRANITO CINZA ANDORINHA, ESP = 2 CM.</t>
  </si>
  <si>
    <t>LAJE PRÉ-MOLDADA UNIDIRECIONAL, BIAPOIADA, PARA FORRO, ENCHIMENTO EM CERÂMICA, VIGOTA CONVENCIONAL, ALTURA TOTAL DA LAJE (ENCHIMENTO+CAPA) = (8+3).AF_11/2020</t>
  </si>
  <si>
    <t>1.5</t>
  </si>
  <si>
    <t>1.5.1</t>
  </si>
  <si>
    <t>1.5.2</t>
  </si>
  <si>
    <t>1.5.3</t>
  </si>
  <si>
    <t xml:space="preserve"> 73937/005</t>
  </si>
  <si>
    <t>MURO EM ALVENARIA BLOCO CERÂMICO, E= 0,09M, C/ ALV DE PEDRA GRANÍTICA, 0,35 X 0,60M, COLUNAS (9X20CM) E CINTAMENTO (9X15CM) SUPERIOR E INFERIOR CONCRETO ARMADO FCK = 15,0 MPA CADA 3,00M, CHAPISCO E REBOCO.</t>
  </si>
  <si>
    <t>1.6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</si>
  <si>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</si>
  <si>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</si>
  <si>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</si>
  <si>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</si>
  <si>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</si>
  <si>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</si>
  <si>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</si>
  <si>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</si>
  <si>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</si>
  <si>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</si>
  <si>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</si>
  <si>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FECHADURA DE EMBUTIR PARA PORTA EXTERNA / ENTRADA, MAQUINA 55 MM, COM CJ 60,39 CILINDRO, MACANETA TIPO TACO DE GOLFE E ESPELHO EM METAL CROMADO - NIVEL SEGURANCAMEDIO - COMPLETA</t>
  </si>
  <si>
    <t xml:space="preserve">FECHADURA PARA PORTA EXTERNA , COM CILINDRO E MACANETA TIPO TACO DE GOLFE, PADRAO MEDIO - FORNECIMENTO E INSTALACAO </t>
  </si>
  <si>
    <t>BARRA DE APOIO, RETA, FIXA, EM AÇO INOX, L=90CM, D=1 1/2", JACKWAL OU SIMILAR</t>
  </si>
  <si>
    <t>KIT DE PORTA DE MADEIRA 70X210CM, ESPESSURA DE 3CM, ITENS INCLUSOS: DOBRADIÇAS, MONTAGEM E INSTALAÇÃO DO BATENTE, SEM FECHADURA - FORNECIMENTO E INSTALAÇÃO</t>
  </si>
  <si>
    <t>KIT DE PORTA DE MADEIRA 80X210CM, ESPESSURA DE 3CM, ITENS INCLUSOS: DOBRADIÇAS, MONTAGEM E INSTALAÇÃO DO BATENTE, SEM FECHADURA - FORNECIMENTO E INSTALAÇÃO</t>
  </si>
  <si>
    <t>KIT DE PORTA DE MADEIRA 190X210CM, ESPESSURA DE 3CM, ITENS INCLUSOS: DOBRADIÇAS, MONTAGEM E INSTALAÇÃO DO BATENTE, SEM FECHADURA - FORNECIMENTO E INSTALAÇÃO. AF_12/2019</t>
  </si>
  <si>
    <t xml:space="preserve">JANELA DE ACO BASCULANTE, FIXACAO COM ARGAMASSA, SEM VIDROS, PADRONIZA DA. AF_07/2016 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</si>
  <si>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</si>
  <si>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</si>
  <si>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</si>
  <si>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</si>
  <si>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</si>
  <si>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</si>
  <si>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</si>
  <si>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</si>
  <si>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 xml:space="preserve">FABRICAÇÃO E INSTALAÇÃO DE ESTRUTURA PONTALETADA DE MADEIRA NÃO APARELHADA PARA TELHADOS COM ATÉ 2 ÁGUAS E PARA TELHA CERÂMICA OU DE CONCRETO, INCLUSO TRANSPORTE VERTICAL. </t>
  </si>
  <si>
    <t xml:space="preserve">FORRO EM RÉGUAS DE PVC, PARA AMBIENTES RESIDENCIAIS, INCLUSIVE ESTRUTURA DE FIXAÇÃO. </t>
  </si>
  <si>
    <t>1.8</t>
  </si>
  <si>
    <t>1.8.1</t>
  </si>
  <si>
    <t>1.8.2</t>
  </si>
  <si>
    <t>1.8.3</t>
  </si>
  <si>
    <t>1.8.4</t>
  </si>
  <si>
    <t>MASSA ÚNICA, PARA RECEBIMENTO DE PINTURA, EM ARGAMASSA TRAÇO 1:2:8, PREPARO MECÂNICO COM BETONEIRA 400L, APLICADA MANUALMENTE EM FACES INTERNAS DE PAREDES, ESPESSURA DE 20MM, COM EXECUÇÃO DE TALISCAS.</t>
  </si>
  <si>
    <t xml:space="preserve">REVESTIMENTO EM CERAMICA 10 X 10 CM, ELIANE, PEI -5, OU SIMILAR, ASSENTADA COM ARGAMASSA COLANTE AC II, REJUNTAMENTO. INDUSTRIALIZADO </t>
  </si>
  <si>
    <t xml:space="preserve">1.9 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</si>
  <si>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</si>
  <si>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</si>
  <si>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</si>
  <si>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</si>
  <si>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</si>
  <si>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</si>
  <si>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</si>
  <si>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</si>
  <si>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 xml:space="preserve">PINTURA ESMALTE FOSCO PARA MADEIRA, DUAS DEMAOS, SOBRE FUNDO NIVELADOR BRANCO </t>
  </si>
  <si>
    <t>PINTURA IMUNIZANTE PARA MADEIRA, 1 DEMÃO. AF_01/2021</t>
  </si>
  <si>
    <t>1.10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</si>
  <si>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</si>
  <si>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</si>
  <si>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</si>
  <si>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</si>
  <si>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</si>
  <si>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</si>
  <si>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</si>
  <si>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</si>
  <si>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LASTRO DE CONCRETO MAGRO, APLICADO EM PISOS OU RADIERS, ESPESSURA DE 5 M2 CM. AF_07/2016</t>
  </si>
  <si>
    <t>REGULARIZACAO DE BASE PARA REVESTIMENTO DE PISO, COM ARGAMASSA DE CIMENTO E AREIA NO TRACO 1:5, COM ESPESSURA DE 2,5 CM.</t>
  </si>
  <si>
    <t>REVESTIMENTO CERÂMICO PARA PISO COM PLACAS TIPO ESMALTADA EXTRA DE DIMENSÕES 45X45 CM APLICADA EM AMBIENTES DE ÁREA MENOR QUE 5 M2. AF_06/2014</t>
  </si>
  <si>
    <t>PISO EM GRANILITE, MARMORITE OU GRANITINA EM AMBIENTES INTERNOS</t>
  </si>
  <si>
    <t>EXECUÇÃO DE PASSEIO (CALÇADA) OU PISO DE CONCRETO COM CONCRETO MOLDADO IN LOCO, FEITO EM OBRA, ACABAMENTO CONVENCIONAL, ESPESSURA 6 CM, ARMADO. AF_07/2016 (LARGURA = 60 CM)</t>
  </si>
  <si>
    <t>EXECUCAO DE PASSEIO (CALCADA) OU PISO DE CONCRETO COM CONCRETO MOLDADO IN LOCO, FEITO EM OBRA, ACABAMENTO CONVENCIONAL, ESPESSURA 6 CM, ARMA DO. AF_07/2016</t>
  </si>
  <si>
    <t>EXECUCAO DE PASSEIO EM PISO INTERTRAVADO, COM BLOCO RETANGULAR COR NAT URAL DE 20 X 10 CM, ESPESSURA 6 CM. AF_12/2015</t>
  </si>
  <si>
    <t>1.11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</si>
  <si>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</si>
  <si>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</si>
  <si>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</si>
  <si>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</si>
  <si>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</si>
  <si>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</si>
  <si>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</si>
  <si>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</si>
  <si>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</si>
  <si>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</si>
  <si>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1.11.11</t>
  </si>
  <si>
    <t>1.11.12</t>
  </si>
  <si>
    <t>1.11.13</t>
  </si>
  <si>
    <t>1.11.14</t>
  </si>
  <si>
    <t>1.11.15</t>
  </si>
  <si>
    <t>1.11.16</t>
  </si>
  <si>
    <t>1.11.17</t>
  </si>
  <si>
    <t>1.11.18</t>
  </si>
  <si>
    <t>1.11.19</t>
  </si>
  <si>
    <t>1.11.20</t>
  </si>
  <si>
    <t>1.11.21</t>
  </si>
  <si>
    <t>1.11.22</t>
  </si>
  <si>
    <t xml:space="preserve"> CABIDE/GANCHO DE BANHEIRO SIMPLES EM METAL CROMADO, INCLUSO FIXACAO</t>
  </si>
  <si>
    <t xml:space="preserve"> CHUVEIRO PLASTICO BRANCO COM CANOPLA - FORNECIMENTO E INSTALACAO</t>
  </si>
  <si>
    <t>1.11.23</t>
  </si>
  <si>
    <t>1.11.24</t>
  </si>
  <si>
    <t>CONJUNTO CAIXA DAGUA EM FIBRA DE VIDRO - INSTALADA, SEM ESTRUTURA DE SUPORTE CAPACIDADE DE 10.000 LITROS, INCLUSO ADAPTADORES, CONEXOES, TUBOS, REGISTRO DE GAVETA E TORNEIRA DE BOIA E CISTERNA COM CAPACIDADE</t>
  </si>
  <si>
    <t>BEBEDOURO INDUSTRIAL (CENTRAL DE AGUA GELADA) EM CHAPA ACO CARBONO GALVANIZADA COM CAPACIDADE DE 200 LITROS, CONTROLE DE TEMPERATURA ENTRE -5C E -15C, CARTUCHO FILTRANTE EM FIBRA DE CELULOSE, APARADOR COM 04 TORNEIRAS EM ACO INOX 304, UNIDADE CONDENSADORA COM BAIXO CONSUMO DE ENERGIA E RUIDO E CAPACIDADE DE 1/5 HP E TUBULACAO FRIGORIFICA ESTANHADA PARA GARANTIR A QUALIDADE DA AGUA - FORNECIMENTO E INSTALACAO</t>
  </si>
  <si>
    <t xml:space="preserve">CAIXA ENTERRADA HIDRAULICA RETANGULAR EM ALVENARIA COM TIJOLOS CERAMICOS MACICOS, DIMENSOES INTERNAS: 0,4X0,4X0,4 M PARA REDE DE </t>
  </si>
  <si>
    <t>PONTO DE CONSUMO TERMINAL DE AGUA FRIA (SUBRAMAL) COM TUBULAO DE PVC , DN 25 MM, INSTALADO EM RAMAL DE AGUA, INCLUSOS RASGO E CHUMBAMENTO E M ALVENARIA. AF_12/2014</t>
  </si>
  <si>
    <t xml:space="preserve">BANCADA EM GRANITO CINZA ANDORINHA COM RESPALDO DE 0,20M , TESTEIRA DE 0,08M E LARGURA DE 0,50M. </t>
  </si>
  <si>
    <t xml:space="preserve">BANCADA DE MARMORE SINTETICO 120 X 60CM, COM CUBA INTEGRADA - FORNECIM ENTO E INSTALACAO. AF_12/2013 </t>
  </si>
  <si>
    <t xml:space="preserve">RALO SIFONADO, PVC, DN 100 X 40 MM, JUNTA SOLDAVEL, FORNECIDO E INSTAL ADO EM RAMAL DE DESCARGA OU EM RAMAL DE ESGOTO SANITARIO. AF_12/2014 </t>
  </si>
  <si>
    <t xml:space="preserve">DISPENSER EM PLASTICO PARA PAPEL HIGIENICO EM ROLO, FORNECIMENTO E INSTALAO </t>
  </si>
  <si>
    <t xml:space="preserve">TOALHEIRO PLASTICO TIPO DISPENSER PARA PAPEL TOALHA INTERFOLHADO, FORNECIMENTO E INSTALACAO. </t>
  </si>
  <si>
    <t xml:space="preserve">SABONETEIRA PLASTICA TIPO DISPENSER PARA SABONETE LIQUIDO COM RESERVAT ORIO 800 A 1500 ML, INCLUSO FIXACAO. </t>
  </si>
  <si>
    <t xml:space="preserve">TORNEIRA CROMADA 1/2" OU 3/4" PARA TANQUE, PADRAO MEDIO - FORNECIMENTO E INSTALACAO. AF_12/2013 </t>
  </si>
  <si>
    <t xml:space="preserve">TORNEIRA CROMADA DE MESA, 1/2" OU 3/4", PARA LAVATORIO, PADRAO MEDIO - FORNECIMENTO E INSTALACAO. AF_12/2013.. </t>
  </si>
  <si>
    <t xml:space="preserve">REGISTRO DE PRESSAO BRUTO, LATAO, ROSCAVEL, 3/4", COM ACABAMENTO E CANOPLA CROMADOS. FORNECIDO E INSTALADO EM RAMAL DE AGUA. AF_12/2014 </t>
  </si>
  <si>
    <t>REGISTRO DE GAVETA BRUTO, LATAO, ROSCAVEL, 1 1/2, COM ACABAMENTO E CANOPLA CROMADOS, INSTALADO EM RESERVACAO DE AGUA DE EDIFICACAO QUE POSSUA RESERVATORIO DE FIBRA/FIBROCIMENTO - FORNECIMENTO E INSTALACAO. AF_ 06/2016</t>
  </si>
  <si>
    <t>VASO SANITARIO SIFONADO COM CAIXA ACOPLADA LOUCA BRANCA, INCLUSO ENGAT E FLEXIVEL EM PLASTICO BRANCO, 1/2 X 40CM - FORNECIMENTO E INSTALACAO . AF_12/2013</t>
  </si>
  <si>
    <t>VASO SANITARIO SIFONADO COM CAIXA ACOPLADA PARA PCD/PORTADORES DE NECESSIDADES ESPECIAIS, SEM FURO FRONTAL, EM LOUCA BRANCA, INCLUSO CONJUNTO DE LIGACAO PARA BACIA SANITARIA AJUSTAVEL E ASSENTO PLASTICO
- FORNECIMENTO E INSTALACAO</t>
  </si>
  <si>
    <t xml:space="preserve"> LAVATÓRIO LOUÇA DE CANTO (DECA-IZY, REF L-10117 OU SIMILAR) SEM COLUNA, C/ SIFÃO CROMADO, VÁLVULA CROMADA, ENGATE CROMADO, EXCLUSIVE TORNEIRA</t>
  </si>
  <si>
    <t xml:space="preserve">1.12 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</si>
  <si>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</si>
  <si>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</si>
  <si>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</si>
  <si>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</si>
  <si>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</si>
  <si>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</si>
  <si>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</si>
  <si>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</si>
  <si>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PONTO DE ESGOTO COM TUBO DE PVC RÍGIDO SOLDÁVEL DE Ø 40 MM (LAVATÓRIOS, MICTÓRIOS, RALOS SIFONADOS, ETC...)</t>
  </si>
  <si>
    <t>PONTO DE ESGOTO COM TUBO DE PVC RÍGIDO SOLDÁVEL DE Ø 50 MM (PIAS DE COZINHA, MÁQUINAS DE LAVAR, ETC...)</t>
  </si>
  <si>
    <t>PONTO DE ESGOTO COM TUBO DE PVC RÍGIDO SOLDÁVEL DE Ø 100 MM (VASO SANITÁRIO)</t>
  </si>
  <si>
    <t xml:space="preserve">1.13 </t>
  </si>
  <si>
    <t>1.13.1</t>
  </si>
  <si>
    <t>1.13.2</t>
  </si>
  <si>
    <t>1.13.3</t>
  </si>
  <si>
    <t>1.13.4</t>
  </si>
  <si>
    <t>1.13.5</t>
  </si>
  <si>
    <t>1.13.6</t>
  </si>
  <si>
    <t>1.13.7</t>
  </si>
  <si>
    <t>1.13.8</t>
  </si>
  <si>
    <t>1.13.9</t>
  </si>
  <si>
    <t>1.13.10</t>
  </si>
  <si>
    <t>1.13.11</t>
  </si>
  <si>
    <t>1.13.12</t>
  </si>
  <si>
    <t>1.13.13</t>
  </si>
  <si>
    <t>1.13.14</t>
  </si>
  <si>
    <t>1.13.15</t>
  </si>
  <si>
    <t>1.13.16</t>
  </si>
  <si>
    <t>1.13.17</t>
  </si>
  <si>
    <t>1.13.18</t>
  </si>
  <si>
    <t>1.13.19</t>
  </si>
  <si>
    <t>1.13.20</t>
  </si>
  <si>
    <t>1.13.21</t>
  </si>
  <si>
    <t>1.13.22</t>
  </si>
  <si>
    <t>1.13.23</t>
  </si>
  <si>
    <t>DISJUNTOR TERMOMAGNETICO TRIPOLAR 10 A DIN, FORNECIMENTO E INSTALACAO</t>
  </si>
  <si>
    <t xml:space="preserve">DISJUNTOR TERMOMAGNETICO MONOPOLAR PADRAO NEMA (AMERICANO) 25 A 30A 24 0V, FORNECIMENTO E INSTALACAO </t>
  </si>
  <si>
    <t>DISJUNTOR TERMOMAGNETICO TRIPOLAR DIN 40 A, FORNECIMENTO E INSTALACAO</t>
  </si>
  <si>
    <t>DISJUNTOR TERMOMAGNETICO TRIPOLAR PADRAO DIN 50 A, FORNECIMENTO E INSTALACAO</t>
  </si>
  <si>
    <t>INTERRUPTOR SIMPLES (1 MODULO), 10A/250V, INCLUINDO SUPORTE E PLACA - FORNECIMENTO E INSTALACAO. AF_12/2015</t>
  </si>
  <si>
    <t>INTERRUPTOR SIMPLES (2 MODULOS), 10A/250V, INCLUINDO SUPORTE E PLACA - FORNECIMENTO E INSTALACAO. AF_12/2015</t>
  </si>
  <si>
    <t>LUMINARIA TIPO CALHA, DE SOBREPOR, COM 2 LAMPADAS TUBULARES DE 18 W -</t>
  </si>
  <si>
    <t>LUMINÁRIA DE EMERGÊNCIA, COM 30 LÂMPADAS LED DE 2 W, SEM REATOR - FORNECIMENTO E INSTALAÇÃO. AF_02/2020</t>
  </si>
  <si>
    <t>PONTO DE ILUMINACAO RESIDENCIAL INCLUINDO INTERRUPTOR SIMPLES, CAIXA ELETRICA, ELETRODUTO, CABO, RASGO, QUEBRA E CHUMBAMENTO (EXCLUINDO LUMINARIA E LAMPADA). AF_01/2016</t>
  </si>
  <si>
    <t>PONTO DE TOMADA RESIDENCIAL INCLUINDO TOMADA 10A/250V, CAIXA ELETRICA, ELETRODUTO, CABO, RASGO, QUEBRA E CHUMBAMENTO. AF_01/2016</t>
  </si>
  <si>
    <t>PONTO DE TOMADA RESIDENCIAL INCLUINDO TOMADA 20A/250V, CAIXA ELETRICA, ELETRODUTO, CABO, RASGO, QUEBRA E CHUMBAMENTO. AF_01/2016</t>
  </si>
  <si>
    <t>PONTO DE UTILIZAÇÃO DE EQUIPAMENTOS ELÉTRICOS (SPLITS), RESIDENCIAL, INCLUINDO SUPORTE E PLACA, CAIXA ELÉTRICA, ELETRODUTO, CABO, RASGO, QUEBRA E CHUMBAMENTO. AF_01/2016, INCLUVIVE ATERRAMENTO</t>
  </si>
  <si>
    <t>PONTO DE UTILIZACAO DE EQUIPAMENTOS ELETRICOS, RESIDENCIAL, INCLUINDO SUPORTE E PLACA, CAIXA ELETRICA, ELETRODUTO, CABO, RASGO, QUEBRA E CHU MBAMENTO. AF_01/2016</t>
  </si>
  <si>
    <t>QUADRO DE DISTRIBUICAO DE ENERGIA DE EMBUTIR, EM CHAPA METALICA, PARA 24 DISJUNTORES TERMOMAGNETICOS MONOPOLARES, COM BARRAMENTO TRIFASICO E NEUTRO, FORNECIMENTO E INSTALACAO</t>
  </si>
  <si>
    <t>QUADRO DE DISTRIBUICAO DE ENERGIA EM CHAPA DE ACO GALVANIZADO, PARA 12 DISJUNTORES TERMOMAGNETICOS MONOPOLARES, COM BARRAMENTO TRIFASICO E N EUTRO - FORNECIMENTO E INSTALACAO</t>
  </si>
  <si>
    <t>1.13.24</t>
  </si>
  <si>
    <t>ENTRADA DE ENERGIA TRIFASICA PARA RAMAL DE ALIMENTACAO COM 04 CABOS DE 10MM2 ISOLACAO DE 1,0KV, EM POSTE DE CONCRETO ARMADO DT-150/07, COMPLETA(ARRUELAS, CABECOTE, BUCHAS, QUADRO DE MEDICAO, DISJUNTOR GERAL, ELETRODUTOS, CABOS, TERMINAIS, CAIXAS DE ALVENARIA E MALHA DE ATERRAMENTO)</t>
  </si>
  <si>
    <t>PONTO PARA CABEAMENTO ESTRUTURADO,COMPOSTO DE: ELETRODUTO CONDULETE PVC RIGIDO 3/4", TOMADAS FEMEAS, TIPO JACK RJ-45, 08M DE CABO LOGICO UTP 4 PARES-CATEGORIA 6, SENDO PARA DADOS E VOZ</t>
  </si>
  <si>
    <t>PONTO DE TOMADA PARA TELEFONE(TOMADA, CAIXA ELETRODUTO, CONEXOES E FIOS)</t>
  </si>
  <si>
    <t xml:space="preserve">1.14 </t>
  </si>
  <si>
    <t>1.14.1</t>
  </si>
  <si>
    <t>1.14.2</t>
  </si>
  <si>
    <t>1.14.3</t>
  </si>
  <si>
    <t>1.14.4</t>
  </si>
  <si>
    <t>1.14.5</t>
  </si>
  <si>
    <t>1.14.6</t>
  </si>
  <si>
    <t>1.14.7</t>
  </si>
  <si>
    <t>PINTURA DE LETRAS - LETREIRO, SOBRE PAREDES, COM LIXAMENTO, APLICAÇÃO DE 01 DEMÃO DE LÍQUIDO SELADOR ACRÍLICO, 02 DEMÃOS DE MASSA ACRÍLICA E 02 DEMÃOS DE TINTA PVA LATEX CONVENCIONAL PARA EXTERIORES</t>
  </si>
  <si>
    <t>PLACA DE INAUGURAÇÃO EM ALUMÍNIO COM ACRILICO, 80X60CM,COM LOGOMARCA E MOLDURA</t>
  </si>
  <si>
    <t>MASTRO METALICO COM TUBO DE FERRO GALVANIZADO DE 3 ", COM ALTURA DE 6,000M, FIXADO EM BLOCO DE CONCRETO DE 0,30MX0,30MX0,50M</t>
  </si>
  <si>
    <t>MASTRO METALICO COM TUBO DE FERRO GALVANIZADO DE 3 ", COM ALTURA DE 5,50M, FIXADO EM BLOCO DE CONCRETO DE 0,30MX0,30MX0,50M</t>
  </si>
  <si>
    <t>QUADRO ESCOLAR (3,20X1,20)M EM LAMINADO BRANCO BRILHANTE COM MOLDURA DE ALUMINIO</t>
  </si>
  <si>
    <t>EXTINTOR DE INCÊNDIO PORTÁTIL COM CARGA DE PQS DE 4 KG, CLASSE BC - FORNECIMENTO E INSTALAÇÃO. AF_10/2020_P</t>
  </si>
  <si>
    <t xml:space="preserve">1.15 </t>
  </si>
  <si>
    <t>1.15.1</t>
  </si>
  <si>
    <t>1.15.2</t>
  </si>
  <si>
    <t xml:space="preserve"> ETAPA 02: RECREIO COBERTO</t>
  </si>
  <si>
    <t xml:space="preserve">2.1 </t>
  </si>
  <si>
    <t>2.1.1</t>
  </si>
  <si>
    <t xml:space="preserve">2.2 </t>
  </si>
  <si>
    <t>2.2.1</t>
  </si>
  <si>
    <t>2.2.2</t>
  </si>
  <si>
    <t xml:space="preserve">2.3 </t>
  </si>
  <si>
    <t>2.3.1</t>
  </si>
  <si>
    <t>2.3.2</t>
  </si>
  <si>
    <t>2.3.3</t>
  </si>
  <si>
    <t>ALVENARIA DE VEDAÇÃO DE BLOCOS CERÂMICOS FURADOS NA HORIZONTAL DE 9X19X19CM (ESPESSURA 9CM) DE PAREDES COM ÁREA LÍQUIDA MAIOR OU IGUAL A 6M² SEM VÃOS E ARGAMASSA DE ASSENTAMENTO COM PREPARO MANUAL. AF_06/2014</t>
  </si>
  <si>
    <t xml:space="preserve">2.4 </t>
  </si>
  <si>
    <t>2.4.1</t>
  </si>
  <si>
    <t xml:space="preserve">2.5 </t>
  </si>
  <si>
    <t>2.5.1</t>
  </si>
  <si>
    <t xml:space="preserve">2.6 </t>
  </si>
  <si>
    <t>2.6.1</t>
  </si>
  <si>
    <t>2.6.2</t>
  </si>
  <si>
    <t>2.6.3</t>
  </si>
  <si>
    <t>2.6.4</t>
  </si>
  <si>
    <t xml:space="preserve">2.7 </t>
  </si>
  <si>
    <t>2.7.1</t>
  </si>
  <si>
    <t>2.7.2</t>
  </si>
  <si>
    <t>2.7.3</t>
  </si>
  <si>
    <t xml:space="preserve">2.8 </t>
  </si>
  <si>
    <t>2.8.1</t>
  </si>
  <si>
    <t>2.8.2</t>
  </si>
  <si>
    <t>2.8.3</t>
  </si>
  <si>
    <t xml:space="preserve">2.9 </t>
  </si>
  <si>
    <t>2.9.1</t>
  </si>
  <si>
    <t>2.9.2</t>
  </si>
  <si>
    <t>2.9.3</t>
  </si>
  <si>
    <t>2.9.4</t>
  </si>
  <si>
    <t>2.9.5</t>
  </si>
  <si>
    <t>REFLETOR SLIM LED 150W DE POTÊNCIA, BRANCO FRIO, 6500K, AUTOVOLT, MARCA G_x0002_LIGHT OU SIMILAR - REV 01</t>
  </si>
  <si>
    <t>CABO DE COBRE FLEXIVEL ISOLADO, 2,5 MM2, ANTI-CHAMA 0,6/1,0 KV, PARA C IRCUITOS TERMINAIS - FORNECIMENTO E INSTALACAO. AF_12/2015</t>
  </si>
  <si>
    <t>TOTAL DA OBRA SEM BDI:</t>
  </si>
  <si>
    <t>BDI (27.35%)</t>
  </si>
  <si>
    <t>1.7</t>
  </si>
  <si>
    <t>BDI =</t>
  </si>
  <si>
    <t>TOTAL DA OBRA COM BDI:</t>
  </si>
  <si>
    <t>ONSTRUÇÃO DE UNIDADE ESCOLAR COM 04 SALAS DE AULA - RURAL, EM DIVERSOS MUNICÍPIOS DA PARAÍBA</t>
  </si>
  <si>
    <t>% ITEM</t>
  </si>
  <si>
    <t>VALOR (R$)</t>
  </si>
  <si>
    <t>VALOR UNITÁRIO SEM BDI (R$)</t>
  </si>
  <si>
    <t>VALOR UNITÁRIO COM BDI (R$)</t>
  </si>
  <si>
    <t>VALOR TOTAL COM BDI (R$)</t>
  </si>
  <si>
    <t>VALOR TOTAL SEM BDI (R$)</t>
  </si>
  <si>
    <t>REATERRO MANUAL DE VALAS COM COMPACTAÇÃO MECANIZADA. AF_04/2016</t>
  </si>
  <si>
    <t>GRADIL NYLOFOR 3D, MALHA 20X5CM, Ø 5MM 250X103 CM, PINTURA BRANCA, BELGO OU SIMILAR, INCLUSIVE POSTES E ACESSÓRIOS</t>
  </si>
  <si>
    <t>APLICAÇÃO E LIXAMENTO DE MASSA LÁTEX EM PAREDES, DUAS DEMÃOS. AF_06/2014</t>
  </si>
  <si>
    <t>APLICAÇÃO MANUAL DE MASSA ACRÍLICA EM PANOS DE FACHADA SEM PRESENÇA DE VÃOS, DE EDIFÍCIOS DE MÚLTIPLOS PAVIMENTOS, DUAS DEMÃOS. AF_05/2017</t>
  </si>
  <si>
    <t>BANCO ARTICULADO, EM ACO INOX, PARA PCD, FIXADO NA PAREDE - FORNECIMENTO E INSTALAÇÃO. AF_01/2020</t>
  </si>
  <si>
    <t xml:space="preserve">DISJUNTOR TRIPOLAR TIPO NEMA, CORRENTE NOMINAL DE 10 ATÉ 50A, FORNECIMENTO E INSTALACAO, AF_10/2020 </t>
  </si>
  <si>
    <t>LUMINARIA TIPO CALHA, DE SOBREPOR, COM 2 LAMPADAS TUBULARES DE 36 W -</t>
  </si>
  <si>
    <t>CONJUNTO MOTO-BOMBA COM MOTOR DE 3/4 CV, TRIFÁSICO, BOMBA CENTRÍFUGA, SUCÇÃO=1", RECALQUE=1", PR. MÁX. 26 MCA, ALT. SUCÇÃO 8 MCA. FAIXAS HM (M) - Q (M3/H) : (23-3,4)(20-4,7)(17-5,7)(14-6,6)(11-7,3), INCLUSIVE CHAVE DE PARTIDA DIRETA</t>
  </si>
  <si>
    <t>TOMADA DE PREÇO 008/2021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</si>
</sst>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"/>
    <numFmt numFmtId="165" formatCode="#,##0.00;[Red]#,##0.00"/>
    <numFmt numFmtId="166" formatCode="&quot;R$&quot;#,##0.00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8"/>
      <name val="Calibri"/>
      <family val="2"/>
      <charset val="204"/>
    </font>
    <font>
      <sz val="11"/>
      <name val="Arial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ourier New"/>
      <family val="3"/>
    </font>
    <font>
      <sz val="12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/>
    <xf numFmtId="0" fontId="4" fillId="0" borderId="1"/>
  </cellStyleXfs>
  <cellXfs count="149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vertical="center"/>
    </xf>
    <xf numFmtId="0" fontId="6" fillId="10" borderId="15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2" fontId="6" fillId="10" borderId="15" xfId="0" applyNumberFormat="1" applyFont="1" applyFill="1" applyBorder="1" applyAlignment="1">
      <alignment horizontal="center" vertical="center"/>
    </xf>
    <xf numFmtId="164" fontId="6" fillId="10" borderId="15" xfId="0" applyNumberFormat="1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/>
    </xf>
    <xf numFmtId="10" fontId="6" fillId="9" borderId="16" xfId="2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/>
    </xf>
    <xf numFmtId="164" fontId="6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2" fontId="5" fillId="0" borderId="15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justify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0" fontId="10" fillId="8" borderId="15" xfId="0" applyNumberFormat="1" applyFont="1" applyFill="1" applyBorder="1" applyAlignment="1">
      <alignment horizontal="center" vertical="center"/>
    </xf>
    <xf numFmtId="164" fontId="10" fillId="8" borderId="15" xfId="0" applyNumberFormat="1" applyFont="1" applyFill="1" applyBorder="1" applyAlignment="1">
      <alignment horizontal="center" vertical="center"/>
    </xf>
    <xf numFmtId="165" fontId="10" fillId="8" borderId="15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9" fillId="0" borderId="15" xfId="0" applyFont="1" applyBorder="1" applyAlignment="1">
      <alignment vertical="center"/>
    </xf>
    <xf numFmtId="164" fontId="9" fillId="0" borderId="15" xfId="0" applyNumberFormat="1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164" fontId="11" fillId="0" borderId="15" xfId="0" applyNumberFormat="1" applyFont="1" applyBorder="1" applyAlignment="1">
      <alignment horizontal="center" vertical="center"/>
    </xf>
    <xf numFmtId="10" fontId="11" fillId="0" borderId="15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10" fontId="11" fillId="0" borderId="15" xfId="2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39" fontId="5" fillId="4" borderId="2" xfId="1" applyNumberFormat="1" applyFont="1" applyFill="1" applyBorder="1" applyAlignment="1" applyProtection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43" fontId="5" fillId="6" borderId="15" xfId="1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10" fontId="6" fillId="0" borderId="1" xfId="1" applyNumberFormat="1" applyFont="1" applyFill="1" applyBorder="1" applyAlignment="1" applyProtection="1">
      <alignment vertical="center"/>
    </xf>
    <xf numFmtId="43" fontId="6" fillId="0" borderId="1" xfId="1" applyFont="1" applyFill="1" applyBorder="1" applyAlignment="1" applyProtection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Continuous" vertical="center"/>
    </xf>
    <xf numFmtId="0" fontId="15" fillId="0" borderId="1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center"/>
    </xf>
    <xf numFmtId="10" fontId="14" fillId="0" borderId="15" xfId="0" applyNumberFormat="1" applyFont="1" applyFill="1" applyBorder="1" applyAlignment="1">
      <alignment horizontal="center" vertical="center"/>
    </xf>
    <xf numFmtId="10" fontId="12" fillId="0" borderId="1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/>
    </xf>
    <xf numFmtId="2" fontId="6" fillId="0" borderId="18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164" fontId="10" fillId="0" borderId="15" xfId="0" applyNumberFormat="1" applyFont="1" applyBorder="1" applyAlignment="1">
      <alignment horizontal="center" vertical="center"/>
    </xf>
    <xf numFmtId="10" fontId="10" fillId="0" borderId="15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5">
    <cellStyle name="Normal" xfId="0" builtinId="0"/>
    <cellStyle name="Normal 2" xfId="3" xr:uid="{00000000-0005-0000-0000-000002000000}"/>
    <cellStyle name="Normal 3" xfId="4" xr:uid="{AF04BF6C-834E-469B-B661-45B684BCC780}"/>
    <cellStyle name="Porcentagem" xfId="2" builtinId="5"/>
    <cellStyle name="Vírgula" xfId="1" builtinId="3"/>
  </cellStyles>
  <dxfs count="99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789214</xdr:colOff>
      <xdr:row>0</xdr:row>
      <xdr:rowOff>0</xdr:rowOff>
    </xdr:from>
    <xdr:to>
      <xdr:col>8</xdr:col>
      <xdr:colOff>998007</xdr:colOff>
      <xdr:row>7</xdr:row>
      <xdr:rowOff>151278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14" y="0"/>
          <a:ext cx="10958436" cy="1580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3571875</xdr:colOff>
      <xdr:row>0</xdr:row>
      <xdr:rowOff>0</xdr:rowOff>
    </xdr:from>
    <xdr:to>
      <xdr:col>9</xdr:col>
      <xdr:colOff>123749</xdr:colOff>
      <xdr:row>7</xdr:row>
      <xdr:rowOff>190965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0"/>
          <a:ext cx="10958436" cy="1580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28</xdr:row>
      <xdr:rowOff>76200</xdr:rowOff>
    </xdr:from>
    <xdr:to>
      <xdr:col>4</xdr:col>
      <xdr:colOff>9525</xdr:colOff>
      <xdr:row>30</xdr:row>
      <xdr:rowOff>142875</xdr:rowOff>
    </xdr:to>
    <xdr:sp macro="" textlink="">
      <xdr:nvSpPr>
        <xdr:cNvPr id="2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4800" y="6400800"/>
          <a:ext cx="3629025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28</xdr:row>
          <xdr:rowOff>38100</xdr:rowOff>
        </xdr:from>
        <xdr:to>
          <xdr:col>3</xdr:col>
          <xdr:colOff>327660</xdr:colOff>
          <xdr:row>30</xdr:row>
          <xdr:rowOff>106680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781050</xdr:colOff>
      <xdr:row>0</xdr:row>
      <xdr:rowOff>0</xdr:rowOff>
    </xdr:from>
    <xdr:to>
      <xdr:col>18</xdr:col>
      <xdr:colOff>190500</xdr:colOff>
      <xdr:row>7</xdr:row>
      <xdr:rowOff>116003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0"/>
          <a:ext cx="10515600" cy="1516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9524</xdr:rowOff>
    </xdr:from>
    <xdr:to>
      <xdr:col>3</xdr:col>
      <xdr:colOff>1253106</xdr:colOff>
      <xdr:row>6</xdr:row>
      <xdr:rowOff>104774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9549"/>
          <a:ext cx="6606156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6"/>
  <sheetViews>
    <sheetView tabSelected="1" view="pageBreakPreview" topLeftCell="A180" zoomScale="70" zoomScaleNormal="100" zoomScaleSheetLayoutView="70" workbookViewId="0">
      <selection activeCell="C10" sqref="C10"/>
    </sheetView>
  </sheetViews>
  <sheetFormatPr defaultColWidth="8.33203125" defaultRowHeight="15.6" x14ac:dyDescent="0.3"/>
  <cols>
    <col min="1" max="1" width="15.5546875" style="1" customWidth="1"/>
    <col min="2" max="2" width="14.6640625" style="1" customWidth="1"/>
    <col min="3" max="3" width="61" style="2" customWidth="1"/>
    <col min="4" max="4" width="13.109375" style="2" customWidth="1"/>
    <col min="5" max="5" width="10" style="1" customWidth="1"/>
    <col min="6" max="6" width="12.109375" style="3" customWidth="1"/>
    <col min="7" max="8" width="17.44140625" style="4" customWidth="1"/>
    <col min="9" max="9" width="19.88671875" style="4" customWidth="1"/>
    <col min="10" max="10" width="18.109375" style="4" customWidth="1"/>
    <col min="11" max="11" width="8.33203125" style="1"/>
    <col min="12" max="12" width="16.109375" style="1" customWidth="1"/>
    <col min="13" max="13" width="16.5546875" style="4" customWidth="1"/>
    <col min="14" max="14" width="9.44140625" style="1" bestFit="1" customWidth="1"/>
    <col min="15" max="16" width="10.6640625" style="4" bestFit="1" customWidth="1"/>
    <col min="17" max="17" width="8.33203125" style="1"/>
    <col min="18" max="18" width="15.44140625" style="4" hidden="1" customWidth="1"/>
    <col min="19" max="19" width="12.5546875" style="4" hidden="1" customWidth="1"/>
    <col min="20" max="20" width="13.5546875" style="1" customWidth="1"/>
    <col min="21" max="16384" width="8.33203125" style="1"/>
  </cols>
  <sheetData>
    <row r="1" spans="1:19" x14ac:dyDescent="0.3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9" x14ac:dyDescent="0.3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9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9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9" x14ac:dyDescent="0.3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9" x14ac:dyDescent="0.3">
      <c r="A6" s="112"/>
      <c r="B6" s="112"/>
      <c r="C6" s="112"/>
      <c r="D6" s="112"/>
      <c r="E6" s="112"/>
      <c r="F6" s="112"/>
      <c r="G6" s="112"/>
      <c r="H6" s="112"/>
      <c r="I6" s="112"/>
      <c r="J6" s="112"/>
    </row>
    <row r="7" spans="1:19" x14ac:dyDescent="0.3">
      <c r="A7" s="112"/>
      <c r="B7" s="112"/>
      <c r="C7" s="112"/>
      <c r="D7" s="112"/>
      <c r="E7" s="112"/>
      <c r="F7" s="112"/>
      <c r="G7" s="112"/>
      <c r="H7" s="112"/>
      <c r="I7" s="112"/>
      <c r="J7" s="112"/>
    </row>
    <row r="8" spans="1:19" x14ac:dyDescent="0.3">
      <c r="A8" s="112"/>
      <c r="B8" s="112"/>
      <c r="C8" s="112"/>
      <c r="D8" s="112"/>
      <c r="E8" s="112"/>
      <c r="F8" s="112"/>
      <c r="G8" s="112"/>
      <c r="H8" s="112"/>
      <c r="I8" s="112"/>
      <c r="J8" s="112"/>
    </row>
    <row r="9" spans="1:19" x14ac:dyDescent="0.3">
      <c r="A9" s="113" t="s">
        <v>487</v>
      </c>
      <c r="B9" s="113"/>
      <c r="C9" s="113"/>
      <c r="D9" s="113"/>
      <c r="E9" s="113"/>
      <c r="F9" s="113"/>
      <c r="G9" s="113"/>
      <c r="H9" s="113"/>
      <c r="I9" s="113"/>
      <c r="J9" s="113"/>
    </row>
    <row r="10" spans="1:19" s="6" customFormat="1" x14ac:dyDescent="0.3">
      <c r="A10" s="5" t="s">
        <v>211</v>
      </c>
      <c r="C10" s="7"/>
      <c r="D10" s="7"/>
      <c r="F10" s="8"/>
      <c r="G10" s="9"/>
      <c r="H10" s="9"/>
      <c r="I10" s="9"/>
      <c r="J10" s="9"/>
      <c r="M10" s="9"/>
      <c r="O10" s="4"/>
      <c r="P10" s="9"/>
      <c r="R10" s="9"/>
      <c r="S10" s="4"/>
    </row>
    <row r="11" spans="1:19" s="6" customFormat="1" x14ac:dyDescent="0.3">
      <c r="A11" s="5" t="s">
        <v>212</v>
      </c>
      <c r="C11" s="7"/>
      <c r="D11" s="7"/>
      <c r="F11" s="8"/>
      <c r="G11" s="10"/>
      <c r="H11" s="10" t="s">
        <v>470</v>
      </c>
      <c r="I11" s="11">
        <f>' BDI'!B27</f>
        <v>0.27353503254183287</v>
      </c>
      <c r="J11" s="12"/>
      <c r="L11" s="6" t="s">
        <v>126</v>
      </c>
      <c r="M11" s="9">
        <v>900467.68</v>
      </c>
      <c r="O11" s="4"/>
      <c r="P11" s="9"/>
      <c r="R11" s="9"/>
      <c r="S11" s="4"/>
    </row>
    <row r="12" spans="1:19" s="6" customFormat="1" x14ac:dyDescent="0.3">
      <c r="A12" s="5"/>
      <c r="C12" s="7"/>
      <c r="D12" s="7"/>
      <c r="F12" s="8"/>
      <c r="G12" s="12"/>
      <c r="H12" s="12"/>
      <c r="I12" s="12"/>
      <c r="J12" s="12"/>
      <c r="L12" s="6" t="s">
        <v>127</v>
      </c>
      <c r="M12" s="9">
        <f>G196</f>
        <v>648279.24860000005</v>
      </c>
      <c r="O12" s="4"/>
      <c r="P12" s="9"/>
      <c r="R12" s="9"/>
      <c r="S12" s="4"/>
    </row>
    <row r="13" spans="1:19" x14ac:dyDescent="0.3">
      <c r="A13" s="114" t="s">
        <v>4</v>
      </c>
      <c r="B13" s="114"/>
      <c r="C13" s="114"/>
      <c r="D13" s="114"/>
      <c r="E13" s="114"/>
      <c r="F13" s="114"/>
      <c r="G13" s="114"/>
      <c r="H13" s="114"/>
      <c r="I13" s="114"/>
      <c r="J13" s="114"/>
    </row>
    <row r="15" spans="1:19" s="6" customFormat="1" ht="31.2" x14ac:dyDescent="0.3">
      <c r="A15" s="13" t="s">
        <v>0</v>
      </c>
      <c r="B15" s="14" t="s">
        <v>136</v>
      </c>
      <c r="C15" s="14" t="s">
        <v>2</v>
      </c>
      <c r="D15" s="14" t="s">
        <v>137</v>
      </c>
      <c r="E15" s="13" t="s">
        <v>3</v>
      </c>
      <c r="F15" s="15" t="s">
        <v>1</v>
      </c>
      <c r="G15" s="16" t="s">
        <v>475</v>
      </c>
      <c r="H15" s="16" t="s">
        <v>478</v>
      </c>
      <c r="I15" s="16" t="s">
        <v>476</v>
      </c>
      <c r="J15" s="16" t="s">
        <v>477</v>
      </c>
      <c r="L15" s="17" t="s">
        <v>128</v>
      </c>
      <c r="M15" s="18">
        <v>0.28010000000000002</v>
      </c>
      <c r="O15" s="4"/>
      <c r="P15" s="9"/>
      <c r="R15" s="9"/>
      <c r="S15" s="4"/>
    </row>
    <row r="16" spans="1:19" s="6" customFormat="1" x14ac:dyDescent="0.3">
      <c r="A16" s="19"/>
      <c r="B16" s="20"/>
      <c r="C16" s="20"/>
      <c r="D16" s="20"/>
      <c r="E16" s="19"/>
      <c r="F16" s="21"/>
      <c r="G16" s="22"/>
      <c r="H16" s="22"/>
      <c r="I16" s="22"/>
      <c r="J16" s="22"/>
      <c r="M16" s="9"/>
      <c r="O16" s="4"/>
      <c r="P16" s="9"/>
      <c r="R16" s="9"/>
      <c r="S16" s="4"/>
    </row>
    <row r="17" spans="1:20" s="6" customFormat="1" x14ac:dyDescent="0.3">
      <c r="A17" s="19">
        <v>1</v>
      </c>
      <c r="B17" s="23" t="s">
        <v>213</v>
      </c>
      <c r="C17" s="23"/>
      <c r="D17" s="23"/>
      <c r="E17" s="23"/>
      <c r="F17" s="23"/>
      <c r="G17" s="23"/>
      <c r="H17" s="24">
        <f>H18+H27+H31+H37+H42+H46+H58+H67+H72+H81+H90+H115+H124+H149+H157</f>
        <v>492141.79487014003</v>
      </c>
      <c r="I17" s="23"/>
      <c r="J17" s="24">
        <f>J18+J27+J31+J37+J42+J46+J58+J67+J72+J81+J90+J115+J124+J149+J157</f>
        <v>626770.41440000001</v>
      </c>
      <c r="M17" s="9"/>
      <c r="N17" s="11"/>
      <c r="O17" s="4"/>
      <c r="P17" s="4"/>
      <c r="R17" s="9"/>
      <c r="S17" s="4"/>
    </row>
    <row r="18" spans="1:20" s="6" customFormat="1" x14ac:dyDescent="0.3">
      <c r="A18" s="19" t="s">
        <v>163</v>
      </c>
      <c r="B18" s="23" t="s">
        <v>161</v>
      </c>
      <c r="C18" s="23"/>
      <c r="D18" s="23"/>
      <c r="E18" s="23"/>
      <c r="F18" s="23"/>
      <c r="G18" s="23"/>
      <c r="H18" s="24">
        <f>SUM(H19:H26)</f>
        <v>13142.422409999999</v>
      </c>
      <c r="I18" s="23"/>
      <c r="J18" s="24">
        <f>SUM(J19:J26)</f>
        <v>16737.77</v>
      </c>
      <c r="M18" s="9"/>
      <c r="N18" s="11"/>
      <c r="O18" s="4"/>
      <c r="P18" s="4"/>
      <c r="R18" s="9"/>
      <c r="S18" s="4"/>
    </row>
    <row r="19" spans="1:20" x14ac:dyDescent="0.3">
      <c r="A19" s="25" t="s">
        <v>138</v>
      </c>
      <c r="B19" s="26">
        <v>51</v>
      </c>
      <c r="C19" s="27" t="s">
        <v>148</v>
      </c>
      <c r="D19" s="26" t="s">
        <v>224</v>
      </c>
      <c r="E19" s="26" t="s">
        <v>133</v>
      </c>
      <c r="F19" s="28">
        <v>6</v>
      </c>
      <c r="G19" s="29">
        <f>S19</f>
        <v>233.693938</v>
      </c>
      <c r="H19" s="29">
        <f>F19*G19</f>
        <v>1402.163628</v>
      </c>
      <c r="I19" s="29">
        <f t="shared" ref="I19:I50" si="0">ROUND(G19+G19*$I$11,2)</f>
        <v>297.62</v>
      </c>
      <c r="J19" s="29">
        <f>F19*I19</f>
        <v>1785.72</v>
      </c>
      <c r="R19" s="4">
        <v>324.62</v>
      </c>
      <c r="S19" s="4">
        <f>R19-R19*$M$15</f>
        <v>233.693938</v>
      </c>
      <c r="T19" s="4"/>
    </row>
    <row r="20" spans="1:20" ht="46.8" x14ac:dyDescent="0.3">
      <c r="A20" s="25" t="s">
        <v>139</v>
      </c>
      <c r="B20" s="26">
        <v>99059</v>
      </c>
      <c r="C20" s="27" t="s">
        <v>223</v>
      </c>
      <c r="D20" s="26" t="s">
        <v>129</v>
      </c>
      <c r="E20" s="26" t="s">
        <v>135</v>
      </c>
      <c r="F20" s="28">
        <v>140</v>
      </c>
      <c r="G20" s="29">
        <f t="shared" ref="G20:G26" si="1">S20</f>
        <v>28.587229000000001</v>
      </c>
      <c r="H20" s="29">
        <f t="shared" ref="H20:H26" si="2">F20*G20</f>
        <v>4002.2120600000003</v>
      </c>
      <c r="I20" s="29">
        <f t="shared" si="0"/>
        <v>36.409999999999997</v>
      </c>
      <c r="J20" s="29">
        <f>F20*I20</f>
        <v>5097.3999999999996</v>
      </c>
      <c r="R20" s="4">
        <v>39.71</v>
      </c>
      <c r="S20" s="4">
        <f t="shared" ref="S20:S26" si="3">R20-R20*$M$15</f>
        <v>28.587229000000001</v>
      </c>
      <c r="T20" s="4"/>
    </row>
    <row r="21" spans="1:20" ht="46.8" x14ac:dyDescent="0.3">
      <c r="A21" s="25" t="s">
        <v>140</v>
      </c>
      <c r="B21" s="26">
        <v>98525</v>
      </c>
      <c r="C21" s="27" t="s">
        <v>222</v>
      </c>
      <c r="D21" s="26" t="s">
        <v>129</v>
      </c>
      <c r="E21" s="26" t="s">
        <v>133</v>
      </c>
      <c r="F21" s="28">
        <v>1500</v>
      </c>
      <c r="G21" s="29">
        <f t="shared" si="1"/>
        <v>0.17277599999999999</v>
      </c>
      <c r="H21" s="29">
        <f t="shared" si="2"/>
        <v>259.16399999999999</v>
      </c>
      <c r="I21" s="29">
        <f t="shared" si="0"/>
        <v>0.22</v>
      </c>
      <c r="J21" s="29">
        <f t="shared" ref="J21:J26" si="4">F21*I21</f>
        <v>330</v>
      </c>
      <c r="R21" s="4">
        <v>0.24</v>
      </c>
      <c r="S21" s="4">
        <f t="shared" si="3"/>
        <v>0.17277599999999999</v>
      </c>
      <c r="T21" s="4"/>
    </row>
    <row r="22" spans="1:20" ht="62.4" x14ac:dyDescent="0.3">
      <c r="A22" s="25" t="s">
        <v>141</v>
      </c>
      <c r="B22" s="26">
        <v>6096</v>
      </c>
      <c r="C22" s="27" t="s">
        <v>221</v>
      </c>
      <c r="D22" s="26" t="s">
        <v>224</v>
      </c>
      <c r="E22" s="26" t="s">
        <v>144</v>
      </c>
      <c r="F22" s="28">
        <v>1</v>
      </c>
      <c r="G22" s="29">
        <f t="shared" si="1"/>
        <v>325.80514299999999</v>
      </c>
      <c r="H22" s="29">
        <f t="shared" si="2"/>
        <v>325.80514299999999</v>
      </c>
      <c r="I22" s="29">
        <f t="shared" si="0"/>
        <v>414.92</v>
      </c>
      <c r="J22" s="29">
        <f t="shared" si="4"/>
        <v>414.92</v>
      </c>
      <c r="R22" s="4">
        <v>452.57</v>
      </c>
      <c r="S22" s="4">
        <f t="shared" si="3"/>
        <v>325.80514299999999</v>
      </c>
      <c r="T22" s="4"/>
    </row>
    <row r="23" spans="1:20" ht="46.8" x14ac:dyDescent="0.3">
      <c r="A23" s="25" t="s">
        <v>142</v>
      </c>
      <c r="B23" s="26">
        <v>11122</v>
      </c>
      <c r="C23" s="27" t="s">
        <v>220</v>
      </c>
      <c r="D23" s="26" t="s">
        <v>224</v>
      </c>
      <c r="E23" s="26" t="s">
        <v>144</v>
      </c>
      <c r="F23" s="28">
        <v>1</v>
      </c>
      <c r="G23" s="29">
        <f t="shared" si="1"/>
        <v>864.26154699999995</v>
      </c>
      <c r="H23" s="29">
        <f t="shared" si="2"/>
        <v>864.26154699999995</v>
      </c>
      <c r="I23" s="29">
        <f t="shared" si="0"/>
        <v>1100.67</v>
      </c>
      <c r="J23" s="29">
        <f t="shared" si="4"/>
        <v>1100.67</v>
      </c>
      <c r="R23" s="4">
        <v>1200.53</v>
      </c>
      <c r="S23" s="4">
        <f t="shared" si="3"/>
        <v>864.26154699999995</v>
      </c>
      <c r="T23" s="4"/>
    </row>
    <row r="24" spans="1:20" ht="62.4" x14ac:dyDescent="0.3">
      <c r="A24" s="25" t="s">
        <v>214</v>
      </c>
      <c r="B24" s="26">
        <v>73658</v>
      </c>
      <c r="C24" s="27" t="s">
        <v>219</v>
      </c>
      <c r="D24" s="26" t="s">
        <v>129</v>
      </c>
      <c r="E24" s="26" t="s">
        <v>144</v>
      </c>
      <c r="F24" s="28">
        <v>1</v>
      </c>
      <c r="G24" s="29">
        <f t="shared" si="1"/>
        <v>367.43696</v>
      </c>
      <c r="H24" s="29">
        <f t="shared" si="2"/>
        <v>367.43696</v>
      </c>
      <c r="I24" s="29">
        <f t="shared" si="0"/>
        <v>467.94</v>
      </c>
      <c r="J24" s="29">
        <f t="shared" si="4"/>
        <v>467.94</v>
      </c>
      <c r="R24" s="4">
        <v>510.4</v>
      </c>
      <c r="S24" s="4">
        <f t="shared" si="3"/>
        <v>367.43696</v>
      </c>
      <c r="T24" s="4"/>
    </row>
    <row r="25" spans="1:20" ht="31.2" x14ac:dyDescent="0.3">
      <c r="A25" s="25" t="s">
        <v>215</v>
      </c>
      <c r="B25" s="26">
        <v>4654</v>
      </c>
      <c r="C25" s="27" t="s">
        <v>217</v>
      </c>
      <c r="D25" s="26" t="s">
        <v>224</v>
      </c>
      <c r="E25" s="26" t="s">
        <v>146</v>
      </c>
      <c r="F25" s="28">
        <v>8</v>
      </c>
      <c r="G25" s="29">
        <f t="shared" si="1"/>
        <v>385.1465</v>
      </c>
      <c r="H25" s="29">
        <f t="shared" si="2"/>
        <v>3081.172</v>
      </c>
      <c r="I25" s="29">
        <f t="shared" si="0"/>
        <v>490.5</v>
      </c>
      <c r="J25" s="29">
        <f t="shared" si="4"/>
        <v>3924</v>
      </c>
      <c r="R25" s="4">
        <v>535</v>
      </c>
      <c r="S25" s="4">
        <f t="shared" si="3"/>
        <v>385.1465</v>
      </c>
      <c r="T25" s="4"/>
    </row>
    <row r="26" spans="1:20" ht="31.2" x14ac:dyDescent="0.3">
      <c r="A26" s="25" t="s">
        <v>216</v>
      </c>
      <c r="B26" s="25">
        <v>4657</v>
      </c>
      <c r="C26" s="27" t="s">
        <v>218</v>
      </c>
      <c r="D26" s="26" t="s">
        <v>224</v>
      </c>
      <c r="E26" s="26" t="s">
        <v>146</v>
      </c>
      <c r="F26" s="28">
        <v>8</v>
      </c>
      <c r="G26" s="29">
        <f t="shared" si="1"/>
        <v>355.02588400000002</v>
      </c>
      <c r="H26" s="29">
        <f t="shared" si="2"/>
        <v>2840.2070720000002</v>
      </c>
      <c r="I26" s="29">
        <f t="shared" si="0"/>
        <v>452.14</v>
      </c>
      <c r="J26" s="29">
        <f t="shared" si="4"/>
        <v>3617.12</v>
      </c>
      <c r="R26" s="4">
        <v>493.16</v>
      </c>
      <c r="S26" s="4">
        <f t="shared" si="3"/>
        <v>355.02588400000002</v>
      </c>
      <c r="T26" s="4"/>
    </row>
    <row r="27" spans="1:20" s="6" customFormat="1" x14ac:dyDescent="0.3">
      <c r="A27" s="19" t="s">
        <v>162</v>
      </c>
      <c r="B27" s="23" t="s">
        <v>160</v>
      </c>
      <c r="C27" s="23"/>
      <c r="D27" s="23"/>
      <c r="E27" s="23"/>
      <c r="F27" s="23"/>
      <c r="G27" s="23"/>
      <c r="H27" s="24">
        <f>SUM(H28:H30)</f>
        <v>5779.6119006199997</v>
      </c>
      <c r="I27" s="29"/>
      <c r="J27" s="24">
        <f>SUM(J28:J30)</f>
        <v>7361.0879999999997</v>
      </c>
      <c r="M27" s="9"/>
      <c r="N27" s="11"/>
      <c r="O27" s="4"/>
      <c r="P27" s="4"/>
      <c r="R27" s="9"/>
      <c r="S27" s="4"/>
    </row>
    <row r="28" spans="1:20" ht="46.8" x14ac:dyDescent="0.3">
      <c r="A28" s="26" t="s">
        <v>145</v>
      </c>
      <c r="B28" s="25">
        <v>72915</v>
      </c>
      <c r="C28" s="27" t="s">
        <v>227</v>
      </c>
      <c r="D28" s="26" t="s">
        <v>129</v>
      </c>
      <c r="E28" s="26" t="s">
        <v>132</v>
      </c>
      <c r="F28" s="30">
        <v>122.16</v>
      </c>
      <c r="G28" s="29">
        <f t="shared" ref="G28:G30" si="5">S28</f>
        <v>6.5294930000000004</v>
      </c>
      <c r="H28" s="29">
        <f t="shared" ref="H28:H30" si="6">F28*G28</f>
        <v>797.64286488000005</v>
      </c>
      <c r="I28" s="29">
        <f t="shared" si="0"/>
        <v>8.32</v>
      </c>
      <c r="J28" s="29">
        <f t="shared" ref="J28:J30" si="7">F28*I28</f>
        <v>1016.3712</v>
      </c>
      <c r="R28" s="4">
        <v>9.07</v>
      </c>
      <c r="S28" s="4">
        <f t="shared" ref="S28:S30" si="8">R28-R28*$M$15</f>
        <v>6.5294930000000004</v>
      </c>
      <c r="T28" s="4"/>
    </row>
    <row r="29" spans="1:20" ht="31.2" x14ac:dyDescent="0.3">
      <c r="A29" s="26" t="s">
        <v>225</v>
      </c>
      <c r="B29" s="26">
        <v>93382</v>
      </c>
      <c r="C29" s="27" t="s">
        <v>479</v>
      </c>
      <c r="D29" s="26" t="s">
        <v>129</v>
      </c>
      <c r="E29" s="26" t="s">
        <v>132</v>
      </c>
      <c r="F29" s="30">
        <v>122.16</v>
      </c>
      <c r="G29" s="29">
        <f t="shared" si="5"/>
        <v>14.052447999999998</v>
      </c>
      <c r="H29" s="29">
        <f t="shared" si="6"/>
        <v>1716.6470476799998</v>
      </c>
      <c r="I29" s="29">
        <f t="shared" si="0"/>
        <v>17.899999999999999</v>
      </c>
      <c r="J29" s="29">
        <f t="shared" si="7"/>
        <v>2186.6639999999998</v>
      </c>
      <c r="R29" s="4">
        <v>19.52</v>
      </c>
      <c r="S29" s="4">
        <f t="shared" si="8"/>
        <v>14.052447999999998</v>
      </c>
      <c r="T29" s="4"/>
    </row>
    <row r="30" spans="1:20" ht="31.2" x14ac:dyDescent="0.3">
      <c r="A30" s="26" t="s">
        <v>226</v>
      </c>
      <c r="B30" s="25">
        <v>94319</v>
      </c>
      <c r="C30" s="27" t="s">
        <v>228</v>
      </c>
      <c r="D30" s="26" t="s">
        <v>129</v>
      </c>
      <c r="E30" s="26" t="s">
        <v>132</v>
      </c>
      <c r="F30" s="30">
        <v>142.01</v>
      </c>
      <c r="G30" s="29">
        <f t="shared" si="5"/>
        <v>22.993606</v>
      </c>
      <c r="H30" s="29">
        <f t="shared" si="6"/>
        <v>3265.32198806</v>
      </c>
      <c r="I30" s="29">
        <f t="shared" si="0"/>
        <v>29.28</v>
      </c>
      <c r="J30" s="29">
        <f t="shared" si="7"/>
        <v>4158.0527999999995</v>
      </c>
      <c r="R30" s="4">
        <v>31.94</v>
      </c>
      <c r="S30" s="4">
        <f t="shared" si="8"/>
        <v>22.993606</v>
      </c>
      <c r="T30" s="4"/>
    </row>
    <row r="31" spans="1:20" s="6" customFormat="1" x14ac:dyDescent="0.3">
      <c r="A31" s="19" t="s">
        <v>229</v>
      </c>
      <c r="B31" s="23" t="s">
        <v>159</v>
      </c>
      <c r="C31" s="23"/>
      <c r="D31" s="23"/>
      <c r="E31" s="23"/>
      <c r="F31" s="23"/>
      <c r="G31" s="23"/>
      <c r="H31" s="24">
        <f>SUM(H32:H36)</f>
        <v>56592.818610469993</v>
      </c>
      <c r="I31" s="29"/>
      <c r="J31" s="24">
        <f>SUM(J32:J36)</f>
        <v>72072.818199999994</v>
      </c>
      <c r="M31" s="9"/>
      <c r="N31" s="11"/>
      <c r="O31" s="4"/>
      <c r="P31" s="4"/>
      <c r="R31" s="9"/>
      <c r="S31" s="4"/>
    </row>
    <row r="32" spans="1:20" ht="31.2" x14ac:dyDescent="0.3">
      <c r="A32" s="26" t="s">
        <v>230</v>
      </c>
      <c r="B32" s="25">
        <v>93</v>
      </c>
      <c r="C32" s="27" t="s">
        <v>149</v>
      </c>
      <c r="D32" s="26" t="s">
        <v>224</v>
      </c>
      <c r="E32" s="25" t="s">
        <v>132</v>
      </c>
      <c r="F32" s="30">
        <v>84.24</v>
      </c>
      <c r="G32" s="29">
        <f t="shared" ref="G32:G36" si="9">S32</f>
        <v>266.79494</v>
      </c>
      <c r="H32" s="29">
        <f t="shared" ref="H32:H36" si="10">F32*G32</f>
        <v>22474.805745599999</v>
      </c>
      <c r="I32" s="29">
        <f t="shared" si="0"/>
        <v>339.77</v>
      </c>
      <c r="J32" s="29">
        <f t="shared" ref="J32:J36" si="11">F32*I32</f>
        <v>28622.224799999996</v>
      </c>
      <c r="R32" s="4">
        <v>370.6</v>
      </c>
      <c r="S32" s="4">
        <f t="shared" ref="S32:S36" si="12">R32-R32*$M$15</f>
        <v>266.79494</v>
      </c>
      <c r="T32" s="4"/>
    </row>
    <row r="33" spans="1:20" ht="78" x14ac:dyDescent="0.3">
      <c r="A33" s="26" t="s">
        <v>231</v>
      </c>
      <c r="B33" s="26">
        <v>87520</v>
      </c>
      <c r="C33" s="27" t="s">
        <v>236</v>
      </c>
      <c r="D33" s="26" t="s">
        <v>129</v>
      </c>
      <c r="E33" s="26" t="s">
        <v>133</v>
      </c>
      <c r="F33" s="30">
        <v>28.19</v>
      </c>
      <c r="G33" s="29">
        <f t="shared" si="9"/>
        <v>43.388373000000001</v>
      </c>
      <c r="H33" s="29">
        <f t="shared" si="10"/>
        <v>1223.1182348700002</v>
      </c>
      <c r="I33" s="29">
        <f t="shared" si="0"/>
        <v>55.26</v>
      </c>
      <c r="J33" s="29">
        <f t="shared" si="11"/>
        <v>1557.7794000000001</v>
      </c>
      <c r="R33" s="4">
        <v>60.27</v>
      </c>
      <c r="S33" s="4">
        <f t="shared" si="12"/>
        <v>43.388373000000001</v>
      </c>
      <c r="T33" s="4"/>
    </row>
    <row r="34" spans="1:20" ht="31.2" x14ac:dyDescent="0.3">
      <c r="A34" s="26" t="s">
        <v>232</v>
      </c>
      <c r="B34" s="26">
        <v>96616</v>
      </c>
      <c r="C34" s="27" t="s">
        <v>150</v>
      </c>
      <c r="D34" s="26" t="s">
        <v>129</v>
      </c>
      <c r="E34" s="26" t="s">
        <v>132</v>
      </c>
      <c r="F34" s="30">
        <v>5</v>
      </c>
      <c r="G34" s="29">
        <f t="shared" si="9"/>
        <v>309.74417399999999</v>
      </c>
      <c r="H34" s="29">
        <f t="shared" si="10"/>
        <v>1548.7208699999999</v>
      </c>
      <c r="I34" s="29">
        <f t="shared" si="0"/>
        <v>394.47</v>
      </c>
      <c r="J34" s="29">
        <f t="shared" si="11"/>
        <v>1972.3500000000001</v>
      </c>
      <c r="R34" s="4">
        <v>430.26</v>
      </c>
      <c r="S34" s="4">
        <f t="shared" si="12"/>
        <v>309.74417399999999</v>
      </c>
      <c r="T34" s="4"/>
    </row>
    <row r="35" spans="1:20" ht="46.8" x14ac:dyDescent="0.3">
      <c r="A35" s="26" t="s">
        <v>233</v>
      </c>
      <c r="B35" s="26">
        <v>95952</v>
      </c>
      <c r="C35" s="27" t="s">
        <v>235</v>
      </c>
      <c r="D35" s="26" t="s">
        <v>129</v>
      </c>
      <c r="E35" s="26" t="s">
        <v>132</v>
      </c>
      <c r="F35" s="30">
        <v>15.01</v>
      </c>
      <c r="G35" s="29">
        <f t="shared" si="9"/>
        <v>1267.0239999999999</v>
      </c>
      <c r="H35" s="29">
        <f t="shared" si="10"/>
        <v>19018.030239999996</v>
      </c>
      <c r="I35" s="29">
        <f t="shared" si="0"/>
        <v>1613.6</v>
      </c>
      <c r="J35" s="29">
        <f t="shared" si="11"/>
        <v>24220.135999999999</v>
      </c>
      <c r="R35" s="4">
        <v>1760</v>
      </c>
      <c r="S35" s="4">
        <f t="shared" si="12"/>
        <v>1267.0239999999999</v>
      </c>
      <c r="T35" s="4"/>
    </row>
    <row r="36" spans="1:20" ht="46.8" x14ac:dyDescent="0.3">
      <c r="A36" s="26" t="s">
        <v>234</v>
      </c>
      <c r="B36" s="26">
        <v>95952</v>
      </c>
      <c r="C36" s="27" t="s">
        <v>151</v>
      </c>
      <c r="D36" s="26" t="s">
        <v>129</v>
      </c>
      <c r="E36" s="26" t="s">
        <v>132</v>
      </c>
      <c r="F36" s="30">
        <v>9.73</v>
      </c>
      <c r="G36" s="29">
        <f t="shared" si="9"/>
        <v>1267.0239999999999</v>
      </c>
      <c r="H36" s="29">
        <f t="shared" si="10"/>
        <v>12328.14352</v>
      </c>
      <c r="I36" s="29">
        <f t="shared" si="0"/>
        <v>1613.6</v>
      </c>
      <c r="J36" s="29">
        <f t="shared" si="11"/>
        <v>15700.328</v>
      </c>
      <c r="R36" s="4">
        <v>1760</v>
      </c>
      <c r="S36" s="4">
        <f t="shared" si="12"/>
        <v>1267.0239999999999</v>
      </c>
      <c r="T36" s="4"/>
    </row>
    <row r="37" spans="1:20" s="6" customFormat="1" x14ac:dyDescent="0.3">
      <c r="A37" s="19" t="s">
        <v>237</v>
      </c>
      <c r="B37" s="23" t="s">
        <v>158</v>
      </c>
      <c r="C37" s="23"/>
      <c r="D37" s="23"/>
      <c r="E37" s="23"/>
      <c r="F37" s="23"/>
      <c r="G37" s="23"/>
      <c r="H37" s="24">
        <f>SUM(H38:H41)</f>
        <v>89891.21049540001</v>
      </c>
      <c r="I37" s="29"/>
      <c r="J37" s="24">
        <f>SUM(J38:J41)</f>
        <v>114480.3824</v>
      </c>
      <c r="M37" s="9"/>
      <c r="N37" s="11"/>
      <c r="O37" s="4"/>
      <c r="P37" s="4"/>
      <c r="R37" s="9"/>
      <c r="S37" s="4"/>
    </row>
    <row r="38" spans="1:20" ht="62.4" x14ac:dyDescent="0.3">
      <c r="A38" s="26" t="s">
        <v>238</v>
      </c>
      <c r="B38" s="26">
        <v>95954</v>
      </c>
      <c r="C38" s="27" t="s">
        <v>242</v>
      </c>
      <c r="D38" s="26" t="s">
        <v>129</v>
      </c>
      <c r="E38" s="26" t="s">
        <v>132</v>
      </c>
      <c r="F38" s="30">
        <v>18.920000000000002</v>
      </c>
      <c r="G38" s="29">
        <f t="shared" ref="G38:G41" si="13">S38</f>
        <v>1418.203</v>
      </c>
      <c r="H38" s="29">
        <f t="shared" ref="H38:H41" si="14">F38*G38</f>
        <v>26832.40076</v>
      </c>
      <c r="I38" s="29">
        <f t="shared" si="0"/>
        <v>1806.13</v>
      </c>
      <c r="J38" s="29">
        <f t="shared" ref="J38:J41" si="15">F38*I38</f>
        <v>34171.979600000006</v>
      </c>
      <c r="N38" s="31"/>
      <c r="R38" s="4">
        <v>1970</v>
      </c>
      <c r="S38" s="4">
        <f t="shared" ref="S38:S41" si="16">R38-R38*$M$15</f>
        <v>1418.203</v>
      </c>
      <c r="T38" s="4"/>
    </row>
    <row r="39" spans="1:20" ht="62.4" x14ac:dyDescent="0.3">
      <c r="A39" s="26" t="s">
        <v>239</v>
      </c>
      <c r="B39" s="26">
        <v>95954</v>
      </c>
      <c r="C39" s="27" t="s">
        <v>243</v>
      </c>
      <c r="D39" s="26" t="s">
        <v>129</v>
      </c>
      <c r="E39" s="26" t="s">
        <v>132</v>
      </c>
      <c r="F39" s="30">
        <v>14.4</v>
      </c>
      <c r="G39" s="29">
        <f t="shared" si="13"/>
        <v>1429.3398529999999</v>
      </c>
      <c r="H39" s="29">
        <f t="shared" si="14"/>
        <v>20582.493883200001</v>
      </c>
      <c r="I39" s="29">
        <f t="shared" si="0"/>
        <v>1820.31</v>
      </c>
      <c r="J39" s="29">
        <f t="shared" si="15"/>
        <v>26212.464</v>
      </c>
      <c r="N39" s="31"/>
      <c r="R39" s="4">
        <v>1985.47</v>
      </c>
      <c r="S39" s="4">
        <f t="shared" si="16"/>
        <v>1429.3398529999999</v>
      </c>
      <c r="T39" s="4"/>
    </row>
    <row r="40" spans="1:20" x14ac:dyDescent="0.3">
      <c r="A40" s="26" t="s">
        <v>240</v>
      </c>
      <c r="B40" s="26">
        <v>9721</v>
      </c>
      <c r="C40" s="27" t="s">
        <v>244</v>
      </c>
      <c r="D40" s="26" t="s">
        <v>224</v>
      </c>
      <c r="E40" s="26" t="s">
        <v>133</v>
      </c>
      <c r="F40" s="30">
        <v>12.36</v>
      </c>
      <c r="G40" s="29">
        <f t="shared" si="13"/>
        <v>246.42177000000001</v>
      </c>
      <c r="H40" s="29">
        <f t="shared" si="14"/>
        <v>3045.7730772</v>
      </c>
      <c r="I40" s="29">
        <f t="shared" si="0"/>
        <v>313.83</v>
      </c>
      <c r="J40" s="29">
        <f t="shared" si="15"/>
        <v>3878.9387999999994</v>
      </c>
      <c r="N40" s="31"/>
      <c r="R40" s="4">
        <v>342.3</v>
      </c>
      <c r="S40" s="4">
        <f t="shared" si="16"/>
        <v>246.42177000000001</v>
      </c>
      <c r="T40" s="4"/>
    </row>
    <row r="41" spans="1:20" ht="62.4" x14ac:dyDescent="0.3">
      <c r="A41" s="26" t="s">
        <v>241</v>
      </c>
      <c r="B41" s="26">
        <v>101964</v>
      </c>
      <c r="C41" s="27" t="s">
        <v>245</v>
      </c>
      <c r="D41" s="26" t="s">
        <v>129</v>
      </c>
      <c r="E41" s="26" t="s">
        <v>133</v>
      </c>
      <c r="F41" s="30">
        <v>475</v>
      </c>
      <c r="G41" s="29">
        <f t="shared" si="13"/>
        <v>83.011668999999998</v>
      </c>
      <c r="H41" s="29">
        <f t="shared" si="14"/>
        <v>39430.542775000002</v>
      </c>
      <c r="I41" s="29">
        <f t="shared" si="0"/>
        <v>105.72</v>
      </c>
      <c r="J41" s="29">
        <f t="shared" si="15"/>
        <v>50217</v>
      </c>
      <c r="N41" s="31"/>
      <c r="R41" s="4">
        <v>115.31</v>
      </c>
      <c r="S41" s="4">
        <f t="shared" si="16"/>
        <v>83.011668999999998</v>
      </c>
      <c r="T41" s="4"/>
    </row>
    <row r="42" spans="1:20" s="6" customFormat="1" x14ac:dyDescent="0.3">
      <c r="A42" s="19" t="s">
        <v>246</v>
      </c>
      <c r="B42" s="23" t="s">
        <v>156</v>
      </c>
      <c r="C42" s="23"/>
      <c r="D42" s="23"/>
      <c r="E42" s="23"/>
      <c r="F42" s="23"/>
      <c r="G42" s="23"/>
      <c r="H42" s="24">
        <f>SUM(H43:H45)</f>
        <v>67945.477977200004</v>
      </c>
      <c r="I42" s="29"/>
      <c r="J42" s="24">
        <f>SUM(J43:J45)</f>
        <v>86529.282800000001</v>
      </c>
      <c r="M42" s="9"/>
      <c r="N42" s="11"/>
      <c r="O42" s="4"/>
      <c r="P42" s="4"/>
      <c r="R42" s="9"/>
      <c r="S42" s="4"/>
    </row>
    <row r="43" spans="1:20" ht="78" x14ac:dyDescent="0.3">
      <c r="A43" s="26" t="s">
        <v>247</v>
      </c>
      <c r="B43" s="26">
        <v>87504</v>
      </c>
      <c r="C43" s="27" t="s">
        <v>441</v>
      </c>
      <c r="D43" s="26" t="s">
        <v>129</v>
      </c>
      <c r="E43" s="26" t="s">
        <v>133</v>
      </c>
      <c r="F43" s="30">
        <v>784.04</v>
      </c>
      <c r="G43" s="29">
        <f t="shared" ref="G43:G45" si="17">S43</f>
        <v>38.658630000000002</v>
      </c>
      <c r="H43" s="29">
        <f t="shared" ref="H43:H45" si="18">F43*G43</f>
        <v>30309.912265200001</v>
      </c>
      <c r="I43" s="29">
        <f t="shared" si="0"/>
        <v>49.23</v>
      </c>
      <c r="J43" s="29">
        <f t="shared" ref="J43:J45" si="19">F43*I43</f>
        <v>38598.289199999999</v>
      </c>
      <c r="R43" s="4">
        <v>53.7</v>
      </c>
      <c r="S43" s="4">
        <f t="shared" ref="S43:S45" si="20">R43-R43*$M$15</f>
        <v>38.658630000000002</v>
      </c>
      <c r="T43" s="4"/>
    </row>
    <row r="44" spans="1:20" ht="46.8" x14ac:dyDescent="0.3">
      <c r="A44" s="26" t="s">
        <v>248</v>
      </c>
      <c r="B44" s="26" t="s">
        <v>250</v>
      </c>
      <c r="C44" s="27" t="s">
        <v>152</v>
      </c>
      <c r="D44" s="26" t="s">
        <v>129</v>
      </c>
      <c r="E44" s="25" t="s">
        <v>133</v>
      </c>
      <c r="F44" s="30">
        <v>35.76</v>
      </c>
      <c r="G44" s="29">
        <f t="shared" si="17"/>
        <v>146.1397</v>
      </c>
      <c r="H44" s="29">
        <f t="shared" si="18"/>
        <v>5225.955672</v>
      </c>
      <c r="I44" s="29">
        <f t="shared" si="0"/>
        <v>186.11</v>
      </c>
      <c r="J44" s="29">
        <f t="shared" si="19"/>
        <v>6655.2936</v>
      </c>
      <c r="R44" s="4">
        <v>203</v>
      </c>
      <c r="S44" s="4">
        <f t="shared" si="20"/>
        <v>146.1397</v>
      </c>
      <c r="T44" s="4"/>
    </row>
    <row r="45" spans="1:20" ht="62.4" x14ac:dyDescent="0.3">
      <c r="A45" s="26" t="s">
        <v>249</v>
      </c>
      <c r="B45" s="25">
        <v>2374</v>
      </c>
      <c r="C45" s="27" t="s">
        <v>251</v>
      </c>
      <c r="D45" s="26" t="s">
        <v>224</v>
      </c>
      <c r="E45" s="25" t="s">
        <v>133</v>
      </c>
      <c r="F45" s="30">
        <v>290</v>
      </c>
      <c r="G45" s="29">
        <f t="shared" si="17"/>
        <v>111.757276</v>
      </c>
      <c r="H45" s="29">
        <f t="shared" si="18"/>
        <v>32409.61004</v>
      </c>
      <c r="I45" s="29">
        <f t="shared" si="0"/>
        <v>142.33000000000001</v>
      </c>
      <c r="J45" s="29">
        <f t="shared" si="19"/>
        <v>41275.700000000004</v>
      </c>
      <c r="R45" s="4">
        <v>155.24</v>
      </c>
      <c r="S45" s="4">
        <f t="shared" si="20"/>
        <v>111.757276</v>
      </c>
      <c r="T45" s="4"/>
    </row>
    <row r="46" spans="1:20" s="6" customFormat="1" x14ac:dyDescent="0.3">
      <c r="A46" s="19" t="s">
        <v>252</v>
      </c>
      <c r="B46" s="23" t="s">
        <v>157</v>
      </c>
      <c r="C46" s="23"/>
      <c r="D46" s="23"/>
      <c r="E46" s="23"/>
      <c r="F46" s="23"/>
      <c r="G46" s="23"/>
      <c r="H46" s="24">
        <f>SUM(H47:H57)</f>
        <v>57163.577647370003</v>
      </c>
      <c r="I46" s="29"/>
      <c r="J46" s="24">
        <f>SUM(J47:J57)</f>
        <v>72799.623299999992</v>
      </c>
      <c r="M46" s="9"/>
      <c r="N46" s="11"/>
      <c r="O46" s="4"/>
      <c r="P46" s="4"/>
      <c r="R46" s="9"/>
      <c r="S46" s="4"/>
    </row>
    <row r="47" spans="1:20" ht="46.8" x14ac:dyDescent="0.3">
      <c r="A47" s="26" t="s">
        <v>253</v>
      </c>
      <c r="B47" s="26">
        <v>91331</v>
      </c>
      <c r="C47" s="27" t="s">
        <v>267</v>
      </c>
      <c r="D47" s="26" t="s">
        <v>129</v>
      </c>
      <c r="E47" s="26" t="s">
        <v>210</v>
      </c>
      <c r="F47" s="30">
        <v>9</v>
      </c>
      <c r="G47" s="29">
        <f>S47</f>
        <v>375.44944699999996</v>
      </c>
      <c r="H47" s="29">
        <f t="shared" ref="H47:H57" si="21">F47*G47</f>
        <v>3379.0450229999997</v>
      </c>
      <c r="I47" s="29">
        <f t="shared" si="0"/>
        <v>478.15</v>
      </c>
      <c r="J47" s="29">
        <f t="shared" ref="J47:J57" si="22">F47*I47</f>
        <v>4303.3499999999995</v>
      </c>
      <c r="R47" s="4">
        <v>521.53</v>
      </c>
      <c r="S47" s="4">
        <f t="shared" ref="S47:S57" si="23">R47-R47*$M$15</f>
        <v>375.44944699999996</v>
      </c>
      <c r="T47" s="4"/>
    </row>
    <row r="48" spans="1:20" ht="46.8" x14ac:dyDescent="0.3">
      <c r="A48" s="26" t="s">
        <v>254</v>
      </c>
      <c r="B48" s="26">
        <v>91332</v>
      </c>
      <c r="C48" s="27" t="s">
        <v>268</v>
      </c>
      <c r="D48" s="26" t="s">
        <v>129</v>
      </c>
      <c r="E48" s="26" t="s">
        <v>210</v>
      </c>
      <c r="F48" s="30">
        <v>10</v>
      </c>
      <c r="G48" s="29">
        <f t="shared" ref="G48:G57" si="24">S48</f>
        <v>429.40595200000001</v>
      </c>
      <c r="H48" s="29">
        <f t="shared" si="21"/>
        <v>4294.0595199999998</v>
      </c>
      <c r="I48" s="29">
        <f t="shared" si="0"/>
        <v>546.86</v>
      </c>
      <c r="J48" s="29">
        <f t="shared" si="22"/>
        <v>5468.6</v>
      </c>
      <c r="R48" s="4">
        <v>596.48</v>
      </c>
      <c r="S48" s="4">
        <f t="shared" si="23"/>
        <v>429.40595200000001</v>
      </c>
      <c r="T48" s="4"/>
    </row>
    <row r="49" spans="1:20" ht="62.4" x14ac:dyDescent="0.3">
      <c r="A49" s="26" t="s">
        <v>255</v>
      </c>
      <c r="B49" s="26">
        <v>91332</v>
      </c>
      <c r="C49" s="27" t="s">
        <v>269</v>
      </c>
      <c r="D49" s="26" t="s">
        <v>129</v>
      </c>
      <c r="E49" s="26" t="s">
        <v>210</v>
      </c>
      <c r="F49" s="30">
        <v>2</v>
      </c>
      <c r="G49" s="29">
        <f t="shared" si="24"/>
        <v>429.40595200000001</v>
      </c>
      <c r="H49" s="29">
        <f t="shared" si="21"/>
        <v>858.81190400000003</v>
      </c>
      <c r="I49" s="29">
        <f t="shared" si="0"/>
        <v>546.86</v>
      </c>
      <c r="J49" s="29">
        <f t="shared" si="22"/>
        <v>1093.72</v>
      </c>
      <c r="R49" s="4">
        <v>596.48</v>
      </c>
      <c r="S49" s="4">
        <f t="shared" si="23"/>
        <v>429.40595200000001</v>
      </c>
      <c r="T49" s="4"/>
    </row>
    <row r="50" spans="1:20" ht="31.2" x14ac:dyDescent="0.3">
      <c r="A50" s="26" t="s">
        <v>256</v>
      </c>
      <c r="B50" s="25">
        <v>94559</v>
      </c>
      <c r="C50" s="27" t="s">
        <v>270</v>
      </c>
      <c r="D50" s="26" t="s">
        <v>129</v>
      </c>
      <c r="E50" s="25" t="s">
        <v>133</v>
      </c>
      <c r="F50" s="30">
        <v>60.17</v>
      </c>
      <c r="G50" s="29">
        <f t="shared" si="24"/>
        <v>379.31530999999995</v>
      </c>
      <c r="H50" s="29">
        <f t="shared" si="21"/>
        <v>22823.402202699999</v>
      </c>
      <c r="I50" s="29">
        <f t="shared" si="0"/>
        <v>483.07</v>
      </c>
      <c r="J50" s="29">
        <f t="shared" si="22"/>
        <v>29066.321899999999</v>
      </c>
      <c r="R50" s="4">
        <v>526.9</v>
      </c>
      <c r="S50" s="4">
        <f t="shared" si="23"/>
        <v>379.31530999999995</v>
      </c>
      <c r="T50" s="4"/>
    </row>
    <row r="51" spans="1:20" s="6" customFormat="1" ht="46.8" x14ac:dyDescent="0.3">
      <c r="A51" s="26" t="s">
        <v>257</v>
      </c>
      <c r="B51" s="25">
        <v>8238</v>
      </c>
      <c r="C51" s="27" t="s">
        <v>480</v>
      </c>
      <c r="D51" s="26" t="s">
        <v>224</v>
      </c>
      <c r="E51" s="25" t="s">
        <v>133</v>
      </c>
      <c r="F51" s="30">
        <v>3</v>
      </c>
      <c r="G51" s="29">
        <f t="shared" si="24"/>
        <v>273.98674099999999</v>
      </c>
      <c r="H51" s="29">
        <f t="shared" si="21"/>
        <v>821.96022300000004</v>
      </c>
      <c r="I51" s="29">
        <f t="shared" ref="I51:I80" si="25">ROUND(G51+G51*$I$11,2)</f>
        <v>348.93</v>
      </c>
      <c r="J51" s="29">
        <f t="shared" si="22"/>
        <v>1046.79</v>
      </c>
      <c r="M51" s="9"/>
      <c r="O51" s="4"/>
      <c r="P51" s="4"/>
      <c r="R51" s="9">
        <v>380.59</v>
      </c>
      <c r="S51" s="4">
        <f t="shared" si="23"/>
        <v>273.98674099999999</v>
      </c>
      <c r="T51" s="4"/>
    </row>
    <row r="52" spans="1:20" ht="46.8" x14ac:dyDescent="0.3">
      <c r="A52" s="26" t="s">
        <v>258</v>
      </c>
      <c r="B52" s="25">
        <v>8238</v>
      </c>
      <c r="C52" s="27" t="s">
        <v>480</v>
      </c>
      <c r="D52" s="26" t="s">
        <v>224</v>
      </c>
      <c r="E52" s="25" t="s">
        <v>133</v>
      </c>
      <c r="F52" s="30">
        <v>67.010000000000005</v>
      </c>
      <c r="G52" s="29">
        <f t="shared" si="24"/>
        <v>273.98674099999999</v>
      </c>
      <c r="H52" s="29">
        <f t="shared" si="21"/>
        <v>18359.851514410002</v>
      </c>
      <c r="I52" s="29">
        <f t="shared" si="25"/>
        <v>348.93</v>
      </c>
      <c r="J52" s="29">
        <f t="shared" si="22"/>
        <v>23381.799300000002</v>
      </c>
      <c r="R52" s="4">
        <v>380.59</v>
      </c>
      <c r="S52" s="4">
        <f t="shared" si="23"/>
        <v>273.98674099999999</v>
      </c>
      <c r="T52" s="4"/>
    </row>
    <row r="53" spans="1:20" ht="62.4" x14ac:dyDescent="0.3">
      <c r="A53" s="26" t="s">
        <v>259</v>
      </c>
      <c r="B53" s="25">
        <v>9072</v>
      </c>
      <c r="C53" s="27" t="s">
        <v>153</v>
      </c>
      <c r="D53" s="26" t="s">
        <v>224</v>
      </c>
      <c r="E53" s="26" t="s">
        <v>133</v>
      </c>
      <c r="F53" s="30">
        <v>1.57</v>
      </c>
      <c r="G53" s="29">
        <f t="shared" si="24"/>
        <v>540.10497499999997</v>
      </c>
      <c r="H53" s="29">
        <f t="shared" si="21"/>
        <v>847.96481074999997</v>
      </c>
      <c r="I53" s="29">
        <f t="shared" si="25"/>
        <v>687.84</v>
      </c>
      <c r="J53" s="29">
        <f t="shared" si="22"/>
        <v>1079.9088000000002</v>
      </c>
      <c r="R53" s="4">
        <v>750.25</v>
      </c>
      <c r="S53" s="4">
        <f t="shared" si="23"/>
        <v>540.10497499999997</v>
      </c>
      <c r="T53" s="4"/>
    </row>
    <row r="54" spans="1:20" ht="31.2" x14ac:dyDescent="0.3">
      <c r="A54" s="26" t="s">
        <v>260</v>
      </c>
      <c r="B54" s="25">
        <v>2390</v>
      </c>
      <c r="C54" s="27" t="s">
        <v>266</v>
      </c>
      <c r="D54" s="26" t="s">
        <v>224</v>
      </c>
      <c r="E54" s="26" t="s">
        <v>210</v>
      </c>
      <c r="F54" s="30">
        <v>4</v>
      </c>
      <c r="G54" s="29">
        <f t="shared" si="24"/>
        <v>209.022965</v>
      </c>
      <c r="H54" s="29">
        <f t="shared" si="21"/>
        <v>836.09186</v>
      </c>
      <c r="I54" s="29">
        <f t="shared" si="25"/>
        <v>266.2</v>
      </c>
      <c r="J54" s="29">
        <f t="shared" si="22"/>
        <v>1064.8</v>
      </c>
      <c r="R54" s="4">
        <v>290.35000000000002</v>
      </c>
      <c r="S54" s="4">
        <f t="shared" si="23"/>
        <v>209.022965</v>
      </c>
      <c r="T54" s="4"/>
    </row>
    <row r="55" spans="1:20" x14ac:dyDescent="0.3">
      <c r="A55" s="26" t="s">
        <v>261</v>
      </c>
      <c r="B55" s="26">
        <v>1883</v>
      </c>
      <c r="C55" s="27" t="s">
        <v>154</v>
      </c>
      <c r="D55" s="26" t="s">
        <v>224</v>
      </c>
      <c r="E55" s="26" t="s">
        <v>133</v>
      </c>
      <c r="F55" s="30">
        <v>41.59</v>
      </c>
      <c r="G55" s="29">
        <f t="shared" si="24"/>
        <v>79.988089000000002</v>
      </c>
      <c r="H55" s="29">
        <f t="shared" si="21"/>
        <v>3326.7046215100004</v>
      </c>
      <c r="I55" s="29">
        <f t="shared" si="25"/>
        <v>101.87</v>
      </c>
      <c r="J55" s="29">
        <f t="shared" si="22"/>
        <v>4236.7733000000007</v>
      </c>
      <c r="R55" s="4">
        <v>111.11</v>
      </c>
      <c r="S55" s="4">
        <f t="shared" si="23"/>
        <v>79.988089000000002</v>
      </c>
      <c r="T55" s="4"/>
    </row>
    <row r="56" spans="1:20" ht="46.8" x14ac:dyDescent="0.3">
      <c r="A56" s="26" t="s">
        <v>262</v>
      </c>
      <c r="B56" s="26">
        <v>90830</v>
      </c>
      <c r="C56" s="27" t="s">
        <v>265</v>
      </c>
      <c r="D56" s="26" t="s">
        <v>129</v>
      </c>
      <c r="E56" s="26" t="s">
        <v>210</v>
      </c>
      <c r="F56" s="30">
        <v>20</v>
      </c>
      <c r="G56" s="29">
        <f t="shared" si="24"/>
        <v>76.129424999999998</v>
      </c>
      <c r="H56" s="29">
        <f t="shared" si="21"/>
        <v>1522.5884999999998</v>
      </c>
      <c r="I56" s="29">
        <f t="shared" si="25"/>
        <v>96.95</v>
      </c>
      <c r="J56" s="29">
        <f t="shared" si="22"/>
        <v>1939</v>
      </c>
      <c r="R56" s="4">
        <v>105.75</v>
      </c>
      <c r="S56" s="4">
        <f t="shared" si="23"/>
        <v>76.129424999999998</v>
      </c>
      <c r="T56" s="4"/>
    </row>
    <row r="57" spans="1:20" ht="62.4" x14ac:dyDescent="0.3">
      <c r="A57" s="26" t="s">
        <v>263</v>
      </c>
      <c r="B57" s="26">
        <v>91304</v>
      </c>
      <c r="C57" s="27" t="s">
        <v>264</v>
      </c>
      <c r="D57" s="26" t="s">
        <v>129</v>
      </c>
      <c r="E57" s="26" t="s">
        <v>210</v>
      </c>
      <c r="F57" s="30">
        <v>2</v>
      </c>
      <c r="G57" s="29">
        <f t="shared" si="24"/>
        <v>46.548733999999996</v>
      </c>
      <c r="H57" s="29">
        <f t="shared" si="21"/>
        <v>93.097467999999992</v>
      </c>
      <c r="I57" s="29">
        <f t="shared" si="25"/>
        <v>59.28</v>
      </c>
      <c r="J57" s="29">
        <f t="shared" si="22"/>
        <v>118.56</v>
      </c>
      <c r="R57" s="4">
        <v>64.66</v>
      </c>
      <c r="S57" s="4">
        <f t="shared" si="23"/>
        <v>46.548733999999996</v>
      </c>
      <c r="T57" s="4"/>
    </row>
    <row r="58" spans="1:20" s="6" customFormat="1" x14ac:dyDescent="0.3">
      <c r="A58" s="19" t="s">
        <v>469</v>
      </c>
      <c r="B58" s="23" t="s">
        <v>155</v>
      </c>
      <c r="C58" s="23"/>
      <c r="D58" s="23"/>
      <c r="E58" s="23"/>
      <c r="F58" s="23"/>
      <c r="G58" s="23"/>
      <c r="H58" s="24">
        <f>SUM(H59:H66)</f>
        <v>39916.701323600006</v>
      </c>
      <c r="I58" s="29"/>
      <c r="J58" s="24">
        <f>SUM(J59:J66)</f>
        <v>50835.063999999998</v>
      </c>
      <c r="M58" s="9"/>
      <c r="N58" s="11"/>
      <c r="O58" s="4"/>
      <c r="P58" s="4"/>
      <c r="R58" s="9"/>
      <c r="S58" s="4"/>
    </row>
    <row r="59" spans="1:20" ht="62.4" x14ac:dyDescent="0.3">
      <c r="A59" s="26" t="s">
        <v>271</v>
      </c>
      <c r="B59" s="25">
        <v>92565</v>
      </c>
      <c r="C59" s="27" t="s">
        <v>279</v>
      </c>
      <c r="D59" s="26" t="s">
        <v>129</v>
      </c>
      <c r="E59" s="26" t="s">
        <v>133</v>
      </c>
      <c r="F59" s="30">
        <v>453.35</v>
      </c>
      <c r="G59" s="29">
        <f>S59</f>
        <v>17.903912999999999</v>
      </c>
      <c r="H59" s="29">
        <f t="shared" ref="H59:H66" si="26">F59*G59</f>
        <v>8116.7389585500005</v>
      </c>
      <c r="I59" s="29">
        <f t="shared" si="25"/>
        <v>22.8</v>
      </c>
      <c r="J59" s="29">
        <f t="shared" ref="J59:J66" si="27">F59*I59</f>
        <v>10336.380000000001</v>
      </c>
      <c r="N59" s="31"/>
      <c r="R59" s="4">
        <v>24.87</v>
      </c>
      <c r="S59" s="4">
        <f t="shared" ref="S59:S66" si="28">R59-R59*$M$15</f>
        <v>17.903912999999999</v>
      </c>
      <c r="T59" s="4"/>
    </row>
    <row r="60" spans="1:20" ht="62.4" x14ac:dyDescent="0.3">
      <c r="A60" s="26" t="s">
        <v>272</v>
      </c>
      <c r="B60" s="25">
        <v>92541</v>
      </c>
      <c r="C60" s="27" t="s">
        <v>164</v>
      </c>
      <c r="D60" s="26" t="s">
        <v>129</v>
      </c>
      <c r="E60" s="26" t="s">
        <v>133</v>
      </c>
      <c r="F60" s="30">
        <v>57.8</v>
      </c>
      <c r="G60" s="29">
        <f t="shared" ref="G60:G66" si="29">S60</f>
        <v>38.262684999999998</v>
      </c>
      <c r="H60" s="29">
        <f t="shared" si="26"/>
        <v>2211.5831929999999</v>
      </c>
      <c r="I60" s="29">
        <f t="shared" si="25"/>
        <v>48.73</v>
      </c>
      <c r="J60" s="29">
        <f t="shared" si="27"/>
        <v>2816.5939999999996</v>
      </c>
      <c r="N60" s="31"/>
      <c r="R60" s="4">
        <v>53.15</v>
      </c>
      <c r="S60" s="4">
        <f t="shared" si="28"/>
        <v>38.262684999999998</v>
      </c>
      <c r="T60" s="4"/>
    </row>
    <row r="61" spans="1:20" ht="46.8" x14ac:dyDescent="0.3">
      <c r="A61" s="26" t="s">
        <v>273</v>
      </c>
      <c r="B61" s="25">
        <v>94445</v>
      </c>
      <c r="C61" s="27" t="s">
        <v>166</v>
      </c>
      <c r="D61" s="26" t="s">
        <v>129</v>
      </c>
      <c r="E61" s="26" t="s">
        <v>133</v>
      </c>
      <c r="F61" s="30">
        <v>511.15</v>
      </c>
      <c r="G61" s="29">
        <f t="shared" si="29"/>
        <v>20.358772000000002</v>
      </c>
      <c r="H61" s="29">
        <f t="shared" si="26"/>
        <v>10406.386307800001</v>
      </c>
      <c r="I61" s="29">
        <f t="shared" si="25"/>
        <v>25.93</v>
      </c>
      <c r="J61" s="29">
        <f t="shared" si="27"/>
        <v>13254.119499999999</v>
      </c>
      <c r="N61" s="31"/>
      <c r="R61" s="4">
        <v>28.28</v>
      </c>
      <c r="S61" s="4">
        <f t="shared" si="28"/>
        <v>20.358772000000002</v>
      </c>
      <c r="T61" s="4"/>
    </row>
    <row r="62" spans="1:20" ht="62.4" x14ac:dyDescent="0.3">
      <c r="A62" s="26" t="s">
        <v>274</v>
      </c>
      <c r="B62" s="25">
        <v>94221</v>
      </c>
      <c r="C62" s="27" t="s">
        <v>165</v>
      </c>
      <c r="D62" s="26" t="s">
        <v>129</v>
      </c>
      <c r="E62" s="26" t="s">
        <v>135</v>
      </c>
      <c r="F62" s="30">
        <v>70.63</v>
      </c>
      <c r="G62" s="29">
        <f t="shared" si="29"/>
        <v>11.151251</v>
      </c>
      <c r="H62" s="29">
        <f t="shared" si="26"/>
        <v>787.61285812999995</v>
      </c>
      <c r="I62" s="29">
        <f t="shared" si="25"/>
        <v>14.2</v>
      </c>
      <c r="J62" s="29">
        <f t="shared" si="27"/>
        <v>1002.9459999999999</v>
      </c>
      <c r="N62" s="31"/>
      <c r="R62" s="4">
        <v>15.49</v>
      </c>
      <c r="S62" s="4">
        <f t="shared" si="28"/>
        <v>11.151251</v>
      </c>
      <c r="T62" s="4"/>
    </row>
    <row r="63" spans="1:20" ht="31.2" x14ac:dyDescent="0.3">
      <c r="A63" s="26" t="s">
        <v>275</v>
      </c>
      <c r="B63" s="25">
        <v>304</v>
      </c>
      <c r="C63" s="27" t="s">
        <v>167</v>
      </c>
      <c r="D63" s="26" t="s">
        <v>224</v>
      </c>
      <c r="E63" s="26" t="s">
        <v>135</v>
      </c>
      <c r="F63" s="30">
        <v>41.57</v>
      </c>
      <c r="G63" s="29">
        <f t="shared" si="29"/>
        <v>20.502752000000001</v>
      </c>
      <c r="H63" s="29">
        <f t="shared" si="26"/>
        <v>852.29940064000004</v>
      </c>
      <c r="I63" s="29">
        <f t="shared" si="25"/>
        <v>26.11</v>
      </c>
      <c r="J63" s="29">
        <f t="shared" si="27"/>
        <v>1085.3926999999999</v>
      </c>
      <c r="N63" s="31"/>
      <c r="R63" s="4">
        <v>28.48</v>
      </c>
      <c r="S63" s="4">
        <f t="shared" si="28"/>
        <v>20.502752000000001</v>
      </c>
      <c r="T63" s="4"/>
    </row>
    <row r="64" spans="1:20" ht="31.2" x14ac:dyDescent="0.3">
      <c r="A64" s="26" t="s">
        <v>276</v>
      </c>
      <c r="B64" s="25">
        <v>94224</v>
      </c>
      <c r="C64" s="27" t="s">
        <v>168</v>
      </c>
      <c r="D64" s="26" t="s">
        <v>129</v>
      </c>
      <c r="E64" s="26" t="s">
        <v>135</v>
      </c>
      <c r="F64" s="30">
        <v>8.7799999999999994</v>
      </c>
      <c r="G64" s="29">
        <f t="shared" si="29"/>
        <v>12.461468999999999</v>
      </c>
      <c r="H64" s="29">
        <f t="shared" si="26"/>
        <v>109.41169781999999</v>
      </c>
      <c r="I64" s="29">
        <f t="shared" si="25"/>
        <v>15.87</v>
      </c>
      <c r="J64" s="29">
        <f t="shared" si="27"/>
        <v>139.33859999999999</v>
      </c>
      <c r="N64" s="31"/>
      <c r="R64" s="4">
        <v>17.309999999999999</v>
      </c>
      <c r="S64" s="4">
        <f t="shared" si="28"/>
        <v>12.461468999999999</v>
      </c>
      <c r="T64" s="4"/>
    </row>
    <row r="65" spans="1:20" s="6" customFormat="1" ht="31.2" x14ac:dyDescent="0.3">
      <c r="A65" s="26" t="s">
        <v>277</v>
      </c>
      <c r="B65" s="25">
        <v>9360</v>
      </c>
      <c r="C65" s="27" t="s">
        <v>169</v>
      </c>
      <c r="D65" s="26" t="s">
        <v>224</v>
      </c>
      <c r="E65" s="26" t="s">
        <v>133</v>
      </c>
      <c r="F65" s="30">
        <v>8.31</v>
      </c>
      <c r="G65" s="29">
        <f t="shared" si="29"/>
        <v>20.977885999999998</v>
      </c>
      <c r="H65" s="29">
        <f t="shared" si="26"/>
        <v>174.32623265999999</v>
      </c>
      <c r="I65" s="29">
        <f t="shared" si="25"/>
        <v>26.72</v>
      </c>
      <c r="J65" s="29">
        <f t="shared" si="27"/>
        <v>222.04320000000001</v>
      </c>
      <c r="M65" s="9"/>
      <c r="O65" s="4"/>
      <c r="P65" s="4"/>
      <c r="R65" s="9">
        <v>29.14</v>
      </c>
      <c r="S65" s="4">
        <f t="shared" si="28"/>
        <v>20.977885999999998</v>
      </c>
      <c r="T65" s="4"/>
    </row>
    <row r="66" spans="1:20" s="6" customFormat="1" ht="31.2" x14ac:dyDescent="0.3">
      <c r="A66" s="26" t="s">
        <v>278</v>
      </c>
      <c r="B66" s="25">
        <v>96111</v>
      </c>
      <c r="C66" s="27" t="s">
        <v>280</v>
      </c>
      <c r="D66" s="26" t="s">
        <v>129</v>
      </c>
      <c r="E66" s="26" t="s">
        <v>133</v>
      </c>
      <c r="F66" s="30">
        <v>475</v>
      </c>
      <c r="G66" s="29">
        <f t="shared" si="29"/>
        <v>36.333353000000002</v>
      </c>
      <c r="H66" s="29">
        <f t="shared" si="26"/>
        <v>17258.342675</v>
      </c>
      <c r="I66" s="29">
        <f t="shared" si="25"/>
        <v>46.27</v>
      </c>
      <c r="J66" s="29">
        <f t="shared" si="27"/>
        <v>21978.25</v>
      </c>
      <c r="M66" s="9"/>
      <c r="O66" s="4"/>
      <c r="P66" s="4"/>
      <c r="R66" s="9">
        <v>50.47</v>
      </c>
      <c r="S66" s="4">
        <f t="shared" si="28"/>
        <v>36.333353000000002</v>
      </c>
      <c r="T66" s="4"/>
    </row>
    <row r="67" spans="1:20" s="6" customFormat="1" x14ac:dyDescent="0.3">
      <c r="A67" s="19" t="s">
        <v>281</v>
      </c>
      <c r="B67" s="23" t="s">
        <v>170</v>
      </c>
      <c r="C67" s="23"/>
      <c r="D67" s="23"/>
      <c r="E67" s="23"/>
      <c r="F67" s="23"/>
      <c r="G67" s="23"/>
      <c r="H67" s="24">
        <f>SUM(H68:H71)</f>
        <v>52569.449265389994</v>
      </c>
      <c r="I67" s="29"/>
      <c r="J67" s="24">
        <f>SUM(J68:J71)</f>
        <v>66961.275599999994</v>
      </c>
      <c r="M67" s="9"/>
      <c r="N67" s="11"/>
      <c r="O67" s="4"/>
      <c r="P67" s="4"/>
      <c r="R67" s="9"/>
      <c r="S67" s="4"/>
    </row>
    <row r="68" spans="1:20" s="6" customFormat="1" ht="31.2" x14ac:dyDescent="0.3">
      <c r="A68" s="26" t="s">
        <v>282</v>
      </c>
      <c r="B68" s="25">
        <v>87879</v>
      </c>
      <c r="C68" s="27" t="s">
        <v>171</v>
      </c>
      <c r="D68" s="26" t="s">
        <v>129</v>
      </c>
      <c r="E68" s="26" t="s">
        <v>133</v>
      </c>
      <c r="F68" s="30">
        <v>1663.44</v>
      </c>
      <c r="G68" s="29">
        <f t="shared" ref="G68:G71" si="30">S68</f>
        <v>2.289282</v>
      </c>
      <c r="H68" s="29">
        <f t="shared" ref="H68:H71" si="31">F68*G68</f>
        <v>3808.0832500800002</v>
      </c>
      <c r="I68" s="29">
        <f t="shared" si="25"/>
        <v>2.92</v>
      </c>
      <c r="J68" s="29">
        <f t="shared" ref="J68:J71" si="32">F68*I68</f>
        <v>4857.2448000000004</v>
      </c>
      <c r="M68" s="9"/>
      <c r="O68" s="4"/>
      <c r="P68" s="4"/>
      <c r="R68" s="9">
        <v>3.18</v>
      </c>
      <c r="S68" s="4">
        <f t="shared" ref="S68:S71" si="33">R68-R68*$M$15</f>
        <v>2.289282</v>
      </c>
      <c r="T68" s="4"/>
    </row>
    <row r="69" spans="1:20" s="6" customFormat="1" ht="78" x14ac:dyDescent="0.3">
      <c r="A69" s="26" t="s">
        <v>283</v>
      </c>
      <c r="B69" s="25">
        <v>87529</v>
      </c>
      <c r="C69" s="27" t="s">
        <v>286</v>
      </c>
      <c r="D69" s="26" t="s">
        <v>129</v>
      </c>
      <c r="E69" s="26" t="s">
        <v>133</v>
      </c>
      <c r="F69" s="30">
        <v>1146.79</v>
      </c>
      <c r="G69" s="29">
        <f t="shared" si="30"/>
        <v>16.816863999999999</v>
      </c>
      <c r="H69" s="29">
        <f t="shared" si="31"/>
        <v>19285.411466559999</v>
      </c>
      <c r="I69" s="29">
        <f t="shared" si="25"/>
        <v>21.42</v>
      </c>
      <c r="J69" s="29">
        <f t="shared" si="32"/>
        <v>24564.2418</v>
      </c>
      <c r="M69" s="9"/>
      <c r="O69" s="4"/>
      <c r="P69" s="4"/>
      <c r="R69" s="9">
        <v>23.36</v>
      </c>
      <c r="S69" s="4">
        <f t="shared" si="33"/>
        <v>16.816863999999999</v>
      </c>
      <c r="T69" s="4"/>
    </row>
    <row r="70" spans="1:20" ht="46.8" x14ac:dyDescent="0.3">
      <c r="A70" s="26" t="s">
        <v>284</v>
      </c>
      <c r="B70" s="25">
        <v>87536</v>
      </c>
      <c r="C70" s="27" t="s">
        <v>172</v>
      </c>
      <c r="D70" s="26" t="s">
        <v>129</v>
      </c>
      <c r="E70" s="26" t="s">
        <v>133</v>
      </c>
      <c r="F70" s="30">
        <v>516.65</v>
      </c>
      <c r="G70" s="29">
        <f t="shared" si="30"/>
        <v>16.802465999999999</v>
      </c>
      <c r="H70" s="29">
        <f t="shared" si="31"/>
        <v>8680.9940588999998</v>
      </c>
      <c r="I70" s="29">
        <f t="shared" si="25"/>
        <v>21.4</v>
      </c>
      <c r="J70" s="29">
        <f t="shared" si="32"/>
        <v>11056.31</v>
      </c>
      <c r="R70" s="4">
        <v>23.34</v>
      </c>
      <c r="S70" s="4">
        <f t="shared" si="33"/>
        <v>16.802465999999999</v>
      </c>
      <c r="T70" s="4"/>
    </row>
    <row r="71" spans="1:20" ht="46.8" x14ac:dyDescent="0.3">
      <c r="A71" s="26" t="s">
        <v>285</v>
      </c>
      <c r="B71" s="25">
        <v>11368</v>
      </c>
      <c r="C71" s="27" t="s">
        <v>287</v>
      </c>
      <c r="D71" s="26" t="s">
        <v>224</v>
      </c>
      <c r="E71" s="26" t="s">
        <v>133</v>
      </c>
      <c r="F71" s="30">
        <v>516.65</v>
      </c>
      <c r="G71" s="29">
        <f t="shared" si="30"/>
        <v>40.249608999999992</v>
      </c>
      <c r="H71" s="29">
        <f t="shared" si="31"/>
        <v>20794.960489849997</v>
      </c>
      <c r="I71" s="29">
        <f t="shared" si="25"/>
        <v>51.26</v>
      </c>
      <c r="J71" s="29">
        <f t="shared" si="32"/>
        <v>26483.478999999999</v>
      </c>
      <c r="R71" s="4">
        <v>55.91</v>
      </c>
      <c r="S71" s="4">
        <f t="shared" si="33"/>
        <v>40.249608999999992</v>
      </c>
      <c r="T71" s="4"/>
    </row>
    <row r="72" spans="1:20" s="6" customFormat="1" x14ac:dyDescent="0.3">
      <c r="A72" s="19" t="s">
        <v>288</v>
      </c>
      <c r="B72" s="23" t="s">
        <v>134</v>
      </c>
      <c r="C72" s="23"/>
      <c r="D72" s="23"/>
      <c r="E72" s="23"/>
      <c r="F72" s="23"/>
      <c r="G72" s="23"/>
      <c r="H72" s="24">
        <f>SUM(H73:H80)</f>
        <v>29963.938763749997</v>
      </c>
      <c r="I72" s="29"/>
      <c r="J72" s="24">
        <f>SUM(J73:J80)</f>
        <v>38162.8027</v>
      </c>
      <c r="M72" s="9"/>
      <c r="N72" s="11"/>
      <c r="O72" s="4"/>
      <c r="P72" s="4"/>
      <c r="R72" s="9"/>
      <c r="S72" s="4"/>
    </row>
    <row r="73" spans="1:20" ht="31.2" x14ac:dyDescent="0.3">
      <c r="A73" s="26" t="s">
        <v>289</v>
      </c>
      <c r="B73" s="26">
        <v>88485</v>
      </c>
      <c r="C73" s="27" t="s">
        <v>173</v>
      </c>
      <c r="D73" s="26" t="s">
        <v>129</v>
      </c>
      <c r="E73" s="26" t="s">
        <v>133</v>
      </c>
      <c r="F73" s="30">
        <v>1146.79</v>
      </c>
      <c r="G73" s="29">
        <f>S73</f>
        <v>1.403805</v>
      </c>
      <c r="H73" s="29">
        <f t="shared" ref="H73:H80" si="34">F73*G73</f>
        <v>1609.86953595</v>
      </c>
      <c r="I73" s="29">
        <f t="shared" si="25"/>
        <v>1.79</v>
      </c>
      <c r="J73" s="29">
        <f t="shared" ref="J73:J80" si="35">F73*I73</f>
        <v>2052.7541000000001</v>
      </c>
      <c r="R73" s="4">
        <v>1.95</v>
      </c>
      <c r="S73" s="4">
        <f t="shared" ref="S73:S80" si="36">R73-R73*$M$15</f>
        <v>1.403805</v>
      </c>
      <c r="T73" s="4"/>
    </row>
    <row r="74" spans="1:20" ht="31.2" x14ac:dyDescent="0.3">
      <c r="A74" s="26" t="s">
        <v>290</v>
      </c>
      <c r="B74" s="26">
        <v>88497</v>
      </c>
      <c r="C74" s="27" t="s">
        <v>481</v>
      </c>
      <c r="D74" s="26" t="s">
        <v>129</v>
      </c>
      <c r="E74" s="26" t="s">
        <v>133</v>
      </c>
      <c r="F74" s="30">
        <v>1146.79</v>
      </c>
      <c r="G74" s="29">
        <f t="shared" ref="G74:G80" si="37">S74</f>
        <v>7.2493929999999995</v>
      </c>
      <c r="H74" s="29">
        <f t="shared" si="34"/>
        <v>8313.5313984699987</v>
      </c>
      <c r="I74" s="29">
        <f t="shared" si="25"/>
        <v>9.23</v>
      </c>
      <c r="J74" s="29">
        <f t="shared" si="35"/>
        <v>10584.8717</v>
      </c>
      <c r="R74" s="4">
        <v>10.07</v>
      </c>
      <c r="S74" s="4">
        <f t="shared" si="36"/>
        <v>7.2493929999999995</v>
      </c>
      <c r="T74" s="4"/>
    </row>
    <row r="75" spans="1:20" ht="46.8" x14ac:dyDescent="0.3">
      <c r="A75" s="26" t="s">
        <v>291</v>
      </c>
      <c r="B75" s="26">
        <v>96132</v>
      </c>
      <c r="C75" s="27" t="s">
        <v>482</v>
      </c>
      <c r="D75" s="26" t="s">
        <v>129</v>
      </c>
      <c r="E75" s="26" t="s">
        <v>133</v>
      </c>
      <c r="F75" s="30">
        <v>358.74</v>
      </c>
      <c r="G75" s="29">
        <f t="shared" si="37"/>
        <v>9.3299040000000009</v>
      </c>
      <c r="H75" s="29">
        <f t="shared" si="34"/>
        <v>3347.0097609600002</v>
      </c>
      <c r="I75" s="29">
        <f t="shared" si="25"/>
        <v>11.88</v>
      </c>
      <c r="J75" s="29">
        <f t="shared" si="35"/>
        <v>4261.8312000000005</v>
      </c>
      <c r="R75" s="4">
        <v>12.96</v>
      </c>
      <c r="S75" s="4">
        <f t="shared" si="36"/>
        <v>9.3299040000000009</v>
      </c>
      <c r="T75" s="4"/>
    </row>
    <row r="76" spans="1:20" ht="31.2" x14ac:dyDescent="0.3">
      <c r="A76" s="26" t="s">
        <v>292</v>
      </c>
      <c r="B76" s="26">
        <v>88489</v>
      </c>
      <c r="C76" s="27" t="s">
        <v>174</v>
      </c>
      <c r="D76" s="26" t="s">
        <v>129</v>
      </c>
      <c r="E76" s="26" t="s">
        <v>133</v>
      </c>
      <c r="F76" s="30">
        <v>358.74</v>
      </c>
      <c r="G76" s="29">
        <f t="shared" si="37"/>
        <v>8.329243</v>
      </c>
      <c r="H76" s="29">
        <f t="shared" si="34"/>
        <v>2988.0326338200002</v>
      </c>
      <c r="I76" s="29">
        <f t="shared" si="25"/>
        <v>10.61</v>
      </c>
      <c r="J76" s="29">
        <f t="shared" si="35"/>
        <v>3806.2313999999997</v>
      </c>
      <c r="R76" s="4">
        <v>11.57</v>
      </c>
      <c r="S76" s="4">
        <f t="shared" si="36"/>
        <v>8.329243</v>
      </c>
      <c r="T76" s="4"/>
    </row>
    <row r="77" spans="1:20" ht="31.2" x14ac:dyDescent="0.3">
      <c r="A77" s="26" t="s">
        <v>293</v>
      </c>
      <c r="B77" s="26">
        <v>102228</v>
      </c>
      <c r="C77" s="27" t="s">
        <v>297</v>
      </c>
      <c r="D77" s="26" t="s">
        <v>129</v>
      </c>
      <c r="E77" s="26" t="s">
        <v>133</v>
      </c>
      <c r="F77" s="30">
        <v>81.38</v>
      </c>
      <c r="G77" s="29">
        <f t="shared" si="37"/>
        <v>10.611326</v>
      </c>
      <c r="H77" s="29">
        <f t="shared" si="34"/>
        <v>863.54970987999991</v>
      </c>
      <c r="I77" s="29">
        <f t="shared" si="25"/>
        <v>13.51</v>
      </c>
      <c r="J77" s="29">
        <f t="shared" si="35"/>
        <v>1099.4438</v>
      </c>
      <c r="R77" s="4">
        <v>14.74</v>
      </c>
      <c r="S77" s="4">
        <f t="shared" si="36"/>
        <v>10.611326</v>
      </c>
      <c r="T77" s="4"/>
    </row>
    <row r="78" spans="1:20" ht="31.2" x14ac:dyDescent="0.3">
      <c r="A78" s="26" t="s">
        <v>294</v>
      </c>
      <c r="B78" s="26">
        <v>100726</v>
      </c>
      <c r="C78" s="27" t="s">
        <v>175</v>
      </c>
      <c r="D78" s="26" t="s">
        <v>129</v>
      </c>
      <c r="E78" s="26" t="s">
        <v>133</v>
      </c>
      <c r="F78" s="30">
        <v>83.17</v>
      </c>
      <c r="G78" s="29">
        <f t="shared" si="37"/>
        <v>11.950340000000001</v>
      </c>
      <c r="H78" s="29">
        <f t="shared" si="34"/>
        <v>993.90977780000003</v>
      </c>
      <c r="I78" s="29">
        <f t="shared" si="25"/>
        <v>15.22</v>
      </c>
      <c r="J78" s="29">
        <f t="shared" si="35"/>
        <v>1265.8474000000001</v>
      </c>
      <c r="R78" s="4">
        <v>16.600000000000001</v>
      </c>
      <c r="S78" s="4">
        <f t="shared" si="36"/>
        <v>11.950340000000001</v>
      </c>
      <c r="T78" s="4"/>
    </row>
    <row r="79" spans="1:20" ht="31.2" x14ac:dyDescent="0.3">
      <c r="A79" s="26" t="s">
        <v>295</v>
      </c>
      <c r="B79" s="26">
        <v>88487</v>
      </c>
      <c r="C79" s="27" t="s">
        <v>176</v>
      </c>
      <c r="D79" s="26" t="s">
        <v>129</v>
      </c>
      <c r="E79" s="26" t="s">
        <v>133</v>
      </c>
      <c r="F79" s="30">
        <v>1146.79</v>
      </c>
      <c r="G79" s="29">
        <f t="shared" si="37"/>
        <v>6.6734729999999995</v>
      </c>
      <c r="H79" s="29">
        <f t="shared" si="34"/>
        <v>7653.072101669999</v>
      </c>
      <c r="I79" s="29">
        <f t="shared" si="25"/>
        <v>8.5</v>
      </c>
      <c r="J79" s="29">
        <f t="shared" si="35"/>
        <v>9747.7150000000001</v>
      </c>
      <c r="R79" s="4">
        <v>9.27</v>
      </c>
      <c r="S79" s="4">
        <f t="shared" si="36"/>
        <v>6.6734729999999995</v>
      </c>
      <c r="T79" s="4"/>
    </row>
    <row r="80" spans="1:20" x14ac:dyDescent="0.3">
      <c r="A80" s="26" t="s">
        <v>296</v>
      </c>
      <c r="B80" s="26">
        <v>102233</v>
      </c>
      <c r="C80" s="27" t="s">
        <v>298</v>
      </c>
      <c r="D80" s="26" t="s">
        <v>129</v>
      </c>
      <c r="E80" s="26" t="s">
        <v>133</v>
      </c>
      <c r="F80" s="30">
        <v>766.73</v>
      </c>
      <c r="G80" s="29">
        <f t="shared" si="37"/>
        <v>5.4712399999999999</v>
      </c>
      <c r="H80" s="29">
        <f t="shared" si="34"/>
        <v>4194.9638451999999</v>
      </c>
      <c r="I80" s="29">
        <f t="shared" si="25"/>
        <v>6.97</v>
      </c>
      <c r="J80" s="29">
        <f t="shared" si="35"/>
        <v>5344.1081000000004</v>
      </c>
      <c r="R80" s="4">
        <v>7.6</v>
      </c>
      <c r="S80" s="4">
        <f t="shared" si="36"/>
        <v>5.4712399999999999</v>
      </c>
      <c r="T80" s="4"/>
    </row>
    <row r="81" spans="1:20" s="6" customFormat="1" x14ac:dyDescent="0.3">
      <c r="A81" s="19" t="s">
        <v>299</v>
      </c>
      <c r="B81" s="23" t="s">
        <v>177</v>
      </c>
      <c r="C81" s="23"/>
      <c r="D81" s="23"/>
      <c r="E81" s="23"/>
      <c r="F81" s="23"/>
      <c r="G81" s="23"/>
      <c r="H81" s="24">
        <f>SUM(H82:H89)</f>
        <v>30102.737859419998</v>
      </c>
      <c r="I81" s="29"/>
      <c r="J81" s="24">
        <f>SUM(J82:J89)</f>
        <v>38334.375400000004</v>
      </c>
      <c r="M81" s="9"/>
      <c r="N81" s="11"/>
      <c r="O81" s="4"/>
      <c r="P81" s="4"/>
      <c r="R81" s="9"/>
      <c r="S81" s="4"/>
    </row>
    <row r="82" spans="1:20" ht="31.2" x14ac:dyDescent="0.3">
      <c r="A82" s="26" t="s">
        <v>300</v>
      </c>
      <c r="B82" s="26">
        <v>95241</v>
      </c>
      <c r="C82" s="27" t="s">
        <v>308</v>
      </c>
      <c r="D82" s="26" t="s">
        <v>129</v>
      </c>
      <c r="E82" s="26" t="s">
        <v>133</v>
      </c>
      <c r="F82" s="30">
        <v>427.65</v>
      </c>
      <c r="G82" s="29">
        <f t="shared" ref="G82:G89" si="38">S82</f>
        <v>15.233084</v>
      </c>
      <c r="H82" s="29">
        <f t="shared" ref="H82:H89" si="39">F82*G82</f>
        <v>6514.4283725999994</v>
      </c>
      <c r="I82" s="29">
        <f t="shared" ref="I82:I143" si="40">ROUND(G82+G82*$I$11,2)</f>
        <v>19.399999999999999</v>
      </c>
      <c r="J82" s="29">
        <f t="shared" ref="J82:J89" si="41">F82*I82</f>
        <v>8296.41</v>
      </c>
      <c r="R82" s="4">
        <v>21.16</v>
      </c>
      <c r="S82" s="4">
        <f t="shared" ref="S82:S89" si="42">R82-R82*$M$15</f>
        <v>15.233084</v>
      </c>
      <c r="T82" s="4"/>
    </row>
    <row r="83" spans="1:20" ht="46.8" x14ac:dyDescent="0.3">
      <c r="A83" s="26" t="s">
        <v>301</v>
      </c>
      <c r="B83" s="26">
        <v>2180</v>
      </c>
      <c r="C83" s="27" t="s">
        <v>309</v>
      </c>
      <c r="D83" s="26" t="s">
        <v>224</v>
      </c>
      <c r="E83" s="26" t="s">
        <v>133</v>
      </c>
      <c r="F83" s="30">
        <v>427.65</v>
      </c>
      <c r="G83" s="29">
        <f t="shared" si="38"/>
        <v>14.419597</v>
      </c>
      <c r="H83" s="29">
        <f t="shared" si="39"/>
        <v>6166.5406570499999</v>
      </c>
      <c r="I83" s="29">
        <f t="shared" si="40"/>
        <v>18.36</v>
      </c>
      <c r="J83" s="29">
        <f t="shared" si="41"/>
        <v>7851.6539999999995</v>
      </c>
      <c r="R83" s="4">
        <v>20.03</v>
      </c>
      <c r="S83" s="4">
        <f t="shared" si="42"/>
        <v>14.419597</v>
      </c>
      <c r="T83" s="4"/>
    </row>
    <row r="84" spans="1:20" ht="46.8" x14ac:dyDescent="0.3">
      <c r="A84" s="26" t="s">
        <v>302</v>
      </c>
      <c r="B84" s="26">
        <v>87249</v>
      </c>
      <c r="C84" s="27" t="s">
        <v>310</v>
      </c>
      <c r="D84" s="26" t="s">
        <v>129</v>
      </c>
      <c r="E84" s="26" t="s">
        <v>133</v>
      </c>
      <c r="F84" s="30">
        <v>45.74</v>
      </c>
      <c r="G84" s="29">
        <f t="shared" si="38"/>
        <v>36.275761000000003</v>
      </c>
      <c r="H84" s="29">
        <f t="shared" si="39"/>
        <v>1659.2533081400002</v>
      </c>
      <c r="I84" s="29">
        <f t="shared" si="40"/>
        <v>46.2</v>
      </c>
      <c r="J84" s="29">
        <f t="shared" si="41"/>
        <v>2113.1880000000001</v>
      </c>
      <c r="R84" s="4">
        <v>50.39</v>
      </c>
      <c r="S84" s="4">
        <f t="shared" si="42"/>
        <v>36.275761000000003</v>
      </c>
      <c r="T84" s="4"/>
    </row>
    <row r="85" spans="1:20" ht="31.2" x14ac:dyDescent="0.3">
      <c r="A85" s="26" t="s">
        <v>303</v>
      </c>
      <c r="B85" s="26">
        <v>101752</v>
      </c>
      <c r="C85" s="27" t="s">
        <v>311</v>
      </c>
      <c r="D85" s="26" t="s">
        <v>129</v>
      </c>
      <c r="E85" s="26" t="s">
        <v>133</v>
      </c>
      <c r="F85" s="30">
        <v>381.91</v>
      </c>
      <c r="G85" s="29">
        <f t="shared" si="38"/>
        <v>19.343713000000001</v>
      </c>
      <c r="H85" s="29">
        <f t="shared" si="39"/>
        <v>7387.5574318300005</v>
      </c>
      <c r="I85" s="29">
        <f t="shared" si="40"/>
        <v>24.63</v>
      </c>
      <c r="J85" s="29">
        <f t="shared" si="41"/>
        <v>9406.4433000000008</v>
      </c>
      <c r="R85" s="4">
        <v>26.87</v>
      </c>
      <c r="S85" s="4">
        <f t="shared" si="42"/>
        <v>19.343713000000001</v>
      </c>
      <c r="T85" s="4"/>
    </row>
    <row r="86" spans="1:20" ht="62.4" x14ac:dyDescent="0.3">
      <c r="A86" s="26" t="s">
        <v>304</v>
      </c>
      <c r="B86" s="26">
        <v>94992</v>
      </c>
      <c r="C86" s="27" t="s">
        <v>312</v>
      </c>
      <c r="D86" s="26" t="s">
        <v>129</v>
      </c>
      <c r="E86" s="26" t="s">
        <v>133</v>
      </c>
      <c r="F86" s="30">
        <v>99.37</v>
      </c>
      <c r="G86" s="29">
        <f t="shared" si="38"/>
        <v>46.505539999999996</v>
      </c>
      <c r="H86" s="29">
        <f t="shared" si="39"/>
        <v>4621.2555098000003</v>
      </c>
      <c r="I86" s="29">
        <f t="shared" si="40"/>
        <v>59.23</v>
      </c>
      <c r="J86" s="29">
        <f t="shared" si="41"/>
        <v>5885.6850999999997</v>
      </c>
      <c r="R86" s="4">
        <v>64.599999999999994</v>
      </c>
      <c r="S86" s="4">
        <f t="shared" si="42"/>
        <v>46.505539999999996</v>
      </c>
      <c r="T86" s="4"/>
    </row>
    <row r="87" spans="1:20" ht="62.4" x14ac:dyDescent="0.3">
      <c r="A87" s="26" t="s">
        <v>305</v>
      </c>
      <c r="B87" s="26">
        <v>94992</v>
      </c>
      <c r="C87" s="27" t="s">
        <v>313</v>
      </c>
      <c r="D87" s="26" t="s">
        <v>129</v>
      </c>
      <c r="E87" s="26" t="s">
        <v>133</v>
      </c>
      <c r="F87" s="30">
        <v>6.5</v>
      </c>
      <c r="G87" s="29">
        <f t="shared" si="38"/>
        <v>46.505539999999996</v>
      </c>
      <c r="H87" s="29">
        <f t="shared" si="39"/>
        <v>302.28600999999998</v>
      </c>
      <c r="I87" s="29">
        <f t="shared" si="40"/>
        <v>59.23</v>
      </c>
      <c r="J87" s="29">
        <f t="shared" si="41"/>
        <v>384.995</v>
      </c>
      <c r="R87" s="4">
        <v>64.599999999999994</v>
      </c>
      <c r="S87" s="4">
        <f t="shared" si="42"/>
        <v>46.505539999999996</v>
      </c>
      <c r="T87" s="4"/>
    </row>
    <row r="88" spans="1:20" ht="46.8" x14ac:dyDescent="0.3">
      <c r="A88" s="26" t="s">
        <v>306</v>
      </c>
      <c r="B88" s="26">
        <v>92396</v>
      </c>
      <c r="C88" s="27" t="s">
        <v>314</v>
      </c>
      <c r="D88" s="26" t="s">
        <v>129</v>
      </c>
      <c r="E88" s="26" t="s">
        <v>133</v>
      </c>
      <c r="F88" s="30">
        <v>101</v>
      </c>
      <c r="G88" s="29">
        <f t="shared" si="38"/>
        <v>31.891569999999998</v>
      </c>
      <c r="H88" s="29">
        <f t="shared" si="39"/>
        <v>3221.0485699999999</v>
      </c>
      <c r="I88" s="29">
        <f t="shared" si="40"/>
        <v>40.619999999999997</v>
      </c>
      <c r="J88" s="29">
        <f t="shared" si="41"/>
        <v>4102.62</v>
      </c>
      <c r="R88" s="4">
        <v>44.3</v>
      </c>
      <c r="S88" s="4">
        <f t="shared" si="42"/>
        <v>31.891569999999998</v>
      </c>
      <c r="T88" s="4"/>
    </row>
    <row r="89" spans="1:20" ht="78" x14ac:dyDescent="0.3">
      <c r="A89" s="26" t="s">
        <v>307</v>
      </c>
      <c r="B89" s="26">
        <v>12436</v>
      </c>
      <c r="C89" s="27" t="s">
        <v>178</v>
      </c>
      <c r="D89" s="26" t="s">
        <v>129</v>
      </c>
      <c r="E89" s="26" t="s">
        <v>210</v>
      </c>
      <c r="F89" s="30">
        <v>1</v>
      </c>
      <c r="G89" s="29">
        <f t="shared" si="38"/>
        <v>230.36799999999999</v>
      </c>
      <c r="H89" s="29">
        <f t="shared" si="39"/>
        <v>230.36799999999999</v>
      </c>
      <c r="I89" s="29">
        <f t="shared" si="40"/>
        <v>293.38</v>
      </c>
      <c r="J89" s="29">
        <f t="shared" si="41"/>
        <v>293.38</v>
      </c>
      <c r="R89" s="4">
        <v>320</v>
      </c>
      <c r="S89" s="4">
        <f t="shared" si="42"/>
        <v>230.36799999999999</v>
      </c>
      <c r="T89" s="4"/>
    </row>
    <row r="90" spans="1:20" s="6" customFormat="1" x14ac:dyDescent="0.3">
      <c r="A90" s="19" t="s">
        <v>315</v>
      </c>
      <c r="B90" s="23" t="s">
        <v>179</v>
      </c>
      <c r="C90" s="23"/>
      <c r="D90" s="23"/>
      <c r="E90" s="23"/>
      <c r="F90" s="23"/>
      <c r="G90" s="23"/>
      <c r="H90" s="24">
        <f>SUM(H91:H114)</f>
        <v>16116.184322139999</v>
      </c>
      <c r="I90" s="29"/>
      <c r="J90" s="24">
        <f>SUM(J91:J114)</f>
        <v>20524.554999999993</v>
      </c>
      <c r="M90" s="9"/>
      <c r="N90" s="11"/>
      <c r="O90" s="4"/>
      <c r="P90" s="4"/>
      <c r="R90" s="9"/>
      <c r="S90" s="4"/>
    </row>
    <row r="91" spans="1:20" ht="46.8" x14ac:dyDescent="0.3">
      <c r="A91" s="26" t="s">
        <v>316</v>
      </c>
      <c r="B91" s="26">
        <v>86931</v>
      </c>
      <c r="C91" s="27" t="s">
        <v>356</v>
      </c>
      <c r="D91" s="26" t="s">
        <v>129</v>
      </c>
      <c r="E91" s="26" t="s">
        <v>210</v>
      </c>
      <c r="F91" s="30">
        <v>3</v>
      </c>
      <c r="G91" s="29">
        <f t="shared" ref="G91:G114" si="43">S91</f>
        <v>266.363</v>
      </c>
      <c r="H91" s="29">
        <f t="shared" ref="H91:H114" si="44">F91*G91</f>
        <v>799.08899999999994</v>
      </c>
      <c r="I91" s="29">
        <f t="shared" si="40"/>
        <v>339.22</v>
      </c>
      <c r="J91" s="29">
        <f t="shared" ref="J91:J114" si="45">F91*I91</f>
        <v>1017.6600000000001</v>
      </c>
      <c r="R91" s="4">
        <v>370</v>
      </c>
      <c r="S91" s="4">
        <f t="shared" ref="S91:S114" si="46">R91-R91*$M$15</f>
        <v>266.363</v>
      </c>
      <c r="T91" s="4"/>
    </row>
    <row r="92" spans="1:20" ht="93.6" x14ac:dyDescent="0.3">
      <c r="A92" s="26" t="s">
        <v>317</v>
      </c>
      <c r="B92" s="26">
        <v>95472</v>
      </c>
      <c r="C92" s="27" t="s">
        <v>357</v>
      </c>
      <c r="D92" s="26" t="s">
        <v>129</v>
      </c>
      <c r="E92" s="26" t="s">
        <v>210</v>
      </c>
      <c r="F92" s="30">
        <v>2</v>
      </c>
      <c r="G92" s="29">
        <f t="shared" si="43"/>
        <v>467.935</v>
      </c>
      <c r="H92" s="29">
        <f t="shared" si="44"/>
        <v>935.87</v>
      </c>
      <c r="I92" s="29">
        <f t="shared" si="40"/>
        <v>595.92999999999995</v>
      </c>
      <c r="J92" s="29">
        <f t="shared" si="45"/>
        <v>1191.8599999999999</v>
      </c>
      <c r="R92" s="4">
        <v>650</v>
      </c>
      <c r="S92" s="4">
        <f t="shared" si="46"/>
        <v>467.935</v>
      </c>
      <c r="T92" s="4"/>
    </row>
    <row r="93" spans="1:20" ht="62.4" x14ac:dyDescent="0.3">
      <c r="A93" s="26" t="s">
        <v>318</v>
      </c>
      <c r="B93" s="26">
        <v>7350</v>
      </c>
      <c r="C93" s="27" t="s">
        <v>191</v>
      </c>
      <c r="D93" s="26" t="s">
        <v>224</v>
      </c>
      <c r="E93" s="26" t="s">
        <v>210</v>
      </c>
      <c r="F93" s="30">
        <v>5</v>
      </c>
      <c r="G93" s="29">
        <f t="shared" si="43"/>
        <v>272.95008499999994</v>
      </c>
      <c r="H93" s="29">
        <f t="shared" si="44"/>
        <v>1364.7504249999997</v>
      </c>
      <c r="I93" s="29">
        <f t="shared" si="40"/>
        <v>347.61</v>
      </c>
      <c r="J93" s="29">
        <f t="shared" si="45"/>
        <v>1738.0500000000002</v>
      </c>
      <c r="R93" s="4">
        <v>379.15</v>
      </c>
      <c r="S93" s="4">
        <f t="shared" si="46"/>
        <v>272.95008499999994</v>
      </c>
      <c r="T93" s="4"/>
    </row>
    <row r="94" spans="1:20" ht="46.8" x14ac:dyDescent="0.3">
      <c r="A94" s="26" t="s">
        <v>319</v>
      </c>
      <c r="B94" s="26">
        <v>2004</v>
      </c>
      <c r="C94" s="27" t="s">
        <v>358</v>
      </c>
      <c r="D94" s="26" t="s">
        <v>224</v>
      </c>
      <c r="E94" s="26" t="s">
        <v>210</v>
      </c>
      <c r="F94" s="30">
        <v>1</v>
      </c>
      <c r="G94" s="29">
        <f t="shared" si="43"/>
        <v>130.942611</v>
      </c>
      <c r="H94" s="29">
        <f t="shared" si="44"/>
        <v>130.942611</v>
      </c>
      <c r="I94" s="29">
        <f t="shared" si="40"/>
        <v>166.76</v>
      </c>
      <c r="J94" s="29">
        <f t="shared" si="45"/>
        <v>166.76</v>
      </c>
      <c r="M94" s="32"/>
      <c r="R94" s="4">
        <v>181.89</v>
      </c>
      <c r="S94" s="4">
        <f t="shared" si="46"/>
        <v>130.942611</v>
      </c>
      <c r="T94" s="4"/>
    </row>
    <row r="95" spans="1:20" ht="78" x14ac:dyDescent="0.3">
      <c r="A95" s="26" t="s">
        <v>320</v>
      </c>
      <c r="B95" s="26">
        <v>94794</v>
      </c>
      <c r="C95" s="27" t="s">
        <v>355</v>
      </c>
      <c r="D95" s="26" t="s">
        <v>129</v>
      </c>
      <c r="E95" s="26" t="s">
        <v>210</v>
      </c>
      <c r="F95" s="30">
        <v>7</v>
      </c>
      <c r="G95" s="29">
        <f t="shared" si="43"/>
        <v>102.10341700000001</v>
      </c>
      <c r="H95" s="29">
        <f t="shared" si="44"/>
        <v>714.72391900000002</v>
      </c>
      <c r="I95" s="29">
        <f t="shared" si="40"/>
        <v>130.03</v>
      </c>
      <c r="J95" s="29">
        <f t="shared" si="45"/>
        <v>910.21</v>
      </c>
      <c r="M95" s="32"/>
      <c r="R95" s="4">
        <v>141.83000000000001</v>
      </c>
      <c r="S95" s="4">
        <f t="shared" si="46"/>
        <v>102.10341700000001</v>
      </c>
      <c r="T95" s="4"/>
    </row>
    <row r="96" spans="1:20" ht="46.8" x14ac:dyDescent="0.3">
      <c r="A96" s="26" t="s">
        <v>321</v>
      </c>
      <c r="B96" s="26">
        <v>89985</v>
      </c>
      <c r="C96" s="27" t="s">
        <v>354</v>
      </c>
      <c r="D96" s="26" t="s">
        <v>129</v>
      </c>
      <c r="E96" s="26" t="s">
        <v>210</v>
      </c>
      <c r="F96" s="30">
        <v>5</v>
      </c>
      <c r="G96" s="29">
        <f t="shared" si="43"/>
        <v>51.004914999999997</v>
      </c>
      <c r="H96" s="29">
        <f t="shared" si="44"/>
        <v>255.02457499999997</v>
      </c>
      <c r="I96" s="29">
        <f t="shared" si="40"/>
        <v>64.959999999999994</v>
      </c>
      <c r="J96" s="29">
        <f t="shared" si="45"/>
        <v>324.79999999999995</v>
      </c>
      <c r="M96" s="32"/>
      <c r="R96" s="4">
        <v>70.849999999999994</v>
      </c>
      <c r="S96" s="4">
        <f t="shared" si="46"/>
        <v>51.004914999999997</v>
      </c>
      <c r="T96" s="4"/>
    </row>
    <row r="97" spans="1:20" ht="46.8" x14ac:dyDescent="0.3">
      <c r="A97" s="26" t="s">
        <v>322</v>
      </c>
      <c r="B97" s="26">
        <v>86910</v>
      </c>
      <c r="C97" s="27" t="s">
        <v>192</v>
      </c>
      <c r="D97" s="26" t="s">
        <v>129</v>
      </c>
      <c r="E97" s="26" t="s">
        <v>210</v>
      </c>
      <c r="F97" s="30">
        <v>2</v>
      </c>
      <c r="G97" s="29">
        <f t="shared" si="43"/>
        <v>73.120242999999988</v>
      </c>
      <c r="H97" s="29">
        <f t="shared" si="44"/>
        <v>146.24048599999998</v>
      </c>
      <c r="I97" s="29">
        <f t="shared" si="40"/>
        <v>93.12</v>
      </c>
      <c r="J97" s="29">
        <f t="shared" si="45"/>
        <v>186.24</v>
      </c>
      <c r="M97" s="32"/>
      <c r="R97" s="4">
        <v>101.57</v>
      </c>
      <c r="S97" s="4">
        <f t="shared" si="46"/>
        <v>73.120242999999988</v>
      </c>
      <c r="T97" s="4"/>
    </row>
    <row r="98" spans="1:20" ht="46.8" x14ac:dyDescent="0.3">
      <c r="A98" s="26" t="s">
        <v>323</v>
      </c>
      <c r="B98" s="26">
        <v>86915</v>
      </c>
      <c r="C98" s="27" t="s">
        <v>353</v>
      </c>
      <c r="D98" s="26" t="s">
        <v>129</v>
      </c>
      <c r="E98" s="26" t="s">
        <v>210</v>
      </c>
      <c r="F98" s="30">
        <v>5</v>
      </c>
      <c r="G98" s="29">
        <f t="shared" si="43"/>
        <v>65.230138999999994</v>
      </c>
      <c r="H98" s="29">
        <f t="shared" si="44"/>
        <v>326.15069499999998</v>
      </c>
      <c r="I98" s="29">
        <f t="shared" si="40"/>
        <v>83.07</v>
      </c>
      <c r="J98" s="29">
        <f t="shared" si="45"/>
        <v>415.34999999999997</v>
      </c>
      <c r="M98" s="32"/>
      <c r="R98" s="4">
        <v>90.61</v>
      </c>
      <c r="S98" s="4">
        <f t="shared" si="46"/>
        <v>65.230138999999994</v>
      </c>
      <c r="T98" s="4"/>
    </row>
    <row r="99" spans="1:20" ht="31.2" x14ac:dyDescent="0.3">
      <c r="A99" s="26" t="s">
        <v>324</v>
      </c>
      <c r="B99" s="26">
        <v>86914</v>
      </c>
      <c r="C99" s="27" t="s">
        <v>352</v>
      </c>
      <c r="D99" s="26" t="s">
        <v>129</v>
      </c>
      <c r="E99" s="26" t="s">
        <v>210</v>
      </c>
      <c r="F99" s="30">
        <v>2</v>
      </c>
      <c r="G99" s="29">
        <f t="shared" si="43"/>
        <v>29.371919999999996</v>
      </c>
      <c r="H99" s="29">
        <f t="shared" si="44"/>
        <v>58.743839999999992</v>
      </c>
      <c r="I99" s="29">
        <f t="shared" si="40"/>
        <v>37.409999999999997</v>
      </c>
      <c r="J99" s="29">
        <f t="shared" si="45"/>
        <v>74.819999999999993</v>
      </c>
      <c r="M99" s="32"/>
      <c r="R99" s="4">
        <v>40.799999999999997</v>
      </c>
      <c r="S99" s="4">
        <f t="shared" si="46"/>
        <v>29.371919999999996</v>
      </c>
      <c r="T99" s="4"/>
    </row>
    <row r="100" spans="1:20" ht="31.2" x14ac:dyDescent="0.3">
      <c r="A100" s="26" t="s">
        <v>325</v>
      </c>
      <c r="B100" s="26">
        <v>2144</v>
      </c>
      <c r="C100" s="27" t="s">
        <v>338</v>
      </c>
      <c r="D100" s="26" t="s">
        <v>129</v>
      </c>
      <c r="E100" s="26" t="s">
        <v>210</v>
      </c>
      <c r="F100" s="30">
        <v>3</v>
      </c>
      <c r="G100" s="29">
        <f t="shared" si="43"/>
        <v>19.854841999999998</v>
      </c>
      <c r="H100" s="29">
        <f t="shared" si="44"/>
        <v>59.564525999999994</v>
      </c>
      <c r="I100" s="29">
        <f t="shared" si="40"/>
        <v>25.29</v>
      </c>
      <c r="J100" s="29">
        <f t="shared" si="45"/>
        <v>75.87</v>
      </c>
      <c r="M100" s="32"/>
      <c r="R100" s="4">
        <v>27.58</v>
      </c>
      <c r="S100" s="4">
        <f t="shared" si="46"/>
        <v>19.854841999999998</v>
      </c>
      <c r="T100" s="4"/>
    </row>
    <row r="101" spans="1:20" ht="31.2" x14ac:dyDescent="0.3">
      <c r="A101" s="26" t="s">
        <v>326</v>
      </c>
      <c r="B101" s="26">
        <v>2050</v>
      </c>
      <c r="C101" s="27" t="s">
        <v>339</v>
      </c>
      <c r="D101" s="26" t="s">
        <v>224</v>
      </c>
      <c r="E101" s="26" t="s">
        <v>210</v>
      </c>
      <c r="F101" s="30">
        <v>1</v>
      </c>
      <c r="G101" s="29">
        <f t="shared" si="43"/>
        <v>12.627046</v>
      </c>
      <c r="H101" s="29">
        <f t="shared" si="44"/>
        <v>12.627046</v>
      </c>
      <c r="I101" s="29">
        <f t="shared" si="40"/>
        <v>16.079999999999998</v>
      </c>
      <c r="J101" s="29">
        <f t="shared" si="45"/>
        <v>16.079999999999998</v>
      </c>
      <c r="M101" s="32"/>
      <c r="R101" s="4">
        <v>17.54</v>
      </c>
      <c r="S101" s="4">
        <f t="shared" si="46"/>
        <v>12.627046</v>
      </c>
      <c r="T101" s="4"/>
    </row>
    <row r="102" spans="1:20" ht="46.8" x14ac:dyDescent="0.3">
      <c r="A102" s="26" t="s">
        <v>327</v>
      </c>
      <c r="B102" s="26">
        <v>95547</v>
      </c>
      <c r="C102" s="27" t="s">
        <v>351</v>
      </c>
      <c r="D102" s="26" t="s">
        <v>129</v>
      </c>
      <c r="E102" s="26" t="s">
        <v>210</v>
      </c>
      <c r="F102" s="30">
        <v>5</v>
      </c>
      <c r="G102" s="29">
        <f t="shared" si="43"/>
        <v>49.392339</v>
      </c>
      <c r="H102" s="29">
        <f t="shared" si="44"/>
        <v>246.96169499999999</v>
      </c>
      <c r="I102" s="29">
        <f t="shared" si="40"/>
        <v>62.9</v>
      </c>
      <c r="J102" s="29">
        <f t="shared" si="45"/>
        <v>314.5</v>
      </c>
      <c r="M102" s="32"/>
      <c r="R102" s="4">
        <v>68.61</v>
      </c>
      <c r="S102" s="4">
        <f t="shared" si="46"/>
        <v>49.392339</v>
      </c>
      <c r="T102" s="4"/>
    </row>
    <row r="103" spans="1:20" ht="31.2" x14ac:dyDescent="0.3">
      <c r="A103" s="26" t="s">
        <v>328</v>
      </c>
      <c r="B103" s="26">
        <v>4287</v>
      </c>
      <c r="C103" s="27" t="s">
        <v>350</v>
      </c>
      <c r="D103" s="26" t="s">
        <v>224</v>
      </c>
      <c r="E103" s="26" t="s">
        <v>210</v>
      </c>
      <c r="F103" s="30">
        <v>5</v>
      </c>
      <c r="G103" s="29">
        <f t="shared" si="43"/>
        <v>32.100341</v>
      </c>
      <c r="H103" s="29">
        <f t="shared" si="44"/>
        <v>160.50170500000002</v>
      </c>
      <c r="I103" s="29">
        <f t="shared" si="40"/>
        <v>40.880000000000003</v>
      </c>
      <c r="J103" s="29">
        <f t="shared" si="45"/>
        <v>204.4</v>
      </c>
      <c r="M103" s="32"/>
      <c r="R103" s="4">
        <v>44.59</v>
      </c>
      <c r="S103" s="4">
        <f t="shared" si="46"/>
        <v>32.100341</v>
      </c>
      <c r="T103" s="4"/>
    </row>
    <row r="104" spans="1:20" s="6" customFormat="1" ht="31.2" x14ac:dyDescent="0.3">
      <c r="A104" s="26" t="s">
        <v>329</v>
      </c>
      <c r="B104" s="26">
        <v>12511</v>
      </c>
      <c r="C104" s="27" t="s">
        <v>349</v>
      </c>
      <c r="D104" s="26" t="s">
        <v>224</v>
      </c>
      <c r="E104" s="26" t="s">
        <v>210</v>
      </c>
      <c r="F104" s="30">
        <v>5</v>
      </c>
      <c r="G104" s="29">
        <f t="shared" si="43"/>
        <v>41.466239999999999</v>
      </c>
      <c r="H104" s="29">
        <f t="shared" si="44"/>
        <v>207.3312</v>
      </c>
      <c r="I104" s="29">
        <f t="shared" si="40"/>
        <v>52.81</v>
      </c>
      <c r="J104" s="29">
        <f t="shared" si="45"/>
        <v>264.05</v>
      </c>
      <c r="M104" s="32"/>
      <c r="O104" s="4"/>
      <c r="P104" s="4"/>
      <c r="R104" s="9">
        <v>57.6</v>
      </c>
      <c r="S104" s="4">
        <f t="shared" si="46"/>
        <v>41.466239999999999</v>
      </c>
      <c r="T104" s="4"/>
    </row>
    <row r="105" spans="1:20" ht="46.8" x14ac:dyDescent="0.3">
      <c r="A105" s="26" t="s">
        <v>330</v>
      </c>
      <c r="B105" s="26">
        <v>89709</v>
      </c>
      <c r="C105" s="27" t="s">
        <v>348</v>
      </c>
      <c r="D105" s="26" t="s">
        <v>129</v>
      </c>
      <c r="E105" s="26" t="s">
        <v>210</v>
      </c>
      <c r="F105" s="30">
        <v>7</v>
      </c>
      <c r="G105" s="29">
        <f t="shared" si="43"/>
        <v>5.4928369999999997</v>
      </c>
      <c r="H105" s="29">
        <f t="shared" si="44"/>
        <v>38.449858999999996</v>
      </c>
      <c r="I105" s="29">
        <f t="shared" si="40"/>
        <v>7</v>
      </c>
      <c r="J105" s="29">
        <f t="shared" si="45"/>
        <v>49</v>
      </c>
      <c r="M105" s="32"/>
      <c r="R105" s="4">
        <v>7.63</v>
      </c>
      <c r="S105" s="4">
        <f t="shared" si="46"/>
        <v>5.4928369999999997</v>
      </c>
      <c r="T105" s="4"/>
    </row>
    <row r="106" spans="1:20" ht="46.8" x14ac:dyDescent="0.3">
      <c r="A106" s="26" t="s">
        <v>331</v>
      </c>
      <c r="B106" s="26">
        <v>86876</v>
      </c>
      <c r="C106" s="27" t="s">
        <v>193</v>
      </c>
      <c r="D106" s="26" t="s">
        <v>143</v>
      </c>
      <c r="E106" s="26" t="s">
        <v>210</v>
      </c>
      <c r="F106" s="30">
        <v>2</v>
      </c>
      <c r="G106" s="29">
        <f t="shared" si="43"/>
        <v>113.43464299999999</v>
      </c>
      <c r="H106" s="29">
        <f t="shared" si="44"/>
        <v>226.86928599999999</v>
      </c>
      <c r="I106" s="29">
        <f t="shared" si="40"/>
        <v>144.46</v>
      </c>
      <c r="J106" s="29">
        <f t="shared" si="45"/>
        <v>288.92</v>
      </c>
      <c r="M106" s="32"/>
      <c r="R106" s="4">
        <v>157.57</v>
      </c>
      <c r="S106" s="4">
        <f t="shared" si="46"/>
        <v>113.43464299999999</v>
      </c>
      <c r="T106" s="4"/>
    </row>
    <row r="107" spans="1:20" ht="31.2" x14ac:dyDescent="0.3">
      <c r="A107" s="26" t="s">
        <v>332</v>
      </c>
      <c r="B107" s="26">
        <v>86894</v>
      </c>
      <c r="C107" s="27" t="s">
        <v>347</v>
      </c>
      <c r="D107" s="26" t="s">
        <v>129</v>
      </c>
      <c r="E107" s="26" t="s">
        <v>210</v>
      </c>
      <c r="F107" s="30">
        <v>1</v>
      </c>
      <c r="G107" s="29">
        <f t="shared" si="43"/>
        <v>125.27699800000001</v>
      </c>
      <c r="H107" s="29">
        <f t="shared" si="44"/>
        <v>125.27699800000001</v>
      </c>
      <c r="I107" s="29">
        <f t="shared" si="40"/>
        <v>159.54</v>
      </c>
      <c r="J107" s="29">
        <f t="shared" si="45"/>
        <v>159.54</v>
      </c>
      <c r="M107" s="32"/>
      <c r="R107" s="4">
        <v>174.02</v>
      </c>
      <c r="S107" s="4">
        <f t="shared" si="46"/>
        <v>125.27699800000001</v>
      </c>
      <c r="T107" s="4"/>
    </row>
    <row r="108" spans="1:20" ht="31.2" x14ac:dyDescent="0.3">
      <c r="A108" s="26" t="s">
        <v>333</v>
      </c>
      <c r="B108" s="26">
        <v>1889</v>
      </c>
      <c r="C108" s="27" t="s">
        <v>194</v>
      </c>
      <c r="D108" s="26" t="s">
        <v>224</v>
      </c>
      <c r="E108" s="26" t="s">
        <v>133</v>
      </c>
      <c r="F108" s="30">
        <v>3.2</v>
      </c>
      <c r="G108" s="29">
        <f t="shared" si="43"/>
        <v>275.16017800000003</v>
      </c>
      <c r="H108" s="29">
        <f t="shared" si="44"/>
        <v>880.51256960000012</v>
      </c>
      <c r="I108" s="29">
        <f t="shared" si="40"/>
        <v>350.43</v>
      </c>
      <c r="J108" s="29">
        <f t="shared" si="45"/>
        <v>1121.376</v>
      </c>
      <c r="M108" s="32"/>
      <c r="R108" s="4">
        <v>382.22</v>
      </c>
      <c r="S108" s="4">
        <f t="shared" si="46"/>
        <v>275.16017800000003</v>
      </c>
      <c r="T108" s="4"/>
    </row>
    <row r="109" spans="1:20" ht="31.2" x14ac:dyDescent="0.3">
      <c r="A109" s="26" t="s">
        <v>334</v>
      </c>
      <c r="B109" s="26">
        <v>100875</v>
      </c>
      <c r="C109" s="27" t="s">
        <v>483</v>
      </c>
      <c r="D109" s="26" t="s">
        <v>129</v>
      </c>
      <c r="E109" s="26" t="s">
        <v>210</v>
      </c>
      <c r="F109" s="30">
        <v>2</v>
      </c>
      <c r="G109" s="29">
        <f t="shared" si="43"/>
        <v>555.49643700000001</v>
      </c>
      <c r="H109" s="29">
        <f t="shared" si="44"/>
        <v>1110.992874</v>
      </c>
      <c r="I109" s="29">
        <f t="shared" si="40"/>
        <v>707.44</v>
      </c>
      <c r="J109" s="29">
        <f t="shared" si="45"/>
        <v>1414.88</v>
      </c>
      <c r="M109" s="32"/>
      <c r="R109" s="4">
        <v>771.63</v>
      </c>
      <c r="S109" s="4">
        <f t="shared" si="46"/>
        <v>555.49643700000001</v>
      </c>
      <c r="T109" s="4"/>
    </row>
    <row r="110" spans="1:20" ht="31.2" x14ac:dyDescent="0.3">
      <c r="A110" s="26" t="s">
        <v>335</v>
      </c>
      <c r="B110" s="26">
        <v>10759</v>
      </c>
      <c r="C110" s="27" t="s">
        <v>346</v>
      </c>
      <c r="D110" s="26" t="s">
        <v>224</v>
      </c>
      <c r="E110" s="26" t="s">
        <v>135</v>
      </c>
      <c r="F110" s="30">
        <v>8.31</v>
      </c>
      <c r="G110" s="29">
        <f t="shared" si="43"/>
        <v>197.007834</v>
      </c>
      <c r="H110" s="29">
        <f t="shared" si="44"/>
        <v>1637.1351005400002</v>
      </c>
      <c r="I110" s="29">
        <f t="shared" si="40"/>
        <v>250.9</v>
      </c>
      <c r="J110" s="29">
        <f t="shared" si="45"/>
        <v>2084.9790000000003</v>
      </c>
      <c r="M110" s="32"/>
      <c r="R110" s="4">
        <v>273.66000000000003</v>
      </c>
      <c r="S110" s="4">
        <f t="shared" si="46"/>
        <v>197.007834</v>
      </c>
      <c r="T110" s="4"/>
    </row>
    <row r="111" spans="1:20" ht="62.4" x14ac:dyDescent="0.3">
      <c r="A111" s="26" t="s">
        <v>336</v>
      </c>
      <c r="B111" s="26">
        <v>89957</v>
      </c>
      <c r="C111" s="27" t="s">
        <v>345</v>
      </c>
      <c r="D111" s="26" t="s">
        <v>129</v>
      </c>
      <c r="E111" s="26" t="s">
        <v>210</v>
      </c>
      <c r="F111" s="30">
        <v>14</v>
      </c>
      <c r="G111" s="29">
        <f t="shared" si="43"/>
        <v>66.813918999999999</v>
      </c>
      <c r="H111" s="29">
        <f t="shared" si="44"/>
        <v>935.39486599999998</v>
      </c>
      <c r="I111" s="29">
        <f t="shared" si="40"/>
        <v>85.09</v>
      </c>
      <c r="J111" s="29">
        <f t="shared" si="45"/>
        <v>1191.26</v>
      </c>
      <c r="M111" s="32"/>
      <c r="R111" s="4">
        <v>92.81</v>
      </c>
      <c r="S111" s="4">
        <f t="shared" si="46"/>
        <v>66.813918999999999</v>
      </c>
      <c r="T111" s="4"/>
    </row>
    <row r="112" spans="1:20" ht="46.8" x14ac:dyDescent="0.3">
      <c r="A112" s="26" t="s">
        <v>337</v>
      </c>
      <c r="B112" s="26">
        <v>97901</v>
      </c>
      <c r="C112" s="27" t="s">
        <v>344</v>
      </c>
      <c r="D112" s="26" t="s">
        <v>129</v>
      </c>
      <c r="E112" s="26" t="s">
        <v>210</v>
      </c>
      <c r="F112" s="30">
        <v>3</v>
      </c>
      <c r="G112" s="29">
        <f t="shared" si="43"/>
        <v>161.30799299999998</v>
      </c>
      <c r="H112" s="29">
        <f t="shared" si="44"/>
        <v>483.92397899999992</v>
      </c>
      <c r="I112" s="29">
        <f t="shared" si="40"/>
        <v>205.43</v>
      </c>
      <c r="J112" s="29">
        <f t="shared" si="45"/>
        <v>616.29</v>
      </c>
      <c r="M112" s="32"/>
      <c r="R112" s="4">
        <v>224.07</v>
      </c>
      <c r="S112" s="4">
        <f t="shared" si="46"/>
        <v>161.30799299999998</v>
      </c>
      <c r="T112" s="4"/>
    </row>
    <row r="113" spans="1:20" ht="140.4" x14ac:dyDescent="0.3">
      <c r="A113" s="26" t="s">
        <v>340</v>
      </c>
      <c r="B113" s="26">
        <v>164418</v>
      </c>
      <c r="C113" s="27" t="s">
        <v>343</v>
      </c>
      <c r="D113" s="26" t="s">
        <v>129</v>
      </c>
      <c r="E113" s="26" t="s">
        <v>210</v>
      </c>
      <c r="F113" s="30">
        <v>1</v>
      </c>
      <c r="G113" s="29">
        <f t="shared" si="43"/>
        <v>2134.7410669999999</v>
      </c>
      <c r="H113" s="29">
        <f t="shared" si="44"/>
        <v>2134.7410669999999</v>
      </c>
      <c r="I113" s="29">
        <f t="shared" si="40"/>
        <v>2718.67</v>
      </c>
      <c r="J113" s="29">
        <f t="shared" si="45"/>
        <v>2718.67</v>
      </c>
      <c r="M113" s="32"/>
      <c r="R113" s="4">
        <v>2965.33</v>
      </c>
      <c r="S113" s="4">
        <f t="shared" si="46"/>
        <v>2134.7410669999999</v>
      </c>
      <c r="T113" s="4"/>
    </row>
    <row r="114" spans="1:20" ht="62.4" x14ac:dyDescent="0.3">
      <c r="A114" s="26" t="s">
        <v>341</v>
      </c>
      <c r="B114" s="26">
        <v>1432</v>
      </c>
      <c r="C114" s="27" t="s">
        <v>342</v>
      </c>
      <c r="D114" s="26" t="s">
        <v>224</v>
      </c>
      <c r="E114" s="26" t="s">
        <v>210</v>
      </c>
      <c r="F114" s="30">
        <v>1</v>
      </c>
      <c r="G114" s="29">
        <f t="shared" si="43"/>
        <v>3124.366</v>
      </c>
      <c r="H114" s="29">
        <f t="shared" si="44"/>
        <v>3124.366</v>
      </c>
      <c r="I114" s="29">
        <f t="shared" si="40"/>
        <v>3978.99</v>
      </c>
      <c r="J114" s="29">
        <f t="shared" si="45"/>
        <v>3978.99</v>
      </c>
      <c r="M114" s="32"/>
      <c r="R114" s="4">
        <v>4340</v>
      </c>
      <c r="S114" s="4">
        <f t="shared" si="46"/>
        <v>3124.366</v>
      </c>
      <c r="T114" s="4"/>
    </row>
    <row r="115" spans="1:20" s="6" customFormat="1" x14ac:dyDescent="0.3">
      <c r="A115" s="19" t="s">
        <v>359</v>
      </c>
      <c r="B115" s="23" t="s">
        <v>190</v>
      </c>
      <c r="C115" s="23"/>
      <c r="D115" s="23"/>
      <c r="E115" s="23"/>
      <c r="F115" s="23"/>
      <c r="G115" s="23"/>
      <c r="H115" s="24">
        <f>SUM(H116:H123)</f>
        <v>3865.128702</v>
      </c>
      <c r="I115" s="29"/>
      <c r="J115" s="24">
        <f>SUM(J116:J123)</f>
        <v>4922.579999999999</v>
      </c>
      <c r="M115" s="9"/>
      <c r="N115" s="11"/>
      <c r="O115" s="4"/>
      <c r="P115" s="4"/>
      <c r="R115" s="9"/>
      <c r="S115" s="4"/>
    </row>
    <row r="116" spans="1:20" ht="46.8" x14ac:dyDescent="0.3">
      <c r="A116" s="26" t="s">
        <v>360</v>
      </c>
      <c r="B116" s="26">
        <v>89709</v>
      </c>
      <c r="C116" s="27" t="s">
        <v>195</v>
      </c>
      <c r="D116" s="26" t="s">
        <v>129</v>
      </c>
      <c r="E116" s="26" t="s">
        <v>210</v>
      </c>
      <c r="F116" s="30">
        <v>7</v>
      </c>
      <c r="G116" s="29">
        <f t="shared" ref="G116:G123" si="47">S116</f>
        <v>5.4928369999999997</v>
      </c>
      <c r="H116" s="29">
        <f t="shared" ref="H116:H123" si="48">F116*G116</f>
        <v>38.449858999999996</v>
      </c>
      <c r="I116" s="29">
        <f t="shared" si="40"/>
        <v>7</v>
      </c>
      <c r="J116" s="29">
        <f t="shared" ref="J116:J123" si="49">F116*I116</f>
        <v>49</v>
      </c>
      <c r="R116" s="4">
        <v>7.63</v>
      </c>
      <c r="S116" s="4">
        <f t="shared" ref="S116:S123" si="50">R116-R116*$M$15</f>
        <v>5.4928369999999997</v>
      </c>
      <c r="T116" s="4"/>
    </row>
    <row r="117" spans="1:20" ht="78" x14ac:dyDescent="0.3">
      <c r="A117" s="26" t="s">
        <v>361</v>
      </c>
      <c r="B117" s="26">
        <v>91795</v>
      </c>
      <c r="C117" s="27" t="s">
        <v>196</v>
      </c>
      <c r="D117" s="26" t="s">
        <v>129</v>
      </c>
      <c r="E117" s="26" t="s">
        <v>135</v>
      </c>
      <c r="F117" s="30">
        <v>40</v>
      </c>
      <c r="G117" s="29">
        <f t="shared" si="47"/>
        <v>35.433478000000001</v>
      </c>
      <c r="H117" s="29">
        <f t="shared" si="48"/>
        <v>1417.3391200000001</v>
      </c>
      <c r="I117" s="29">
        <f t="shared" si="40"/>
        <v>45.13</v>
      </c>
      <c r="J117" s="29">
        <f t="shared" si="49"/>
        <v>1805.2</v>
      </c>
      <c r="R117" s="4">
        <v>49.22</v>
      </c>
      <c r="S117" s="4">
        <f t="shared" si="50"/>
        <v>35.433478000000001</v>
      </c>
      <c r="T117" s="4"/>
    </row>
    <row r="118" spans="1:20" ht="46.8" x14ac:dyDescent="0.3">
      <c r="A118" s="26" t="s">
        <v>362</v>
      </c>
      <c r="B118" s="26">
        <v>4883</v>
      </c>
      <c r="C118" s="27" t="s">
        <v>197</v>
      </c>
      <c r="D118" s="26" t="s">
        <v>224</v>
      </c>
      <c r="E118" s="26" t="s">
        <v>210</v>
      </c>
      <c r="F118" s="30">
        <v>2</v>
      </c>
      <c r="G118" s="29">
        <f t="shared" si="47"/>
        <v>348.15803800000003</v>
      </c>
      <c r="H118" s="29">
        <f t="shared" si="48"/>
        <v>696.31607600000007</v>
      </c>
      <c r="I118" s="29">
        <f t="shared" si="40"/>
        <v>443.39</v>
      </c>
      <c r="J118" s="29">
        <f t="shared" si="49"/>
        <v>886.78</v>
      </c>
      <c r="M118" s="33"/>
      <c r="R118" s="4">
        <v>483.62</v>
      </c>
      <c r="S118" s="4">
        <f t="shared" si="50"/>
        <v>348.15803800000003</v>
      </c>
      <c r="T118" s="4"/>
    </row>
    <row r="119" spans="1:20" ht="78" x14ac:dyDescent="0.3">
      <c r="A119" s="26" t="s">
        <v>363</v>
      </c>
      <c r="B119" s="26">
        <v>4429</v>
      </c>
      <c r="C119" s="27" t="s">
        <v>198</v>
      </c>
      <c r="D119" s="26" t="s">
        <v>224</v>
      </c>
      <c r="E119" s="26" t="s">
        <v>210</v>
      </c>
      <c r="F119" s="30">
        <v>1</v>
      </c>
      <c r="G119" s="29">
        <f t="shared" si="47"/>
        <v>84.444269999999989</v>
      </c>
      <c r="H119" s="29">
        <f t="shared" si="48"/>
        <v>84.444269999999989</v>
      </c>
      <c r="I119" s="29">
        <f t="shared" si="40"/>
        <v>107.54</v>
      </c>
      <c r="J119" s="29">
        <f t="shared" si="49"/>
        <v>107.54</v>
      </c>
      <c r="M119" s="33"/>
      <c r="R119" s="4">
        <v>117.3</v>
      </c>
      <c r="S119" s="4">
        <f t="shared" si="50"/>
        <v>84.444269999999989</v>
      </c>
      <c r="T119" s="4"/>
    </row>
    <row r="120" spans="1:20" ht="62.4" x14ac:dyDescent="0.3">
      <c r="A120" s="26" t="s">
        <v>364</v>
      </c>
      <c r="B120" s="26">
        <v>8076</v>
      </c>
      <c r="C120" s="27" t="s">
        <v>199</v>
      </c>
      <c r="D120" s="26" t="s">
        <v>129</v>
      </c>
      <c r="E120" s="26" t="s">
        <v>210</v>
      </c>
      <c r="F120" s="30">
        <v>4</v>
      </c>
      <c r="G120" s="29">
        <f t="shared" si="47"/>
        <v>175.80677900000001</v>
      </c>
      <c r="H120" s="29">
        <f t="shared" si="48"/>
        <v>703.22711600000002</v>
      </c>
      <c r="I120" s="29">
        <f t="shared" si="40"/>
        <v>223.9</v>
      </c>
      <c r="J120" s="29">
        <f t="shared" si="49"/>
        <v>895.6</v>
      </c>
      <c r="M120" s="33"/>
      <c r="R120" s="4">
        <v>244.21</v>
      </c>
      <c r="S120" s="4">
        <f t="shared" si="50"/>
        <v>175.80677900000001</v>
      </c>
      <c r="T120" s="4"/>
    </row>
    <row r="121" spans="1:20" ht="31.2" x14ac:dyDescent="0.3">
      <c r="A121" s="26" t="s">
        <v>365</v>
      </c>
      <c r="B121" s="26">
        <v>1679</v>
      </c>
      <c r="C121" s="27" t="s">
        <v>368</v>
      </c>
      <c r="D121" s="26" t="s">
        <v>224</v>
      </c>
      <c r="E121" s="26" t="s">
        <v>210</v>
      </c>
      <c r="F121" s="30">
        <v>10</v>
      </c>
      <c r="G121" s="29">
        <f t="shared" si="47"/>
        <v>44.554610999999994</v>
      </c>
      <c r="H121" s="29">
        <f t="shared" si="48"/>
        <v>445.54610999999994</v>
      </c>
      <c r="I121" s="29">
        <f t="shared" si="40"/>
        <v>56.74</v>
      </c>
      <c r="J121" s="29">
        <f t="shared" si="49"/>
        <v>567.4</v>
      </c>
      <c r="M121" s="33"/>
      <c r="R121" s="4">
        <v>61.89</v>
      </c>
      <c r="S121" s="4">
        <f t="shared" si="50"/>
        <v>44.554610999999994</v>
      </c>
      <c r="T121" s="4"/>
    </row>
    <row r="122" spans="1:20" ht="31.2" x14ac:dyDescent="0.3">
      <c r="A122" s="26" t="s">
        <v>366</v>
      </c>
      <c r="B122" s="26">
        <v>1678</v>
      </c>
      <c r="C122" s="27" t="s">
        <v>369</v>
      </c>
      <c r="D122" s="26" t="s">
        <v>224</v>
      </c>
      <c r="E122" s="26" t="s">
        <v>210</v>
      </c>
      <c r="F122" s="30">
        <v>2</v>
      </c>
      <c r="G122" s="29">
        <f t="shared" si="47"/>
        <v>67.397038000000009</v>
      </c>
      <c r="H122" s="29">
        <f t="shared" si="48"/>
        <v>134.79407600000002</v>
      </c>
      <c r="I122" s="29">
        <f t="shared" si="40"/>
        <v>85.83</v>
      </c>
      <c r="J122" s="29">
        <f t="shared" si="49"/>
        <v>171.66</v>
      </c>
      <c r="M122" s="33"/>
      <c r="R122" s="4">
        <v>93.62</v>
      </c>
      <c r="S122" s="4">
        <f t="shared" si="50"/>
        <v>67.397038000000009</v>
      </c>
      <c r="T122" s="4"/>
    </row>
    <row r="123" spans="1:20" ht="31.2" x14ac:dyDescent="0.3">
      <c r="A123" s="26" t="s">
        <v>367</v>
      </c>
      <c r="B123" s="26">
        <v>1683</v>
      </c>
      <c r="C123" s="27" t="s">
        <v>370</v>
      </c>
      <c r="D123" s="26" t="s">
        <v>224</v>
      </c>
      <c r="E123" s="26" t="s">
        <v>210</v>
      </c>
      <c r="F123" s="30">
        <v>5</v>
      </c>
      <c r="G123" s="29">
        <f t="shared" si="47"/>
        <v>69.002414999999999</v>
      </c>
      <c r="H123" s="29">
        <f t="shared" si="48"/>
        <v>345.01207499999998</v>
      </c>
      <c r="I123" s="29">
        <f t="shared" si="40"/>
        <v>87.88</v>
      </c>
      <c r="J123" s="29">
        <f t="shared" si="49"/>
        <v>439.4</v>
      </c>
      <c r="M123" s="33"/>
      <c r="R123" s="4">
        <v>95.85</v>
      </c>
      <c r="S123" s="4">
        <f t="shared" si="50"/>
        <v>69.002414999999999</v>
      </c>
      <c r="T123" s="4"/>
    </row>
    <row r="124" spans="1:20" s="6" customFormat="1" x14ac:dyDescent="0.3">
      <c r="A124" s="19" t="s">
        <v>371</v>
      </c>
      <c r="B124" s="23" t="s">
        <v>189</v>
      </c>
      <c r="C124" s="23"/>
      <c r="D124" s="23"/>
      <c r="E124" s="23"/>
      <c r="F124" s="23"/>
      <c r="G124" s="23"/>
      <c r="H124" s="24">
        <f>SUM(H125:H148)</f>
        <v>21480.937722000002</v>
      </c>
      <c r="I124" s="29"/>
      <c r="J124" s="24">
        <f>SUM(J125:J148)</f>
        <v>27356.5</v>
      </c>
      <c r="M124" s="9"/>
      <c r="N124" s="11"/>
      <c r="O124" s="4"/>
      <c r="P124" s="4"/>
      <c r="R124" s="9"/>
      <c r="S124" s="4"/>
    </row>
    <row r="125" spans="1:20" ht="62.4" x14ac:dyDescent="0.3">
      <c r="A125" s="26" t="s">
        <v>372</v>
      </c>
      <c r="B125" s="26">
        <v>8076</v>
      </c>
      <c r="C125" s="27" t="s">
        <v>199</v>
      </c>
      <c r="D125" s="26" t="s">
        <v>224</v>
      </c>
      <c r="E125" s="26" t="s">
        <v>210</v>
      </c>
      <c r="F125" s="30">
        <v>4</v>
      </c>
      <c r="G125" s="29">
        <f t="shared" ref="G125:G148" si="51">S125</f>
        <v>172.77600000000001</v>
      </c>
      <c r="H125" s="29">
        <f t="shared" ref="H125:H148" si="52">F125*G125</f>
        <v>691.10400000000004</v>
      </c>
      <c r="I125" s="29">
        <f t="shared" si="40"/>
        <v>220.04</v>
      </c>
      <c r="J125" s="29">
        <f t="shared" ref="J125:J148" si="53">F125*I125</f>
        <v>880.16</v>
      </c>
      <c r="M125" s="33"/>
      <c r="R125" s="4">
        <v>240</v>
      </c>
      <c r="S125" s="4">
        <f t="shared" ref="S125:S148" si="54">R125-R125*$M$15</f>
        <v>172.77600000000001</v>
      </c>
      <c r="T125" s="4"/>
    </row>
    <row r="126" spans="1:20" ht="46.8" x14ac:dyDescent="0.3">
      <c r="A126" s="26" t="s">
        <v>373</v>
      </c>
      <c r="B126" s="26">
        <v>2797</v>
      </c>
      <c r="C126" s="27" t="s">
        <v>200</v>
      </c>
      <c r="D126" s="26" t="s">
        <v>224</v>
      </c>
      <c r="E126" s="26" t="s">
        <v>210</v>
      </c>
      <c r="F126" s="30">
        <v>1</v>
      </c>
      <c r="G126" s="29">
        <f t="shared" si="51"/>
        <v>237.56700000000001</v>
      </c>
      <c r="H126" s="29">
        <f t="shared" si="52"/>
        <v>237.56700000000001</v>
      </c>
      <c r="I126" s="29">
        <f t="shared" si="40"/>
        <v>302.55</v>
      </c>
      <c r="J126" s="29">
        <f t="shared" si="53"/>
        <v>302.55</v>
      </c>
      <c r="M126" s="33"/>
      <c r="R126" s="4">
        <v>330</v>
      </c>
      <c r="S126" s="4">
        <f t="shared" si="54"/>
        <v>237.56700000000001</v>
      </c>
      <c r="T126" s="4"/>
    </row>
    <row r="127" spans="1:20" ht="31.2" x14ac:dyDescent="0.3">
      <c r="A127" s="26" t="s">
        <v>374</v>
      </c>
      <c r="B127" s="26">
        <v>93667</v>
      </c>
      <c r="C127" s="27" t="s">
        <v>395</v>
      </c>
      <c r="D127" s="26" t="s">
        <v>129</v>
      </c>
      <c r="E127" s="26" t="s">
        <v>210</v>
      </c>
      <c r="F127" s="30">
        <v>7</v>
      </c>
      <c r="G127" s="29">
        <f t="shared" si="51"/>
        <v>32.885031999999995</v>
      </c>
      <c r="H127" s="29">
        <f t="shared" si="52"/>
        <v>230.19522399999997</v>
      </c>
      <c r="I127" s="29">
        <f t="shared" si="40"/>
        <v>41.88</v>
      </c>
      <c r="J127" s="29">
        <f t="shared" si="53"/>
        <v>293.16000000000003</v>
      </c>
      <c r="M127" s="33"/>
      <c r="R127" s="4">
        <v>45.68</v>
      </c>
      <c r="S127" s="4">
        <f t="shared" si="54"/>
        <v>32.885031999999995</v>
      </c>
      <c r="T127" s="4"/>
    </row>
    <row r="128" spans="1:20" ht="31.2" x14ac:dyDescent="0.3">
      <c r="A128" s="26" t="s">
        <v>375</v>
      </c>
      <c r="B128" s="26">
        <v>93670</v>
      </c>
      <c r="C128" s="27" t="s">
        <v>396</v>
      </c>
      <c r="D128" s="26" t="s">
        <v>129</v>
      </c>
      <c r="E128" s="26" t="s">
        <v>210</v>
      </c>
      <c r="F128" s="30">
        <v>10</v>
      </c>
      <c r="G128" s="29">
        <f t="shared" si="51"/>
        <v>35.354289000000001</v>
      </c>
      <c r="H128" s="29">
        <f t="shared" si="52"/>
        <v>353.54289</v>
      </c>
      <c r="I128" s="29">
        <f t="shared" si="40"/>
        <v>45.02</v>
      </c>
      <c r="J128" s="29">
        <f t="shared" si="53"/>
        <v>450.20000000000005</v>
      </c>
      <c r="M128" s="33"/>
      <c r="R128" s="4">
        <v>49.11</v>
      </c>
      <c r="S128" s="4">
        <f t="shared" si="54"/>
        <v>35.354289000000001</v>
      </c>
      <c r="T128" s="4"/>
    </row>
    <row r="129" spans="1:20" ht="31.2" x14ac:dyDescent="0.3">
      <c r="A129" s="26" t="s">
        <v>376</v>
      </c>
      <c r="B129" s="26" t="s">
        <v>147</v>
      </c>
      <c r="C129" s="27" t="s">
        <v>397</v>
      </c>
      <c r="D129" s="26" t="s">
        <v>129</v>
      </c>
      <c r="E129" s="26" t="s">
        <v>210</v>
      </c>
      <c r="F129" s="30">
        <v>3</v>
      </c>
      <c r="G129" s="29">
        <f t="shared" si="51"/>
        <v>30.991694999999996</v>
      </c>
      <c r="H129" s="29">
        <f t="shared" si="52"/>
        <v>92.975084999999993</v>
      </c>
      <c r="I129" s="29">
        <f t="shared" si="40"/>
        <v>39.47</v>
      </c>
      <c r="J129" s="29">
        <f t="shared" si="53"/>
        <v>118.41</v>
      </c>
      <c r="M129" s="33"/>
      <c r="R129" s="4">
        <v>43.05</v>
      </c>
      <c r="S129" s="4">
        <f t="shared" si="54"/>
        <v>30.991694999999996</v>
      </c>
      <c r="T129" s="4"/>
    </row>
    <row r="130" spans="1:20" ht="31.2" x14ac:dyDescent="0.3">
      <c r="A130" s="26" t="s">
        <v>377</v>
      </c>
      <c r="B130" s="26">
        <v>93666</v>
      </c>
      <c r="C130" s="27" t="s">
        <v>398</v>
      </c>
      <c r="D130" s="26" t="s">
        <v>129</v>
      </c>
      <c r="E130" s="26" t="s">
        <v>210</v>
      </c>
      <c r="F130" s="30">
        <v>1</v>
      </c>
      <c r="G130" s="29">
        <f t="shared" si="51"/>
        <v>33.684120999999998</v>
      </c>
      <c r="H130" s="29">
        <f t="shared" si="52"/>
        <v>33.684120999999998</v>
      </c>
      <c r="I130" s="29">
        <f t="shared" si="40"/>
        <v>42.9</v>
      </c>
      <c r="J130" s="29">
        <f t="shared" si="53"/>
        <v>42.9</v>
      </c>
      <c r="M130" s="33"/>
      <c r="R130" s="4">
        <v>46.79</v>
      </c>
      <c r="S130" s="4">
        <f t="shared" si="54"/>
        <v>33.684120999999998</v>
      </c>
      <c r="T130" s="4"/>
    </row>
    <row r="131" spans="1:20" ht="31.2" x14ac:dyDescent="0.3">
      <c r="A131" s="26" t="s">
        <v>378</v>
      </c>
      <c r="B131" s="26">
        <v>101893</v>
      </c>
      <c r="C131" s="27" t="s">
        <v>484</v>
      </c>
      <c r="D131" s="26" t="s">
        <v>129</v>
      </c>
      <c r="E131" s="26" t="s">
        <v>210</v>
      </c>
      <c r="F131" s="30">
        <v>3</v>
      </c>
      <c r="G131" s="29">
        <f t="shared" si="51"/>
        <v>42.121348999999995</v>
      </c>
      <c r="H131" s="29">
        <f t="shared" si="52"/>
        <v>126.36404699999999</v>
      </c>
      <c r="I131" s="29">
        <f t="shared" si="40"/>
        <v>53.64</v>
      </c>
      <c r="J131" s="29">
        <f t="shared" si="53"/>
        <v>160.92000000000002</v>
      </c>
      <c r="M131" s="33"/>
      <c r="R131" s="4">
        <v>58.51</v>
      </c>
      <c r="S131" s="4">
        <f t="shared" si="54"/>
        <v>42.121348999999995</v>
      </c>
      <c r="T131" s="4"/>
    </row>
    <row r="132" spans="1:20" ht="46.8" x14ac:dyDescent="0.3">
      <c r="A132" s="26" t="s">
        <v>379</v>
      </c>
      <c r="B132" s="26">
        <v>91953</v>
      </c>
      <c r="C132" s="27" t="s">
        <v>399</v>
      </c>
      <c r="D132" s="26" t="s">
        <v>129</v>
      </c>
      <c r="E132" s="26" t="s">
        <v>210</v>
      </c>
      <c r="F132" s="30">
        <v>17</v>
      </c>
      <c r="G132" s="29">
        <f t="shared" si="51"/>
        <v>12.432672999999999</v>
      </c>
      <c r="H132" s="29">
        <f t="shared" si="52"/>
        <v>211.35544099999998</v>
      </c>
      <c r="I132" s="29">
        <f t="shared" si="40"/>
        <v>15.83</v>
      </c>
      <c r="J132" s="29">
        <f t="shared" si="53"/>
        <v>269.11</v>
      </c>
      <c r="M132" s="33"/>
      <c r="R132" s="4">
        <v>17.27</v>
      </c>
      <c r="S132" s="4">
        <f t="shared" si="54"/>
        <v>12.432672999999999</v>
      </c>
      <c r="T132" s="4"/>
    </row>
    <row r="133" spans="1:20" ht="46.8" x14ac:dyDescent="0.3">
      <c r="A133" s="26" t="s">
        <v>380</v>
      </c>
      <c r="B133" s="26">
        <v>91959</v>
      </c>
      <c r="C133" s="27" t="s">
        <v>400</v>
      </c>
      <c r="D133" s="26" t="s">
        <v>129</v>
      </c>
      <c r="E133" s="26" t="s">
        <v>210</v>
      </c>
      <c r="F133" s="30">
        <v>6</v>
      </c>
      <c r="G133" s="29">
        <f t="shared" si="51"/>
        <v>19.696463999999999</v>
      </c>
      <c r="H133" s="29">
        <f t="shared" si="52"/>
        <v>118.17878399999999</v>
      </c>
      <c r="I133" s="29">
        <f t="shared" si="40"/>
        <v>25.08</v>
      </c>
      <c r="J133" s="29">
        <f t="shared" si="53"/>
        <v>150.47999999999999</v>
      </c>
      <c r="M133" s="33"/>
      <c r="R133" s="4">
        <v>27.36</v>
      </c>
      <c r="S133" s="4">
        <f t="shared" si="54"/>
        <v>19.696463999999999</v>
      </c>
      <c r="T133" s="4"/>
    </row>
    <row r="134" spans="1:20" s="6" customFormat="1" ht="31.2" x14ac:dyDescent="0.3">
      <c r="A134" s="26" t="s">
        <v>381</v>
      </c>
      <c r="B134" s="26">
        <v>97585</v>
      </c>
      <c r="C134" s="27" t="s">
        <v>401</v>
      </c>
      <c r="D134" s="26" t="s">
        <v>129</v>
      </c>
      <c r="E134" s="26" t="s">
        <v>210</v>
      </c>
      <c r="F134" s="30">
        <v>24</v>
      </c>
      <c r="G134" s="29">
        <f t="shared" si="51"/>
        <v>48.967597999999995</v>
      </c>
      <c r="H134" s="29">
        <f t="shared" si="52"/>
        <v>1175.2223519999998</v>
      </c>
      <c r="I134" s="29">
        <f t="shared" si="40"/>
        <v>62.36</v>
      </c>
      <c r="J134" s="29">
        <f t="shared" si="53"/>
        <v>1496.6399999999999</v>
      </c>
      <c r="M134" s="33"/>
      <c r="O134" s="4"/>
      <c r="P134" s="4"/>
      <c r="R134" s="9">
        <v>68.02</v>
      </c>
      <c r="S134" s="4">
        <f t="shared" si="54"/>
        <v>48.967597999999995</v>
      </c>
      <c r="T134" s="4"/>
    </row>
    <row r="135" spans="1:20" s="6" customFormat="1" ht="31.2" x14ac:dyDescent="0.3">
      <c r="A135" s="26" t="s">
        <v>382</v>
      </c>
      <c r="B135" s="26">
        <v>97586</v>
      </c>
      <c r="C135" s="27" t="s">
        <v>485</v>
      </c>
      <c r="D135" s="26" t="s">
        <v>129</v>
      </c>
      <c r="E135" s="26" t="s">
        <v>210</v>
      </c>
      <c r="F135" s="30">
        <v>53</v>
      </c>
      <c r="G135" s="29">
        <f t="shared" si="51"/>
        <v>66.475566000000001</v>
      </c>
      <c r="H135" s="29">
        <f t="shared" si="52"/>
        <v>3523.2049980000002</v>
      </c>
      <c r="I135" s="29">
        <f t="shared" si="40"/>
        <v>84.66</v>
      </c>
      <c r="J135" s="29">
        <f t="shared" si="53"/>
        <v>4486.9799999999996</v>
      </c>
      <c r="M135" s="33"/>
      <c r="O135" s="4"/>
      <c r="P135" s="4"/>
      <c r="R135" s="9">
        <v>92.34</v>
      </c>
      <c r="S135" s="4">
        <f t="shared" si="54"/>
        <v>66.475566000000001</v>
      </c>
      <c r="T135" s="4"/>
    </row>
    <row r="136" spans="1:20" s="6" customFormat="1" ht="31.2" x14ac:dyDescent="0.3">
      <c r="A136" s="26" t="s">
        <v>383</v>
      </c>
      <c r="B136" s="26">
        <v>97599</v>
      </c>
      <c r="C136" s="27" t="s">
        <v>402</v>
      </c>
      <c r="D136" s="26" t="s">
        <v>129</v>
      </c>
      <c r="E136" s="26" t="s">
        <v>210</v>
      </c>
      <c r="F136" s="30">
        <v>8</v>
      </c>
      <c r="G136" s="29">
        <f t="shared" si="51"/>
        <v>18.263863000000001</v>
      </c>
      <c r="H136" s="29">
        <f t="shared" si="52"/>
        <v>146.110904</v>
      </c>
      <c r="I136" s="29">
        <f t="shared" si="40"/>
        <v>23.26</v>
      </c>
      <c r="J136" s="29">
        <f t="shared" si="53"/>
        <v>186.08</v>
      </c>
      <c r="M136" s="33"/>
      <c r="O136" s="4"/>
      <c r="P136" s="4"/>
      <c r="R136" s="9">
        <v>25.37</v>
      </c>
      <c r="S136" s="4">
        <f t="shared" si="54"/>
        <v>18.263863000000001</v>
      </c>
      <c r="T136" s="4"/>
    </row>
    <row r="137" spans="1:20" s="6" customFormat="1" ht="62.4" x14ac:dyDescent="0.3">
      <c r="A137" s="26" t="s">
        <v>384</v>
      </c>
      <c r="B137" s="26">
        <v>93128</v>
      </c>
      <c r="C137" s="27" t="s">
        <v>403</v>
      </c>
      <c r="D137" s="26" t="s">
        <v>129</v>
      </c>
      <c r="E137" s="26" t="s">
        <v>210</v>
      </c>
      <c r="F137" s="30">
        <v>91</v>
      </c>
      <c r="G137" s="29">
        <f t="shared" si="51"/>
        <v>70.694180000000003</v>
      </c>
      <c r="H137" s="29">
        <f t="shared" si="52"/>
        <v>6433.1703800000005</v>
      </c>
      <c r="I137" s="29">
        <f t="shared" si="40"/>
        <v>90.03</v>
      </c>
      <c r="J137" s="29">
        <f t="shared" si="53"/>
        <v>8192.73</v>
      </c>
      <c r="M137" s="33"/>
      <c r="O137" s="4"/>
      <c r="P137" s="4"/>
      <c r="R137" s="9">
        <v>98.2</v>
      </c>
      <c r="S137" s="4">
        <f t="shared" si="54"/>
        <v>70.694180000000003</v>
      </c>
      <c r="T137" s="4"/>
    </row>
    <row r="138" spans="1:20" s="6" customFormat="1" ht="46.8" x14ac:dyDescent="0.3">
      <c r="A138" s="26" t="s">
        <v>385</v>
      </c>
      <c r="B138" s="26">
        <v>93141</v>
      </c>
      <c r="C138" s="27" t="s">
        <v>404</v>
      </c>
      <c r="D138" s="26" t="s">
        <v>129</v>
      </c>
      <c r="E138" s="26" t="s">
        <v>210</v>
      </c>
      <c r="F138" s="30">
        <v>18</v>
      </c>
      <c r="G138" s="29">
        <f t="shared" si="51"/>
        <v>86.776746000000003</v>
      </c>
      <c r="H138" s="29">
        <f t="shared" si="52"/>
        <v>1561.9814280000001</v>
      </c>
      <c r="I138" s="29">
        <f t="shared" si="40"/>
        <v>110.51</v>
      </c>
      <c r="J138" s="29">
        <f t="shared" si="53"/>
        <v>1989.18</v>
      </c>
      <c r="M138" s="33"/>
      <c r="O138" s="4"/>
      <c r="P138" s="4"/>
      <c r="R138" s="9">
        <v>120.54</v>
      </c>
      <c r="S138" s="4">
        <f t="shared" si="54"/>
        <v>86.776746000000003</v>
      </c>
      <c r="T138" s="4"/>
    </row>
    <row r="139" spans="1:20" s="6" customFormat="1" ht="46.8" x14ac:dyDescent="0.3">
      <c r="A139" s="26" t="s">
        <v>386</v>
      </c>
      <c r="B139" s="26">
        <v>93143</v>
      </c>
      <c r="C139" s="27" t="s">
        <v>405</v>
      </c>
      <c r="D139" s="26" t="s">
        <v>129</v>
      </c>
      <c r="E139" s="26" t="s">
        <v>210</v>
      </c>
      <c r="F139" s="30">
        <v>12</v>
      </c>
      <c r="G139" s="29">
        <f t="shared" si="51"/>
        <v>92.255185000000012</v>
      </c>
      <c r="H139" s="29">
        <f t="shared" si="52"/>
        <v>1107.0622200000003</v>
      </c>
      <c r="I139" s="29">
        <f t="shared" si="40"/>
        <v>117.49</v>
      </c>
      <c r="J139" s="29">
        <f t="shared" si="53"/>
        <v>1409.8799999999999</v>
      </c>
      <c r="M139" s="33"/>
      <c r="O139" s="4"/>
      <c r="P139" s="4"/>
      <c r="R139" s="9">
        <v>128.15</v>
      </c>
      <c r="S139" s="4">
        <f t="shared" si="54"/>
        <v>92.255185000000012</v>
      </c>
      <c r="T139" s="4"/>
    </row>
    <row r="140" spans="1:20" s="6" customFormat="1" ht="62.4" x14ac:dyDescent="0.3">
      <c r="A140" s="26" t="s">
        <v>387</v>
      </c>
      <c r="B140" s="26">
        <v>93144</v>
      </c>
      <c r="C140" s="27" t="s">
        <v>406</v>
      </c>
      <c r="D140" s="26" t="s">
        <v>129</v>
      </c>
      <c r="E140" s="26" t="s">
        <v>210</v>
      </c>
      <c r="F140" s="30">
        <v>7</v>
      </c>
      <c r="G140" s="29">
        <f t="shared" si="51"/>
        <v>131.504133</v>
      </c>
      <c r="H140" s="29">
        <f t="shared" si="52"/>
        <v>920.52893099999994</v>
      </c>
      <c r="I140" s="29">
        <f t="shared" si="40"/>
        <v>167.48</v>
      </c>
      <c r="J140" s="29">
        <f t="shared" si="53"/>
        <v>1172.3599999999999</v>
      </c>
      <c r="M140" s="33"/>
      <c r="O140" s="4"/>
      <c r="P140" s="4"/>
      <c r="R140" s="9">
        <v>182.67</v>
      </c>
      <c r="S140" s="4">
        <f t="shared" si="54"/>
        <v>131.504133</v>
      </c>
      <c r="T140" s="4"/>
    </row>
    <row r="141" spans="1:20" s="6" customFormat="1" ht="62.4" x14ac:dyDescent="0.3">
      <c r="A141" s="26" t="s">
        <v>388</v>
      </c>
      <c r="B141" s="26">
        <v>93144</v>
      </c>
      <c r="C141" s="27" t="s">
        <v>407</v>
      </c>
      <c r="D141" s="26" t="s">
        <v>129</v>
      </c>
      <c r="E141" s="26" t="s">
        <v>210</v>
      </c>
      <c r="F141" s="30">
        <v>11</v>
      </c>
      <c r="G141" s="29">
        <f t="shared" si="51"/>
        <v>131.504133</v>
      </c>
      <c r="H141" s="29">
        <f t="shared" si="52"/>
        <v>1446.5454629999999</v>
      </c>
      <c r="I141" s="29">
        <f t="shared" si="40"/>
        <v>167.48</v>
      </c>
      <c r="J141" s="29">
        <f t="shared" si="53"/>
        <v>1842.28</v>
      </c>
      <c r="M141" s="33"/>
      <c r="O141" s="4"/>
      <c r="P141" s="4"/>
      <c r="R141" s="9">
        <v>182.67</v>
      </c>
      <c r="S141" s="4">
        <f t="shared" si="54"/>
        <v>131.504133</v>
      </c>
      <c r="T141" s="4"/>
    </row>
    <row r="142" spans="1:20" s="6" customFormat="1" ht="62.4" x14ac:dyDescent="0.3">
      <c r="A142" s="26" t="s">
        <v>389</v>
      </c>
      <c r="B142" s="26">
        <v>101879</v>
      </c>
      <c r="C142" s="27" t="s">
        <v>408</v>
      </c>
      <c r="D142" s="26" t="s">
        <v>129</v>
      </c>
      <c r="E142" s="26" t="s">
        <v>210</v>
      </c>
      <c r="F142" s="30">
        <v>1</v>
      </c>
      <c r="G142" s="29">
        <f t="shared" si="51"/>
        <v>333.16971999999998</v>
      </c>
      <c r="H142" s="29">
        <f t="shared" si="52"/>
        <v>333.16971999999998</v>
      </c>
      <c r="I142" s="29">
        <f t="shared" si="40"/>
        <v>424.3</v>
      </c>
      <c r="J142" s="29">
        <f t="shared" si="53"/>
        <v>424.3</v>
      </c>
      <c r="M142" s="33"/>
      <c r="O142" s="4"/>
      <c r="P142" s="4"/>
      <c r="R142" s="9">
        <v>462.8</v>
      </c>
      <c r="S142" s="4">
        <f t="shared" si="54"/>
        <v>333.16971999999998</v>
      </c>
      <c r="T142" s="4"/>
    </row>
    <row r="143" spans="1:20" s="6" customFormat="1" ht="62.4" x14ac:dyDescent="0.3">
      <c r="A143" s="26" t="s">
        <v>390</v>
      </c>
      <c r="B143" s="26">
        <v>101879</v>
      </c>
      <c r="C143" s="27" t="s">
        <v>409</v>
      </c>
      <c r="D143" s="26" t="s">
        <v>129</v>
      </c>
      <c r="E143" s="26" t="s">
        <v>210</v>
      </c>
      <c r="F143" s="30">
        <v>1</v>
      </c>
      <c r="G143" s="29">
        <f t="shared" si="51"/>
        <v>229.41053299999999</v>
      </c>
      <c r="H143" s="29">
        <f t="shared" si="52"/>
        <v>229.41053299999999</v>
      </c>
      <c r="I143" s="29">
        <f t="shared" si="40"/>
        <v>292.16000000000003</v>
      </c>
      <c r="J143" s="29">
        <f t="shared" si="53"/>
        <v>292.16000000000003</v>
      </c>
      <c r="M143" s="33"/>
      <c r="O143" s="4"/>
      <c r="P143" s="4"/>
      <c r="R143" s="9">
        <v>318.67</v>
      </c>
      <c r="S143" s="4">
        <f t="shared" si="54"/>
        <v>229.41053299999999</v>
      </c>
      <c r="T143" s="4"/>
    </row>
    <row r="144" spans="1:20" s="6" customFormat="1" ht="31.2" x14ac:dyDescent="0.3">
      <c r="A144" s="26" t="s">
        <v>391</v>
      </c>
      <c r="B144" s="26">
        <v>677</v>
      </c>
      <c r="C144" s="27" t="s">
        <v>413</v>
      </c>
      <c r="D144" s="26" t="s">
        <v>224</v>
      </c>
      <c r="E144" s="26" t="s">
        <v>210</v>
      </c>
      <c r="F144" s="30">
        <v>3</v>
      </c>
      <c r="G144" s="29">
        <f t="shared" si="51"/>
        <v>94.249307999999985</v>
      </c>
      <c r="H144" s="29">
        <f t="shared" si="52"/>
        <v>282.74792399999995</v>
      </c>
      <c r="I144" s="29">
        <f t="shared" ref="I144:I169" si="55">ROUND(G144+G144*$I$11,2)</f>
        <v>120.03</v>
      </c>
      <c r="J144" s="29">
        <f t="shared" si="53"/>
        <v>360.09000000000003</v>
      </c>
      <c r="M144" s="33"/>
      <c r="O144" s="4"/>
      <c r="P144" s="4"/>
      <c r="R144" s="9">
        <v>130.91999999999999</v>
      </c>
      <c r="S144" s="4">
        <f t="shared" si="54"/>
        <v>94.249307999999985</v>
      </c>
      <c r="T144" s="4"/>
    </row>
    <row r="145" spans="1:20" s="6" customFormat="1" ht="62.4" x14ac:dyDescent="0.3">
      <c r="A145" s="26" t="s">
        <v>392</v>
      </c>
      <c r="B145" s="26">
        <v>7139</v>
      </c>
      <c r="C145" s="27" t="s">
        <v>412</v>
      </c>
      <c r="D145" s="26" t="s">
        <v>224</v>
      </c>
      <c r="E145" s="26" t="s">
        <v>210</v>
      </c>
      <c r="F145" s="30">
        <v>1</v>
      </c>
      <c r="G145" s="29">
        <f t="shared" si="51"/>
        <v>188.34743700000001</v>
      </c>
      <c r="H145" s="29">
        <f t="shared" si="52"/>
        <v>188.34743700000001</v>
      </c>
      <c r="I145" s="29">
        <f t="shared" si="55"/>
        <v>239.87</v>
      </c>
      <c r="J145" s="29">
        <f t="shared" si="53"/>
        <v>239.87</v>
      </c>
      <c r="M145" s="33"/>
      <c r="O145" s="4"/>
      <c r="P145" s="4"/>
      <c r="R145" s="9">
        <v>261.63</v>
      </c>
      <c r="S145" s="4">
        <f t="shared" si="54"/>
        <v>188.34743700000001</v>
      </c>
      <c r="T145" s="4"/>
    </row>
    <row r="146" spans="1:20" s="6" customFormat="1" ht="78" x14ac:dyDescent="0.3">
      <c r="A146" s="26" t="s">
        <v>393</v>
      </c>
      <c r="B146" s="26">
        <v>2651</v>
      </c>
      <c r="C146" s="27" t="s">
        <v>486</v>
      </c>
      <c r="D146" s="26" t="s">
        <v>224</v>
      </c>
      <c r="E146" s="26" t="s">
        <v>210</v>
      </c>
      <c r="F146" s="30">
        <v>1</v>
      </c>
      <c r="G146" s="29">
        <f t="shared" si="51"/>
        <v>1086.026742</v>
      </c>
      <c r="H146" s="29">
        <f t="shared" si="52"/>
        <v>1086.026742</v>
      </c>
      <c r="I146" s="29">
        <f t="shared" si="55"/>
        <v>1383.09</v>
      </c>
      <c r="J146" s="29">
        <f t="shared" si="53"/>
        <v>1383.09</v>
      </c>
      <c r="M146" s="33"/>
      <c r="O146" s="4"/>
      <c r="P146" s="4"/>
      <c r="R146" s="9">
        <v>1508.58</v>
      </c>
      <c r="S146" s="4">
        <f t="shared" si="54"/>
        <v>1086.026742</v>
      </c>
      <c r="T146" s="4"/>
    </row>
    <row r="147" spans="1:20" s="6" customFormat="1" ht="31.2" x14ac:dyDescent="0.3">
      <c r="A147" s="26" t="s">
        <v>394</v>
      </c>
      <c r="B147" s="26">
        <v>91985</v>
      </c>
      <c r="C147" s="27" t="s">
        <v>202</v>
      </c>
      <c r="D147" s="26" t="s">
        <v>129</v>
      </c>
      <c r="E147" s="26" t="s">
        <v>210</v>
      </c>
      <c r="F147" s="30">
        <v>1</v>
      </c>
      <c r="G147" s="29">
        <f t="shared" si="51"/>
        <v>11.835156000000001</v>
      </c>
      <c r="H147" s="29">
        <f t="shared" si="52"/>
        <v>11.835156000000001</v>
      </c>
      <c r="I147" s="29">
        <f t="shared" si="55"/>
        <v>15.07</v>
      </c>
      <c r="J147" s="29">
        <f t="shared" si="53"/>
        <v>15.07</v>
      </c>
      <c r="M147" s="33"/>
      <c r="O147" s="4"/>
      <c r="P147" s="4"/>
      <c r="R147" s="9">
        <v>16.440000000000001</v>
      </c>
      <c r="S147" s="4">
        <f t="shared" si="54"/>
        <v>11.835156000000001</v>
      </c>
      <c r="T147" s="4"/>
    </row>
    <row r="148" spans="1:20" s="6" customFormat="1" ht="109.2" x14ac:dyDescent="0.3">
      <c r="A148" s="26" t="s">
        <v>410</v>
      </c>
      <c r="B148" s="26">
        <v>101509</v>
      </c>
      <c r="C148" s="27" t="s">
        <v>411</v>
      </c>
      <c r="D148" s="26" t="s">
        <v>129</v>
      </c>
      <c r="E148" s="26" t="s">
        <v>210</v>
      </c>
      <c r="F148" s="30">
        <v>1</v>
      </c>
      <c r="G148" s="29">
        <f t="shared" si="51"/>
        <v>940.60694199999989</v>
      </c>
      <c r="H148" s="29">
        <f t="shared" si="52"/>
        <v>940.60694199999989</v>
      </c>
      <c r="I148" s="29">
        <f t="shared" si="55"/>
        <v>1197.9000000000001</v>
      </c>
      <c r="J148" s="29">
        <f t="shared" si="53"/>
        <v>1197.9000000000001</v>
      </c>
      <c r="M148" s="33"/>
      <c r="O148" s="4"/>
      <c r="P148" s="4"/>
      <c r="R148" s="9">
        <v>1306.58</v>
      </c>
      <c r="S148" s="4">
        <f t="shared" si="54"/>
        <v>940.60694199999989</v>
      </c>
      <c r="T148" s="4"/>
    </row>
    <row r="149" spans="1:20" s="6" customFormat="1" x14ac:dyDescent="0.3">
      <c r="A149" s="19" t="s">
        <v>414</v>
      </c>
      <c r="B149" s="23" t="s">
        <v>188</v>
      </c>
      <c r="C149" s="23"/>
      <c r="D149" s="23"/>
      <c r="E149" s="23"/>
      <c r="F149" s="23"/>
      <c r="G149" s="23"/>
      <c r="H149" s="24">
        <f>SUM(H150:H156)</f>
        <v>5996.8441732799993</v>
      </c>
      <c r="I149" s="29"/>
      <c r="J149" s="24">
        <f>SUM(J150:J156)</f>
        <v>7637.2927999999993</v>
      </c>
      <c r="M149" s="9"/>
      <c r="N149" s="11"/>
      <c r="O149" s="4"/>
      <c r="P149" s="4"/>
      <c r="R149" s="9"/>
      <c r="S149" s="4"/>
    </row>
    <row r="150" spans="1:20" ht="62.4" x14ac:dyDescent="0.3">
      <c r="A150" s="26" t="s">
        <v>415</v>
      </c>
      <c r="B150" s="26">
        <v>12777</v>
      </c>
      <c r="C150" s="27" t="s">
        <v>422</v>
      </c>
      <c r="D150" s="26" t="s">
        <v>224</v>
      </c>
      <c r="E150" s="26" t="s">
        <v>210</v>
      </c>
      <c r="F150" s="30">
        <v>30</v>
      </c>
      <c r="G150" s="29">
        <f t="shared" ref="G150:G156" si="56">S150</f>
        <v>10.0786</v>
      </c>
      <c r="H150" s="29">
        <f t="shared" ref="H150:H156" si="57">F150*G150</f>
        <v>302.358</v>
      </c>
      <c r="I150" s="29">
        <f t="shared" si="55"/>
        <v>12.84</v>
      </c>
      <c r="J150" s="29">
        <f t="shared" ref="J150:J156" si="58">F150*I150</f>
        <v>385.2</v>
      </c>
      <c r="M150" s="34"/>
      <c r="R150" s="4">
        <v>14</v>
      </c>
      <c r="S150" s="4">
        <f t="shared" ref="S150:S156" si="59">R150-R150*$M$15</f>
        <v>10.0786</v>
      </c>
      <c r="T150" s="4"/>
    </row>
    <row r="151" spans="1:20" ht="31.2" x14ac:dyDescent="0.3">
      <c r="A151" s="26" t="s">
        <v>416</v>
      </c>
      <c r="B151" s="26">
        <v>11986</v>
      </c>
      <c r="C151" s="27" t="s">
        <v>423</v>
      </c>
      <c r="D151" s="26" t="s">
        <v>224</v>
      </c>
      <c r="E151" s="26" t="s">
        <v>210</v>
      </c>
      <c r="F151" s="30">
        <v>1</v>
      </c>
      <c r="G151" s="29">
        <f t="shared" si="56"/>
        <v>899.875</v>
      </c>
      <c r="H151" s="29">
        <f t="shared" si="57"/>
        <v>899.875</v>
      </c>
      <c r="I151" s="29">
        <f t="shared" si="55"/>
        <v>1146.02</v>
      </c>
      <c r="J151" s="29">
        <f t="shared" si="58"/>
        <v>1146.02</v>
      </c>
      <c r="M151" s="34"/>
      <c r="R151" s="4">
        <v>1250</v>
      </c>
      <c r="S151" s="4">
        <f t="shared" si="59"/>
        <v>899.875</v>
      </c>
      <c r="T151" s="4"/>
    </row>
    <row r="152" spans="1:20" ht="46.8" x14ac:dyDescent="0.3">
      <c r="A152" s="26" t="s">
        <v>417</v>
      </c>
      <c r="B152" s="26">
        <v>12627</v>
      </c>
      <c r="C152" s="27" t="s">
        <v>424</v>
      </c>
      <c r="D152" s="26" t="s">
        <v>224</v>
      </c>
      <c r="E152" s="26" t="s">
        <v>210</v>
      </c>
      <c r="F152" s="30">
        <v>2</v>
      </c>
      <c r="G152" s="29">
        <f t="shared" si="56"/>
        <v>322.64478199999996</v>
      </c>
      <c r="H152" s="29">
        <f t="shared" si="57"/>
        <v>645.28956399999993</v>
      </c>
      <c r="I152" s="29">
        <f t="shared" si="55"/>
        <v>410.9</v>
      </c>
      <c r="J152" s="29">
        <f t="shared" si="58"/>
        <v>821.8</v>
      </c>
      <c r="M152" s="34"/>
      <c r="R152" s="4">
        <v>448.18</v>
      </c>
      <c r="S152" s="4">
        <f t="shared" si="59"/>
        <v>322.64478199999996</v>
      </c>
      <c r="T152" s="4"/>
    </row>
    <row r="153" spans="1:20" ht="46.8" x14ac:dyDescent="0.3">
      <c r="A153" s="26" t="s">
        <v>418</v>
      </c>
      <c r="B153" s="26">
        <v>12627</v>
      </c>
      <c r="C153" s="27" t="s">
        <v>425</v>
      </c>
      <c r="D153" s="26" t="s">
        <v>224</v>
      </c>
      <c r="E153" s="26" t="s">
        <v>210</v>
      </c>
      <c r="F153" s="30">
        <v>1</v>
      </c>
      <c r="G153" s="29">
        <f t="shared" si="56"/>
        <v>322.64478199999996</v>
      </c>
      <c r="H153" s="29">
        <f t="shared" si="57"/>
        <v>322.64478199999996</v>
      </c>
      <c r="I153" s="29">
        <f t="shared" si="55"/>
        <v>410.9</v>
      </c>
      <c r="J153" s="29">
        <f t="shared" si="58"/>
        <v>410.9</v>
      </c>
      <c r="M153" s="34"/>
      <c r="R153" s="4">
        <v>448.18</v>
      </c>
      <c r="S153" s="4">
        <f t="shared" si="59"/>
        <v>322.64478199999996</v>
      </c>
      <c r="T153" s="4"/>
    </row>
    <row r="154" spans="1:20" ht="31.2" x14ac:dyDescent="0.3">
      <c r="A154" s="26" t="s">
        <v>419</v>
      </c>
      <c r="B154" s="26">
        <v>2387</v>
      </c>
      <c r="C154" s="27" t="s">
        <v>426</v>
      </c>
      <c r="D154" s="26" t="s">
        <v>224</v>
      </c>
      <c r="E154" s="26" t="s">
        <v>133</v>
      </c>
      <c r="F154" s="30">
        <v>15.36</v>
      </c>
      <c r="G154" s="29">
        <f t="shared" si="56"/>
        <v>223.18339799999998</v>
      </c>
      <c r="H154" s="29">
        <f t="shared" si="57"/>
        <v>3428.0969932799994</v>
      </c>
      <c r="I154" s="29">
        <f t="shared" si="55"/>
        <v>284.23</v>
      </c>
      <c r="J154" s="29">
        <f t="shared" si="58"/>
        <v>4365.7727999999997</v>
      </c>
      <c r="M154" s="34"/>
      <c r="R154" s="4">
        <v>310.02</v>
      </c>
      <c r="S154" s="4">
        <f t="shared" si="59"/>
        <v>223.18339799999998</v>
      </c>
      <c r="T154" s="4"/>
    </row>
    <row r="155" spans="1:20" ht="31.2" x14ac:dyDescent="0.3">
      <c r="A155" s="26" t="s">
        <v>420</v>
      </c>
      <c r="B155" s="26">
        <v>101905</v>
      </c>
      <c r="C155" s="27" t="s">
        <v>203</v>
      </c>
      <c r="D155" s="26" t="s">
        <v>129</v>
      </c>
      <c r="E155" s="26" t="s">
        <v>210</v>
      </c>
      <c r="F155" s="30">
        <v>1</v>
      </c>
      <c r="G155" s="29">
        <f t="shared" si="56"/>
        <v>134.98124999999999</v>
      </c>
      <c r="H155" s="29">
        <f t="shared" si="57"/>
        <v>134.98124999999999</v>
      </c>
      <c r="I155" s="29">
        <f t="shared" si="55"/>
        <v>171.9</v>
      </c>
      <c r="J155" s="29">
        <f t="shared" si="58"/>
        <v>171.9</v>
      </c>
      <c r="M155" s="34"/>
      <c r="R155" s="4">
        <v>187.5</v>
      </c>
      <c r="S155" s="4">
        <f t="shared" si="59"/>
        <v>134.98124999999999</v>
      </c>
      <c r="T155" s="4"/>
    </row>
    <row r="156" spans="1:20" ht="31.2" x14ac:dyDescent="0.3">
      <c r="A156" s="26" t="s">
        <v>421</v>
      </c>
      <c r="B156" s="26">
        <v>1908</v>
      </c>
      <c r="C156" s="27" t="s">
        <v>427</v>
      </c>
      <c r="D156" s="26" t="s">
        <v>129</v>
      </c>
      <c r="E156" s="26" t="s">
        <v>210</v>
      </c>
      <c r="F156" s="30">
        <v>2</v>
      </c>
      <c r="G156" s="29">
        <f t="shared" si="56"/>
        <v>131.79929200000001</v>
      </c>
      <c r="H156" s="29">
        <f t="shared" si="57"/>
        <v>263.59858400000002</v>
      </c>
      <c r="I156" s="29">
        <f t="shared" si="55"/>
        <v>167.85</v>
      </c>
      <c r="J156" s="29">
        <f t="shared" si="58"/>
        <v>335.7</v>
      </c>
      <c r="M156" s="34"/>
      <c r="R156" s="4">
        <v>183.08</v>
      </c>
      <c r="S156" s="4">
        <f t="shared" si="59"/>
        <v>131.79929200000001</v>
      </c>
      <c r="T156" s="4"/>
    </row>
    <row r="157" spans="1:20" s="6" customFormat="1" x14ac:dyDescent="0.3">
      <c r="A157" s="19" t="s">
        <v>428</v>
      </c>
      <c r="B157" s="23" t="s">
        <v>187</v>
      </c>
      <c r="C157" s="23"/>
      <c r="D157" s="23"/>
      <c r="E157" s="23"/>
      <c r="F157" s="23"/>
      <c r="G157" s="23"/>
      <c r="H157" s="24">
        <f>SUM(H158:H159)</f>
        <v>1614.7536975</v>
      </c>
      <c r="I157" s="29"/>
      <c r="J157" s="24">
        <f>SUM(J158:J159)</f>
        <v>2055.0042000000003</v>
      </c>
      <c r="M157" s="9"/>
      <c r="N157" s="11"/>
      <c r="O157" s="4"/>
      <c r="P157" s="4"/>
      <c r="R157" s="9"/>
      <c r="S157" s="4"/>
    </row>
    <row r="158" spans="1:20" x14ac:dyDescent="0.3">
      <c r="A158" s="26" t="s">
        <v>429</v>
      </c>
      <c r="B158" s="26">
        <v>2450</v>
      </c>
      <c r="C158" s="27" t="s">
        <v>204</v>
      </c>
      <c r="D158" s="26" t="s">
        <v>224</v>
      </c>
      <c r="E158" s="26" t="s">
        <v>133</v>
      </c>
      <c r="F158" s="30">
        <v>604</v>
      </c>
      <c r="G158" s="29">
        <f t="shared" ref="G158:G159" si="60">S158</f>
        <v>1.360611</v>
      </c>
      <c r="H158" s="29">
        <f t="shared" ref="H158:H159" si="61">F158*G158</f>
        <v>821.80904399999997</v>
      </c>
      <c r="I158" s="29">
        <f t="shared" si="55"/>
        <v>1.73</v>
      </c>
      <c r="J158" s="29">
        <f t="shared" ref="J158:J159" si="62">F158*I158</f>
        <v>1044.92</v>
      </c>
      <c r="R158" s="4">
        <v>1.89</v>
      </c>
      <c r="S158" s="4">
        <f t="shared" ref="S158:S159" si="63">R158-R158*$M$15</f>
        <v>1.360611</v>
      </c>
      <c r="T158" s="4"/>
    </row>
    <row r="159" spans="1:20" ht="31.2" x14ac:dyDescent="0.3">
      <c r="A159" s="26" t="s">
        <v>430</v>
      </c>
      <c r="B159" s="26">
        <v>2511</v>
      </c>
      <c r="C159" s="27" t="s">
        <v>205</v>
      </c>
      <c r="D159" s="26" t="s">
        <v>224</v>
      </c>
      <c r="E159" s="26" t="s">
        <v>132</v>
      </c>
      <c r="F159" s="30">
        <v>81.59</v>
      </c>
      <c r="G159" s="29">
        <f t="shared" si="60"/>
        <v>9.7186500000000002</v>
      </c>
      <c r="H159" s="29">
        <f t="shared" si="61"/>
        <v>792.94465350000007</v>
      </c>
      <c r="I159" s="29">
        <f t="shared" si="55"/>
        <v>12.38</v>
      </c>
      <c r="J159" s="29">
        <f t="shared" si="62"/>
        <v>1010.0842000000001</v>
      </c>
      <c r="R159" s="4">
        <v>13.5</v>
      </c>
      <c r="S159" s="4">
        <f t="shared" si="63"/>
        <v>9.7186500000000002</v>
      </c>
      <c r="T159" s="4"/>
    </row>
    <row r="160" spans="1:20" s="6" customFormat="1" x14ac:dyDescent="0.3">
      <c r="A160" s="19">
        <v>2</v>
      </c>
      <c r="B160" s="23" t="s">
        <v>431</v>
      </c>
      <c r="C160" s="23"/>
      <c r="D160" s="23"/>
      <c r="E160" s="23"/>
      <c r="F160" s="23"/>
      <c r="G160" s="23"/>
      <c r="H160" s="24">
        <f>H161+H163+H166+H170+H172+H174+H179+H183+H187</f>
        <v>16888.523493910001</v>
      </c>
      <c r="I160" s="29"/>
      <c r="J160" s="24">
        <f>J161+J163+J166+J170+J172+J174+J179+J183+J187</f>
        <v>21508.834199999998</v>
      </c>
      <c r="M160" s="9"/>
      <c r="N160" s="11"/>
      <c r="O160" s="4"/>
      <c r="P160" s="4"/>
      <c r="R160" s="9"/>
      <c r="S160" s="4"/>
    </row>
    <row r="161" spans="1:20" s="6" customFormat="1" x14ac:dyDescent="0.3">
      <c r="A161" s="19" t="s">
        <v>432</v>
      </c>
      <c r="B161" s="23" t="s">
        <v>186</v>
      </c>
      <c r="C161" s="23"/>
      <c r="D161" s="23"/>
      <c r="E161" s="23"/>
      <c r="F161" s="23"/>
      <c r="G161" s="23"/>
      <c r="H161" s="24">
        <f>SUM(H162)</f>
        <v>914.79132800000002</v>
      </c>
      <c r="I161" s="29"/>
      <c r="J161" s="24">
        <f>SUM(J162)</f>
        <v>1165.1199999999999</v>
      </c>
      <c r="M161" s="9"/>
      <c r="N161" s="11"/>
      <c r="O161" s="4"/>
      <c r="P161" s="4"/>
      <c r="R161" s="9"/>
      <c r="S161" s="4"/>
    </row>
    <row r="162" spans="1:20" ht="46.8" x14ac:dyDescent="0.3">
      <c r="A162" s="26" t="s">
        <v>433</v>
      </c>
      <c r="B162" s="26">
        <v>99059</v>
      </c>
      <c r="C162" s="27" t="s">
        <v>223</v>
      </c>
      <c r="D162" s="26" t="s">
        <v>129</v>
      </c>
      <c r="E162" s="26" t="s">
        <v>135</v>
      </c>
      <c r="F162" s="28">
        <v>32</v>
      </c>
      <c r="G162" s="29">
        <f>S162</f>
        <v>28.587229000000001</v>
      </c>
      <c r="H162" s="29">
        <f>F162*G162</f>
        <v>914.79132800000002</v>
      </c>
      <c r="I162" s="29">
        <f t="shared" si="55"/>
        <v>36.409999999999997</v>
      </c>
      <c r="J162" s="29">
        <f>F162*I162</f>
        <v>1165.1199999999999</v>
      </c>
      <c r="R162" s="4">
        <v>39.71</v>
      </c>
      <c r="S162" s="4">
        <f>R162-R162*$M$15</f>
        <v>28.587229000000001</v>
      </c>
      <c r="T162" s="4"/>
    </row>
    <row r="163" spans="1:20" s="6" customFormat="1" x14ac:dyDescent="0.3">
      <c r="A163" s="19" t="s">
        <v>434</v>
      </c>
      <c r="B163" s="23" t="s">
        <v>160</v>
      </c>
      <c r="C163" s="23"/>
      <c r="D163" s="23"/>
      <c r="E163" s="23"/>
      <c r="F163" s="23"/>
      <c r="G163" s="23"/>
      <c r="H163" s="24">
        <f>SUM(H164:H165)</f>
        <v>793.02312259999997</v>
      </c>
      <c r="I163" s="29"/>
      <c r="J163" s="24">
        <f>SUM(J164:J165)</f>
        <v>1010.024</v>
      </c>
      <c r="M163" s="9"/>
      <c r="N163" s="11"/>
      <c r="O163" s="4"/>
      <c r="P163" s="4"/>
      <c r="R163" s="9"/>
      <c r="S163" s="4"/>
    </row>
    <row r="164" spans="1:20" ht="46.8" x14ac:dyDescent="0.3">
      <c r="A164" s="26" t="s">
        <v>435</v>
      </c>
      <c r="B164" s="25">
        <v>72915</v>
      </c>
      <c r="C164" s="27" t="s">
        <v>227</v>
      </c>
      <c r="D164" s="26" t="s">
        <v>129</v>
      </c>
      <c r="E164" s="26" t="s">
        <v>132</v>
      </c>
      <c r="F164" s="30">
        <v>18.2</v>
      </c>
      <c r="G164" s="29">
        <f t="shared" ref="G164:G165" si="64">S164</f>
        <v>6.5294930000000004</v>
      </c>
      <c r="H164" s="29">
        <f t="shared" ref="H164:H165" si="65">F164*G164</f>
        <v>118.8367726</v>
      </c>
      <c r="I164" s="29">
        <f t="shared" si="55"/>
        <v>8.32</v>
      </c>
      <c r="J164" s="29">
        <f t="shared" ref="J164:J165" si="66">F164*I164</f>
        <v>151.42400000000001</v>
      </c>
      <c r="R164" s="4">
        <v>9.07</v>
      </c>
      <c r="S164" s="4">
        <f t="shared" ref="S164:S165" si="67">R164-R164*$M$15</f>
        <v>6.5294930000000004</v>
      </c>
      <c r="T164" s="4"/>
    </row>
    <row r="165" spans="1:20" ht="31.2" x14ac:dyDescent="0.3">
      <c r="A165" s="26" t="s">
        <v>436</v>
      </c>
      <c r="B165" s="25">
        <v>93</v>
      </c>
      <c r="C165" s="27" t="s">
        <v>149</v>
      </c>
      <c r="D165" s="26" t="s">
        <v>224</v>
      </c>
      <c r="E165" s="25" t="s">
        <v>132</v>
      </c>
      <c r="F165" s="30">
        <v>2.5</v>
      </c>
      <c r="G165" s="29">
        <f t="shared" si="64"/>
        <v>269.67453999999998</v>
      </c>
      <c r="H165" s="29">
        <f t="shared" si="65"/>
        <v>674.18634999999995</v>
      </c>
      <c r="I165" s="29">
        <f t="shared" si="55"/>
        <v>343.44</v>
      </c>
      <c r="J165" s="29">
        <f t="shared" si="66"/>
        <v>858.6</v>
      </c>
      <c r="R165" s="4">
        <v>374.6</v>
      </c>
      <c r="S165" s="4">
        <f t="shared" si="67"/>
        <v>269.67453999999998</v>
      </c>
      <c r="T165" s="4"/>
    </row>
    <row r="166" spans="1:20" s="6" customFormat="1" x14ac:dyDescent="0.3">
      <c r="A166" s="19" t="s">
        <v>437</v>
      </c>
      <c r="B166" s="23" t="s">
        <v>185</v>
      </c>
      <c r="C166" s="23"/>
      <c r="D166" s="23"/>
      <c r="E166" s="23"/>
      <c r="F166" s="23"/>
      <c r="G166" s="23"/>
      <c r="H166" s="24">
        <f>SUM(H167:H169)</f>
        <v>3016.7279917999995</v>
      </c>
      <c r="I166" s="29"/>
      <c r="J166" s="24">
        <f>SUM(J167:J169)</f>
        <v>3841.8999999999996</v>
      </c>
      <c r="M166" s="9"/>
      <c r="N166" s="11"/>
      <c r="O166" s="4"/>
      <c r="P166" s="4"/>
      <c r="R166" s="9"/>
      <c r="S166" s="4"/>
    </row>
    <row r="167" spans="1:20" ht="31.2" x14ac:dyDescent="0.3">
      <c r="A167" s="25" t="s">
        <v>438</v>
      </c>
      <c r="B167" s="26">
        <v>96616</v>
      </c>
      <c r="C167" s="27" t="s">
        <v>150</v>
      </c>
      <c r="D167" s="26" t="s">
        <v>129</v>
      </c>
      <c r="E167" s="26" t="s">
        <v>132</v>
      </c>
      <c r="F167" s="30">
        <v>0.7</v>
      </c>
      <c r="G167" s="29">
        <f t="shared" ref="G167:G169" si="68">S167</f>
        <v>316.223274</v>
      </c>
      <c r="H167" s="29">
        <f t="shared" ref="H167:H169" si="69">F167*G167</f>
        <v>221.35629179999998</v>
      </c>
      <c r="I167" s="29">
        <f t="shared" si="55"/>
        <v>402.72</v>
      </c>
      <c r="J167" s="29">
        <f t="shared" ref="J167:J169" si="70">F167*I167</f>
        <v>281.904</v>
      </c>
      <c r="R167" s="4">
        <v>439.26</v>
      </c>
      <c r="S167" s="4">
        <f t="shared" ref="S167:S169" si="71">R167-R167*$M$15</f>
        <v>316.223274</v>
      </c>
      <c r="T167" s="4"/>
    </row>
    <row r="168" spans="1:20" ht="46.8" x14ac:dyDescent="0.3">
      <c r="A168" s="25" t="s">
        <v>439</v>
      </c>
      <c r="B168" s="26">
        <v>95952</v>
      </c>
      <c r="C168" s="27" t="s">
        <v>235</v>
      </c>
      <c r="D168" s="26" t="s">
        <v>129</v>
      </c>
      <c r="E168" s="26" t="s">
        <v>132</v>
      </c>
      <c r="F168" s="30">
        <v>1.5</v>
      </c>
      <c r="G168" s="29">
        <f t="shared" si="68"/>
        <v>1270.6234999999999</v>
      </c>
      <c r="H168" s="29">
        <f t="shared" si="69"/>
        <v>1905.93525</v>
      </c>
      <c r="I168" s="29">
        <f t="shared" si="55"/>
        <v>1618.18</v>
      </c>
      <c r="J168" s="29">
        <f t="shared" si="70"/>
        <v>2427.27</v>
      </c>
      <c r="R168" s="4">
        <v>1765</v>
      </c>
      <c r="S168" s="4">
        <f t="shared" si="71"/>
        <v>1270.6234999999999</v>
      </c>
      <c r="T168" s="4"/>
    </row>
    <row r="169" spans="1:20" ht="46.8" x14ac:dyDescent="0.3">
      <c r="A169" s="25" t="s">
        <v>440</v>
      </c>
      <c r="B169" s="26">
        <v>95952</v>
      </c>
      <c r="C169" s="27" t="s">
        <v>151</v>
      </c>
      <c r="D169" s="26" t="s">
        <v>129</v>
      </c>
      <c r="E169" s="26" t="s">
        <v>132</v>
      </c>
      <c r="F169" s="30">
        <v>0.7</v>
      </c>
      <c r="G169" s="29">
        <f t="shared" si="68"/>
        <v>1270.6234999999999</v>
      </c>
      <c r="H169" s="29">
        <f t="shared" si="69"/>
        <v>889.43644999999992</v>
      </c>
      <c r="I169" s="29">
        <f t="shared" si="55"/>
        <v>1618.18</v>
      </c>
      <c r="J169" s="29">
        <f t="shared" si="70"/>
        <v>1132.7259999999999</v>
      </c>
      <c r="R169" s="4">
        <v>1765</v>
      </c>
      <c r="S169" s="4">
        <f t="shared" si="71"/>
        <v>1270.6234999999999</v>
      </c>
      <c r="T169" s="4"/>
    </row>
    <row r="170" spans="1:20" s="6" customFormat="1" x14ac:dyDescent="0.3">
      <c r="A170" s="19" t="s">
        <v>442</v>
      </c>
      <c r="B170" s="23" t="s">
        <v>184</v>
      </c>
      <c r="C170" s="23"/>
      <c r="D170" s="23"/>
      <c r="E170" s="23"/>
      <c r="F170" s="23"/>
      <c r="G170" s="23"/>
      <c r="H170" s="24">
        <f>SUM(H171)</f>
        <v>1003.5665163999998</v>
      </c>
      <c r="I170" s="29"/>
      <c r="J170" s="24">
        <f>SUM(J171)</f>
        <v>1278.0739999999998</v>
      </c>
      <c r="M170" s="9"/>
      <c r="N170" s="11"/>
      <c r="O170" s="4"/>
      <c r="P170" s="4"/>
      <c r="R170" s="9"/>
      <c r="S170" s="4"/>
    </row>
    <row r="171" spans="1:20" ht="62.4" x14ac:dyDescent="0.3">
      <c r="A171" s="26" t="s">
        <v>443</v>
      </c>
      <c r="B171" s="26">
        <v>95954</v>
      </c>
      <c r="C171" s="27" t="s">
        <v>243</v>
      </c>
      <c r="D171" s="26" t="s">
        <v>129</v>
      </c>
      <c r="E171" s="26" t="s">
        <v>132</v>
      </c>
      <c r="F171" s="30">
        <v>0.7</v>
      </c>
      <c r="G171" s="29">
        <f>S171</f>
        <v>1433.6664519999999</v>
      </c>
      <c r="H171" s="29">
        <f>F171*G171</f>
        <v>1003.5665163999998</v>
      </c>
      <c r="I171" s="29">
        <f t="shared" ref="I171:I178" si="72">ROUND(G171+G171*$I$11,2)</f>
        <v>1825.82</v>
      </c>
      <c r="J171" s="29">
        <f>F171*I171</f>
        <v>1278.0739999999998</v>
      </c>
      <c r="R171" s="4">
        <v>1991.48</v>
      </c>
      <c r="S171" s="4">
        <f>R171-R171*$M$15</f>
        <v>1433.6664519999999</v>
      </c>
      <c r="T171" s="4"/>
    </row>
    <row r="172" spans="1:20" s="6" customFormat="1" x14ac:dyDescent="0.3">
      <c r="A172" s="19" t="s">
        <v>444</v>
      </c>
      <c r="B172" s="23" t="s">
        <v>183</v>
      </c>
      <c r="C172" s="23"/>
      <c r="D172" s="23"/>
      <c r="E172" s="23"/>
      <c r="F172" s="23"/>
      <c r="G172" s="23"/>
      <c r="H172" s="24">
        <f>SUM(H173)</f>
        <v>200.74411499999999</v>
      </c>
      <c r="I172" s="29"/>
      <c r="J172" s="24">
        <f>SUM(J173)</f>
        <v>255.65</v>
      </c>
      <c r="M172" s="9"/>
      <c r="N172" s="11"/>
      <c r="O172" s="4"/>
      <c r="P172" s="4"/>
      <c r="R172" s="9"/>
      <c r="S172" s="4"/>
    </row>
    <row r="173" spans="1:20" ht="78" x14ac:dyDescent="0.3">
      <c r="A173" s="26" t="s">
        <v>445</v>
      </c>
      <c r="B173" s="26">
        <v>87504</v>
      </c>
      <c r="C173" s="27" t="s">
        <v>441</v>
      </c>
      <c r="D173" s="26" t="s">
        <v>129</v>
      </c>
      <c r="E173" s="26" t="s">
        <v>133</v>
      </c>
      <c r="F173" s="30">
        <v>5</v>
      </c>
      <c r="G173" s="29">
        <f>S173</f>
        <v>40.148823</v>
      </c>
      <c r="H173" s="29">
        <f>F173*G173</f>
        <v>200.74411499999999</v>
      </c>
      <c r="I173" s="29">
        <f t="shared" si="72"/>
        <v>51.13</v>
      </c>
      <c r="J173" s="29">
        <f>F173*I173</f>
        <v>255.65</v>
      </c>
      <c r="R173" s="4">
        <v>55.77</v>
      </c>
      <c r="S173" s="4">
        <f>R173-R173*$M$15</f>
        <v>40.148823</v>
      </c>
      <c r="T173" s="4"/>
    </row>
    <row r="174" spans="1:20" s="6" customFormat="1" x14ac:dyDescent="0.3">
      <c r="A174" s="19" t="s">
        <v>446</v>
      </c>
      <c r="B174" s="23" t="s">
        <v>155</v>
      </c>
      <c r="C174" s="23"/>
      <c r="D174" s="23"/>
      <c r="E174" s="23"/>
      <c r="F174" s="23"/>
      <c r="G174" s="23"/>
      <c r="H174" s="24">
        <f>SUM(H175:H178)</f>
        <v>2752.0423587999999</v>
      </c>
      <c r="I174" s="29"/>
      <c r="J174" s="24">
        <f>SUM(J175:J178)</f>
        <v>3504.9420000000005</v>
      </c>
      <c r="M174" s="9"/>
      <c r="N174" s="11"/>
      <c r="O174" s="4"/>
      <c r="P174" s="4"/>
      <c r="R174" s="9"/>
      <c r="S174" s="4"/>
    </row>
    <row r="175" spans="1:20" ht="62.4" x14ac:dyDescent="0.3">
      <c r="A175" s="26" t="s">
        <v>447</v>
      </c>
      <c r="B175" s="25">
        <v>92565</v>
      </c>
      <c r="C175" s="27" t="s">
        <v>206</v>
      </c>
      <c r="D175" s="26" t="s">
        <v>129</v>
      </c>
      <c r="E175" s="25" t="s">
        <v>133</v>
      </c>
      <c r="F175" s="30">
        <v>43</v>
      </c>
      <c r="G175" s="29">
        <f t="shared" ref="G175:G178" si="73">S175</f>
        <v>17.903912999999999</v>
      </c>
      <c r="H175" s="29">
        <f t="shared" ref="H175:H178" si="74">F175*G175</f>
        <v>769.86825899999997</v>
      </c>
      <c r="I175" s="29">
        <f t="shared" si="72"/>
        <v>22.8</v>
      </c>
      <c r="J175" s="29">
        <f t="shared" ref="J175:J178" si="75">F175*I175</f>
        <v>980.4</v>
      </c>
      <c r="R175" s="4">
        <v>24.87</v>
      </c>
      <c r="S175" s="4">
        <f t="shared" ref="S175:S178" si="76">R175-R175*$M$15</f>
        <v>17.903912999999999</v>
      </c>
      <c r="T175" s="4"/>
    </row>
    <row r="176" spans="1:20" ht="62.4" x14ac:dyDescent="0.3">
      <c r="A176" s="26" t="s">
        <v>448</v>
      </c>
      <c r="B176" s="25">
        <v>92260</v>
      </c>
      <c r="C176" s="27" t="s">
        <v>207</v>
      </c>
      <c r="D176" s="26" t="s">
        <v>129</v>
      </c>
      <c r="E176" s="25" t="s">
        <v>144</v>
      </c>
      <c r="F176" s="30">
        <v>4</v>
      </c>
      <c r="G176" s="29">
        <f t="shared" si="73"/>
        <v>250.676379</v>
      </c>
      <c r="H176" s="29">
        <f t="shared" si="74"/>
        <v>1002.705516</v>
      </c>
      <c r="I176" s="29">
        <f t="shared" si="72"/>
        <v>319.25</v>
      </c>
      <c r="J176" s="29">
        <f t="shared" si="75"/>
        <v>1277</v>
      </c>
      <c r="R176" s="4">
        <v>348.21</v>
      </c>
      <c r="S176" s="4">
        <f t="shared" si="76"/>
        <v>250.676379</v>
      </c>
      <c r="T176" s="4"/>
    </row>
    <row r="177" spans="1:20" ht="31.2" x14ac:dyDescent="0.3">
      <c r="A177" s="26" t="s">
        <v>449</v>
      </c>
      <c r="B177" s="25">
        <v>94445</v>
      </c>
      <c r="C177" s="27" t="s">
        <v>208</v>
      </c>
      <c r="D177" s="26" t="s">
        <v>129</v>
      </c>
      <c r="E177" s="25" t="s">
        <v>133</v>
      </c>
      <c r="F177" s="30">
        <v>43</v>
      </c>
      <c r="G177" s="29">
        <f t="shared" si="73"/>
        <v>20.358772000000002</v>
      </c>
      <c r="H177" s="29">
        <f t="shared" si="74"/>
        <v>875.42719600000009</v>
      </c>
      <c r="I177" s="29">
        <f t="shared" si="72"/>
        <v>25.93</v>
      </c>
      <c r="J177" s="29">
        <f t="shared" si="75"/>
        <v>1114.99</v>
      </c>
      <c r="R177" s="4">
        <v>28.28</v>
      </c>
      <c r="S177" s="4">
        <f t="shared" si="76"/>
        <v>20.358772000000002</v>
      </c>
      <c r="T177" s="4"/>
    </row>
    <row r="178" spans="1:20" ht="62.4" x14ac:dyDescent="0.3">
      <c r="A178" s="26" t="s">
        <v>450</v>
      </c>
      <c r="B178" s="25">
        <v>94221</v>
      </c>
      <c r="C178" s="27" t="s">
        <v>165</v>
      </c>
      <c r="D178" s="26" t="s">
        <v>129</v>
      </c>
      <c r="E178" s="25" t="s">
        <v>135</v>
      </c>
      <c r="F178" s="30">
        <v>12.6</v>
      </c>
      <c r="G178" s="29">
        <f t="shared" si="73"/>
        <v>8.2572530000000004</v>
      </c>
      <c r="H178" s="29">
        <f t="shared" si="74"/>
        <v>104.0413878</v>
      </c>
      <c r="I178" s="29">
        <f t="shared" si="72"/>
        <v>10.52</v>
      </c>
      <c r="J178" s="29">
        <f t="shared" si="75"/>
        <v>132.55199999999999</v>
      </c>
      <c r="R178" s="4">
        <v>11.47</v>
      </c>
      <c r="S178" s="4">
        <f t="shared" si="76"/>
        <v>8.2572530000000004</v>
      </c>
      <c r="T178" s="4"/>
    </row>
    <row r="179" spans="1:20" s="6" customFormat="1" x14ac:dyDescent="0.3">
      <c r="A179" s="19" t="s">
        <v>451</v>
      </c>
      <c r="B179" s="23" t="s">
        <v>182</v>
      </c>
      <c r="C179" s="23"/>
      <c r="D179" s="23"/>
      <c r="E179" s="23"/>
      <c r="F179" s="23"/>
      <c r="G179" s="23"/>
      <c r="H179" s="24">
        <f>SUM(H180:H182)</f>
        <v>3799.0524645299993</v>
      </c>
      <c r="I179" s="29"/>
      <c r="J179" s="24">
        <f>SUM(J180:J182)</f>
        <v>4838.8566000000001</v>
      </c>
      <c r="M179" s="9"/>
      <c r="N179" s="11"/>
      <c r="O179" s="4"/>
      <c r="P179" s="4"/>
      <c r="R179" s="9"/>
      <c r="S179" s="4"/>
    </row>
    <row r="180" spans="1:20" ht="31.2" x14ac:dyDescent="0.3">
      <c r="A180" s="26" t="s">
        <v>452</v>
      </c>
      <c r="B180" s="25">
        <v>87879</v>
      </c>
      <c r="C180" s="27" t="s">
        <v>171</v>
      </c>
      <c r="D180" s="26" t="s">
        <v>129</v>
      </c>
      <c r="E180" s="26" t="s">
        <v>133</v>
      </c>
      <c r="F180" s="30">
        <v>106.23</v>
      </c>
      <c r="G180" s="29">
        <f t="shared" ref="G180:G182" si="77">S180</f>
        <v>2.289282</v>
      </c>
      <c r="H180" s="29">
        <f t="shared" ref="H180:H182" si="78">F180*G180</f>
        <v>243.19042686</v>
      </c>
      <c r="I180" s="29">
        <f t="shared" ref="I180:I192" si="79">ROUND(G180+G180*$I$11,2)</f>
        <v>2.92</v>
      </c>
      <c r="J180" s="29">
        <f t="shared" ref="J180:J182" si="80">F180*I180</f>
        <v>310.19159999999999</v>
      </c>
      <c r="R180" s="4">
        <v>3.18</v>
      </c>
      <c r="S180" s="4">
        <f t="shared" ref="S180:S182" si="81">R180-R180*$M$15</f>
        <v>2.289282</v>
      </c>
      <c r="T180" s="4"/>
    </row>
    <row r="181" spans="1:20" ht="78" x14ac:dyDescent="0.3">
      <c r="A181" s="26" t="s">
        <v>453</v>
      </c>
      <c r="B181" s="25">
        <v>87529</v>
      </c>
      <c r="C181" s="27" t="s">
        <v>286</v>
      </c>
      <c r="D181" s="26" t="s">
        <v>129</v>
      </c>
      <c r="E181" s="26" t="s">
        <v>133</v>
      </c>
      <c r="F181" s="30">
        <v>30.72</v>
      </c>
      <c r="G181" s="29">
        <f t="shared" si="77"/>
        <v>16.816863999999999</v>
      </c>
      <c r="H181" s="29">
        <f t="shared" si="78"/>
        <v>516.61406207999994</v>
      </c>
      <c r="I181" s="29">
        <f t="shared" si="79"/>
        <v>21.42</v>
      </c>
      <c r="J181" s="29">
        <f t="shared" si="80"/>
        <v>658.02240000000006</v>
      </c>
      <c r="R181" s="4">
        <v>23.36</v>
      </c>
      <c r="S181" s="4">
        <f t="shared" si="81"/>
        <v>16.816863999999999</v>
      </c>
      <c r="T181" s="4"/>
    </row>
    <row r="182" spans="1:20" ht="46.8" x14ac:dyDescent="0.3">
      <c r="A182" s="26" t="s">
        <v>454</v>
      </c>
      <c r="B182" s="25">
        <v>11368</v>
      </c>
      <c r="C182" s="27" t="s">
        <v>287</v>
      </c>
      <c r="D182" s="26" t="s">
        <v>224</v>
      </c>
      <c r="E182" s="25" t="s">
        <v>133</v>
      </c>
      <c r="F182" s="30">
        <v>75.510000000000005</v>
      </c>
      <c r="G182" s="29">
        <f t="shared" si="77"/>
        <v>40.249608999999992</v>
      </c>
      <c r="H182" s="29">
        <f t="shared" si="78"/>
        <v>3039.2479755899994</v>
      </c>
      <c r="I182" s="29">
        <f t="shared" si="79"/>
        <v>51.26</v>
      </c>
      <c r="J182" s="29">
        <f t="shared" si="80"/>
        <v>3870.6426000000001</v>
      </c>
      <c r="R182" s="4">
        <v>55.91</v>
      </c>
      <c r="S182" s="4">
        <f t="shared" si="81"/>
        <v>40.249608999999992</v>
      </c>
      <c r="T182" s="4"/>
    </row>
    <row r="183" spans="1:20" s="6" customFormat="1" x14ac:dyDescent="0.3">
      <c r="A183" s="19" t="s">
        <v>455</v>
      </c>
      <c r="B183" s="23" t="s">
        <v>181</v>
      </c>
      <c r="C183" s="23"/>
      <c r="D183" s="23"/>
      <c r="E183" s="23"/>
      <c r="F183" s="23"/>
      <c r="G183" s="23"/>
      <c r="H183" s="24">
        <f>SUM(H184:H186)</f>
        <v>2499.7037307000001</v>
      </c>
      <c r="I183" s="29"/>
      <c r="J183" s="24">
        <f>SUM(J184:J186)</f>
        <v>3183.29</v>
      </c>
      <c r="M183" s="9"/>
      <c r="N183" s="11"/>
      <c r="O183" s="4"/>
      <c r="P183" s="4"/>
      <c r="R183" s="9"/>
      <c r="S183" s="4"/>
    </row>
    <row r="184" spans="1:20" ht="31.2" x14ac:dyDescent="0.3">
      <c r="A184" s="26" t="s">
        <v>456</v>
      </c>
      <c r="B184" s="26">
        <v>95241</v>
      </c>
      <c r="C184" s="27" t="s">
        <v>308</v>
      </c>
      <c r="D184" s="26" t="s">
        <v>129</v>
      </c>
      <c r="E184" s="26" t="s">
        <v>133</v>
      </c>
      <c r="F184" s="30">
        <v>47.3</v>
      </c>
      <c r="G184" s="29">
        <f t="shared" ref="G184:G186" si="82">S184</f>
        <v>15.521044</v>
      </c>
      <c r="H184" s="29">
        <f t="shared" ref="H184:H186" si="83">F184*G184</f>
        <v>734.14538119999997</v>
      </c>
      <c r="I184" s="29">
        <f t="shared" si="79"/>
        <v>19.77</v>
      </c>
      <c r="J184" s="29">
        <f t="shared" ref="J184:J186" si="84">F184*I184</f>
        <v>935.12099999999987</v>
      </c>
      <c r="R184" s="4">
        <v>21.56</v>
      </c>
      <c r="S184" s="4">
        <f t="shared" ref="S184:S186" si="85">R184-R184*$M$15</f>
        <v>15.521044</v>
      </c>
      <c r="T184" s="4"/>
    </row>
    <row r="185" spans="1:20" ht="46.8" x14ac:dyDescent="0.3">
      <c r="A185" s="26" t="s">
        <v>457</v>
      </c>
      <c r="B185" s="26">
        <v>2180</v>
      </c>
      <c r="C185" s="27" t="s">
        <v>309</v>
      </c>
      <c r="D185" s="26" t="s">
        <v>224</v>
      </c>
      <c r="E185" s="26" t="s">
        <v>133</v>
      </c>
      <c r="F185" s="30">
        <v>47.3</v>
      </c>
      <c r="G185" s="29">
        <f t="shared" si="82"/>
        <v>14.685959999999998</v>
      </c>
      <c r="H185" s="29">
        <f t="shared" si="83"/>
        <v>694.64590799999985</v>
      </c>
      <c r="I185" s="29">
        <f t="shared" si="79"/>
        <v>18.7</v>
      </c>
      <c r="J185" s="29">
        <f t="shared" si="84"/>
        <v>884.50999999999988</v>
      </c>
      <c r="R185" s="4">
        <v>20.399999999999999</v>
      </c>
      <c r="S185" s="4">
        <f t="shared" si="85"/>
        <v>14.685959999999998</v>
      </c>
      <c r="T185" s="4"/>
    </row>
    <row r="186" spans="1:20" ht="31.2" x14ac:dyDescent="0.3">
      <c r="A186" s="26" t="s">
        <v>458</v>
      </c>
      <c r="B186" s="26">
        <v>101752</v>
      </c>
      <c r="C186" s="27" t="s">
        <v>311</v>
      </c>
      <c r="D186" s="26" t="s">
        <v>129</v>
      </c>
      <c r="E186" s="26" t="s">
        <v>133</v>
      </c>
      <c r="F186" s="30">
        <v>47.3</v>
      </c>
      <c r="G186" s="29">
        <f t="shared" si="82"/>
        <v>22.640854999999998</v>
      </c>
      <c r="H186" s="29">
        <f t="shared" si="83"/>
        <v>1070.9124414999999</v>
      </c>
      <c r="I186" s="29">
        <f t="shared" si="79"/>
        <v>28.83</v>
      </c>
      <c r="J186" s="29">
        <f t="shared" si="84"/>
        <v>1363.6589999999999</v>
      </c>
      <c r="R186" s="4">
        <v>31.45</v>
      </c>
      <c r="S186" s="4">
        <f t="shared" si="85"/>
        <v>22.640854999999998</v>
      </c>
      <c r="T186" s="4"/>
    </row>
    <row r="187" spans="1:20" s="6" customFormat="1" x14ac:dyDescent="0.3">
      <c r="A187" s="19" t="s">
        <v>459</v>
      </c>
      <c r="B187" s="23" t="s">
        <v>180</v>
      </c>
      <c r="C187" s="27"/>
      <c r="D187" s="23"/>
      <c r="E187" s="23"/>
      <c r="F187" s="23"/>
      <c r="G187" s="23"/>
      <c r="H187" s="24">
        <f>SUM(H188:H192)</f>
        <v>1908.87186608</v>
      </c>
      <c r="I187" s="29"/>
      <c r="J187" s="24">
        <f>SUM(J188:J192)</f>
        <v>2430.9776000000002</v>
      </c>
      <c r="M187" s="9"/>
      <c r="N187" s="11"/>
      <c r="O187" s="4"/>
      <c r="P187" s="4"/>
      <c r="R187" s="9"/>
      <c r="S187" s="4"/>
    </row>
    <row r="188" spans="1:20" ht="46.8" x14ac:dyDescent="0.3">
      <c r="A188" s="26" t="s">
        <v>460</v>
      </c>
      <c r="B188" s="26">
        <v>93141</v>
      </c>
      <c r="C188" s="27" t="s">
        <v>201</v>
      </c>
      <c r="D188" s="26" t="s">
        <v>129</v>
      </c>
      <c r="E188" s="25" t="s">
        <v>210</v>
      </c>
      <c r="F188" s="30">
        <v>4</v>
      </c>
      <c r="G188" s="29">
        <f t="shared" ref="G188:G192" si="86">S188</f>
        <v>91.211330000000004</v>
      </c>
      <c r="H188" s="29">
        <f t="shared" ref="H188" si="87">F188*G188</f>
        <v>364.84532000000002</v>
      </c>
      <c r="I188" s="29">
        <f t="shared" ref="I188" si="88">ROUND(G188+G188*$I$11,2)</f>
        <v>116.16</v>
      </c>
      <c r="J188" s="29">
        <f t="shared" ref="J188" si="89">F188*I188</f>
        <v>464.64</v>
      </c>
      <c r="R188" s="4">
        <v>126.7</v>
      </c>
      <c r="S188" s="4">
        <f t="shared" ref="S188:S192" si="90">R188-R188*$M$15</f>
        <v>91.211330000000004</v>
      </c>
      <c r="T188" s="4"/>
    </row>
    <row r="189" spans="1:20" ht="62.4" x14ac:dyDescent="0.3">
      <c r="A189" s="26" t="s">
        <v>461</v>
      </c>
      <c r="B189" s="26">
        <v>93128</v>
      </c>
      <c r="C189" s="27" t="s">
        <v>209</v>
      </c>
      <c r="D189" s="26" t="s">
        <v>129</v>
      </c>
      <c r="E189" s="25" t="s">
        <v>210</v>
      </c>
      <c r="F189" s="30">
        <v>4</v>
      </c>
      <c r="G189" s="29">
        <f t="shared" si="86"/>
        <v>71.414079999999998</v>
      </c>
      <c r="H189" s="29">
        <f t="shared" ref="H189:H191" si="91">F189*G189</f>
        <v>285.65631999999999</v>
      </c>
      <c r="I189" s="29">
        <f t="shared" si="79"/>
        <v>90.95</v>
      </c>
      <c r="J189" s="29">
        <f t="shared" ref="J189:J190" si="92">F189*I189</f>
        <v>363.8</v>
      </c>
      <c r="R189" s="4">
        <v>99.2</v>
      </c>
      <c r="S189" s="4">
        <f t="shared" si="90"/>
        <v>71.414079999999998</v>
      </c>
      <c r="T189" s="4"/>
    </row>
    <row r="190" spans="1:20" ht="31.2" x14ac:dyDescent="0.3">
      <c r="A190" s="26" t="s">
        <v>462</v>
      </c>
      <c r="B190" s="26">
        <v>12577</v>
      </c>
      <c r="C190" s="27" t="s">
        <v>465</v>
      </c>
      <c r="D190" s="26" t="s">
        <v>224</v>
      </c>
      <c r="E190" s="25" t="s">
        <v>210</v>
      </c>
      <c r="F190" s="30">
        <v>4</v>
      </c>
      <c r="G190" s="29">
        <f t="shared" si="86"/>
        <v>292.56736000000001</v>
      </c>
      <c r="H190" s="29">
        <f t="shared" si="91"/>
        <v>1170.26944</v>
      </c>
      <c r="I190" s="29">
        <f t="shared" si="79"/>
        <v>372.59</v>
      </c>
      <c r="J190" s="29">
        <f t="shared" si="92"/>
        <v>1490.36</v>
      </c>
      <c r="R190" s="4">
        <v>406.4</v>
      </c>
      <c r="S190" s="4">
        <f t="shared" si="90"/>
        <v>292.56736000000001</v>
      </c>
      <c r="T190" s="4"/>
    </row>
    <row r="191" spans="1:20" ht="31.2" x14ac:dyDescent="0.3">
      <c r="A191" s="26" t="s">
        <v>463</v>
      </c>
      <c r="B191" s="26">
        <v>91943</v>
      </c>
      <c r="C191" s="27" t="s">
        <v>465</v>
      </c>
      <c r="D191" s="26" t="s">
        <v>129</v>
      </c>
      <c r="E191" s="25" t="s">
        <v>210</v>
      </c>
      <c r="F191" s="30">
        <v>2</v>
      </c>
      <c r="G191" s="29">
        <f t="shared" si="86"/>
        <v>8.7107899999999994</v>
      </c>
      <c r="H191" s="29">
        <f t="shared" si="91"/>
        <v>17.421579999999999</v>
      </c>
      <c r="I191" s="29">
        <f t="shared" si="79"/>
        <v>11.09</v>
      </c>
      <c r="J191" s="29">
        <f t="shared" ref="J191:J192" si="93">F191*I191</f>
        <v>22.18</v>
      </c>
      <c r="R191" s="4">
        <v>12.1</v>
      </c>
      <c r="S191" s="4">
        <f t="shared" si="90"/>
        <v>8.7107899999999994</v>
      </c>
      <c r="T191" s="4"/>
    </row>
    <row r="192" spans="1:20" ht="46.8" x14ac:dyDescent="0.3">
      <c r="A192" s="26" t="s">
        <v>464</v>
      </c>
      <c r="B192" s="26">
        <v>91927</v>
      </c>
      <c r="C192" s="27" t="s">
        <v>466</v>
      </c>
      <c r="D192" s="26" t="s">
        <v>129</v>
      </c>
      <c r="E192" s="25" t="s">
        <v>135</v>
      </c>
      <c r="F192" s="30">
        <v>19.48</v>
      </c>
      <c r="G192" s="29">
        <f t="shared" si="86"/>
        <v>3.6282959999999997</v>
      </c>
      <c r="H192" s="29">
        <f>F192*G192</f>
        <v>70.67920608</v>
      </c>
      <c r="I192" s="29">
        <f t="shared" si="79"/>
        <v>4.62</v>
      </c>
      <c r="J192" s="29">
        <f t="shared" si="93"/>
        <v>89.997600000000006</v>
      </c>
      <c r="R192" s="4">
        <v>5.04</v>
      </c>
      <c r="S192" s="4">
        <f t="shared" si="90"/>
        <v>3.6282959999999997</v>
      </c>
      <c r="T192" s="4"/>
    </row>
    <row r="193" spans="1:20" x14ac:dyDescent="0.3">
      <c r="A193" s="35"/>
      <c r="B193" s="36"/>
      <c r="C193" s="37"/>
      <c r="D193" s="36"/>
      <c r="E193" s="38"/>
      <c r="F193" s="39"/>
      <c r="G193" s="40"/>
      <c r="H193" s="40"/>
      <c r="I193" s="40"/>
      <c r="J193" s="41"/>
      <c r="T193" s="4"/>
    </row>
    <row r="194" spans="1:20" x14ac:dyDescent="0.3">
      <c r="A194" s="115" t="s">
        <v>467</v>
      </c>
      <c r="B194" s="116"/>
      <c r="C194" s="116"/>
      <c r="D194" s="116"/>
      <c r="E194" s="116"/>
      <c r="F194" s="117"/>
      <c r="G194" s="118">
        <f>H17+H160</f>
        <v>509030.31836405001</v>
      </c>
      <c r="H194" s="119"/>
      <c r="I194" s="119"/>
      <c r="J194" s="120"/>
    </row>
    <row r="195" spans="1:20" x14ac:dyDescent="0.3">
      <c r="A195" s="115" t="s">
        <v>468</v>
      </c>
      <c r="B195" s="116"/>
      <c r="C195" s="116"/>
      <c r="D195" s="116"/>
      <c r="E195" s="116"/>
      <c r="F195" s="117"/>
      <c r="G195" s="118">
        <f>G196-G194</f>
        <v>139248.93023595004</v>
      </c>
      <c r="H195" s="119"/>
      <c r="I195" s="119"/>
      <c r="J195" s="120"/>
    </row>
    <row r="196" spans="1:20" x14ac:dyDescent="0.3">
      <c r="A196" s="115" t="s">
        <v>471</v>
      </c>
      <c r="B196" s="116"/>
      <c r="C196" s="116"/>
      <c r="D196" s="116"/>
      <c r="E196" s="116"/>
      <c r="F196" s="117"/>
      <c r="G196" s="118">
        <f>J17+J160</f>
        <v>648279.24860000005</v>
      </c>
      <c r="H196" s="119"/>
      <c r="I196" s="119"/>
      <c r="J196" s="120"/>
    </row>
  </sheetData>
  <autoFilter ref="I27:I187" xr:uid="{00000000-0001-0000-0000-000000000000}"/>
  <mergeCells count="9">
    <mergeCell ref="A1:J8"/>
    <mergeCell ref="A9:J9"/>
    <mergeCell ref="A13:J13"/>
    <mergeCell ref="A196:F196"/>
    <mergeCell ref="G196:J196"/>
    <mergeCell ref="A194:F194"/>
    <mergeCell ref="G194:J194"/>
    <mergeCell ref="A195:F195"/>
    <mergeCell ref="G195:J195"/>
  </mergeCells>
  <phoneticPr fontId="3" type="noConversion"/>
  <printOptions horizontalCentered="1"/>
  <pageMargins left="0.78740157480314965" right="0.39370078740157483" top="0.78740157480314965" bottom="0.78740157480314965" header="0.31496062992125984" footer="0.31496062992125984"/>
  <pageSetup paperSize="9" scale="45" orientation="portrait" horizontalDpi="360" verticalDpi="360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97"/>
  <sheetViews>
    <sheetView view="pageBreakPreview" zoomScale="48" zoomScaleNormal="85" zoomScaleSheetLayoutView="48" workbookViewId="0">
      <selection activeCell="F37" sqref="F37"/>
    </sheetView>
  </sheetViews>
  <sheetFormatPr defaultColWidth="9.109375" defaultRowHeight="15.6" x14ac:dyDescent="0.3"/>
  <cols>
    <col min="1" max="1" width="9.88671875" style="48" customWidth="1"/>
    <col min="2" max="2" width="59.5546875" style="48" customWidth="1"/>
    <col min="3" max="3" width="24.44140625" style="67" customWidth="1"/>
    <col min="4" max="4" width="16" style="68" customWidth="1"/>
    <col min="5" max="12" width="23.33203125" style="68" customWidth="1"/>
    <col min="13" max="13" width="16.5546875" style="69" customWidth="1"/>
    <col min="14" max="14" width="12.44140625" style="68" customWidth="1"/>
    <col min="15" max="15" width="7.88671875" style="68" customWidth="1"/>
    <col min="16" max="16" width="7.44140625" style="68" customWidth="1"/>
    <col min="17" max="17" width="9" style="68" bestFit="1" customWidth="1"/>
    <col min="18" max="18" width="8.44140625" style="68" customWidth="1"/>
    <col min="19" max="19" width="6.6640625" style="68" customWidth="1"/>
    <col min="20" max="20" width="8.44140625" style="68" customWidth="1"/>
    <col min="21" max="16384" width="9.109375" style="68"/>
  </cols>
  <sheetData>
    <row r="1" spans="1:43" x14ac:dyDescent="0.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43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43" x14ac:dyDescent="0.3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43" x14ac:dyDescent="0.3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43" x14ac:dyDescent="0.3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1:43" x14ac:dyDescent="0.3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</row>
    <row r="7" spans="1:43" x14ac:dyDescent="0.3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</row>
    <row r="8" spans="1:43" x14ac:dyDescent="0.3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</row>
    <row r="9" spans="1:43" x14ac:dyDescent="0.3">
      <c r="A9" s="133" t="str">
        <f>PLANILHA!A9</f>
        <v>TOMADA DE PREÇO 008/2021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</row>
    <row r="11" spans="1:43" s="44" customFormat="1" x14ac:dyDescent="0.3">
      <c r="A11" s="5" t="s">
        <v>211</v>
      </c>
      <c r="B11" s="42"/>
      <c r="C11" s="43"/>
      <c r="M11" s="45"/>
    </row>
    <row r="12" spans="1:43" s="44" customFormat="1" x14ac:dyDescent="0.3">
      <c r="A12" s="5" t="s">
        <v>212</v>
      </c>
      <c r="B12" s="42"/>
      <c r="C12" s="43"/>
      <c r="M12" s="45"/>
    </row>
    <row r="13" spans="1:43" s="49" customFormat="1" x14ac:dyDescent="0.3">
      <c r="A13" s="125" t="s">
        <v>44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46"/>
      <c r="N13" s="47"/>
      <c r="O13" s="47"/>
      <c r="P13" s="47"/>
      <c r="Q13" s="47"/>
      <c r="R13" s="47"/>
      <c r="S13" s="47"/>
      <c r="T13" s="47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</row>
    <row r="15" spans="1:43" s="51" customFormat="1" ht="42" customHeight="1" x14ac:dyDescent="0.3">
      <c r="A15" s="13" t="s">
        <v>0</v>
      </c>
      <c r="B15" s="13" t="s">
        <v>45</v>
      </c>
      <c r="C15" s="14" t="s">
        <v>474</v>
      </c>
      <c r="D15" s="13" t="s">
        <v>473</v>
      </c>
      <c r="E15" s="13" t="s">
        <v>46</v>
      </c>
      <c r="F15" s="13" t="s">
        <v>47</v>
      </c>
      <c r="G15" s="13" t="s">
        <v>48</v>
      </c>
      <c r="H15" s="13" t="s">
        <v>53</v>
      </c>
      <c r="I15" s="13" t="s">
        <v>54</v>
      </c>
      <c r="J15" s="13" t="s">
        <v>55</v>
      </c>
      <c r="K15" s="13" t="s">
        <v>130</v>
      </c>
      <c r="L15" s="13" t="s">
        <v>131</v>
      </c>
      <c r="M15" s="50"/>
    </row>
    <row r="16" spans="1:43" s="53" customFormat="1" ht="18" customHeight="1" x14ac:dyDescent="0.3">
      <c r="A16" s="126">
        <v>1</v>
      </c>
      <c r="B16" s="130" t="s">
        <v>472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1"/>
      <c r="M16" s="52">
        <f>100%-SUM(E16:L16)</f>
        <v>1</v>
      </c>
    </row>
    <row r="17" spans="1:15" s="53" customFormat="1" ht="18" customHeight="1" x14ac:dyDescent="0.3">
      <c r="A17" s="126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1"/>
      <c r="M17" s="50" t="b">
        <f>SUM(E17:L17)=C16</f>
        <v>1</v>
      </c>
    </row>
    <row r="18" spans="1:15" s="53" customFormat="1" x14ac:dyDescent="0.3">
      <c r="A18" s="105">
        <v>1</v>
      </c>
      <c r="B18" s="106" t="str">
        <f>PLANILHA!B17</f>
        <v>ETAPA 01: CONSTRUÇÃO DA ESCOLA</v>
      </c>
      <c r="C18" s="107"/>
      <c r="D18" s="106"/>
      <c r="E18" s="106"/>
      <c r="F18" s="106"/>
      <c r="G18" s="106"/>
      <c r="H18" s="106"/>
      <c r="I18" s="106"/>
      <c r="J18" s="106"/>
      <c r="K18" s="106"/>
      <c r="L18" s="108"/>
      <c r="M18" s="50"/>
    </row>
    <row r="19" spans="1:15" s="53" customFormat="1" ht="18" customHeight="1" x14ac:dyDescent="0.3">
      <c r="A19" s="121" t="str">
        <f>PLANILHA!A18</f>
        <v xml:space="preserve">1.1 </v>
      </c>
      <c r="B19" s="122" t="str">
        <f>PLANILHA!B18</f>
        <v>SERVIÇOS PRELIMINARES</v>
      </c>
      <c r="C19" s="123">
        <f>PLANILHA!J18</f>
        <v>16737.77</v>
      </c>
      <c r="D19" s="124">
        <f>IFERROR(C19/$C$93,0)</f>
        <v>2.5818765657155112E-2</v>
      </c>
      <c r="E19" s="54">
        <v>1</v>
      </c>
      <c r="F19" s="54"/>
      <c r="G19" s="54"/>
      <c r="H19" s="54"/>
      <c r="I19" s="54"/>
      <c r="J19" s="54"/>
      <c r="K19" s="54"/>
      <c r="L19" s="54"/>
      <c r="M19" s="52">
        <f>100%-SUM(E19:L19)</f>
        <v>0</v>
      </c>
    </row>
    <row r="20" spans="1:15" s="53" customFormat="1" x14ac:dyDescent="0.3">
      <c r="A20" s="121"/>
      <c r="B20" s="122"/>
      <c r="C20" s="123"/>
      <c r="D20" s="124"/>
      <c r="E20" s="55">
        <f>IF(E19&gt;0,$C19*E19,"")</f>
        <v>16737.77</v>
      </c>
      <c r="F20" s="55" t="str">
        <f>IF(F19&gt;0,$C19*F19,"")</f>
        <v/>
      </c>
      <c r="G20" s="55" t="str">
        <f>IF(G19&gt;0,$C19*G19,"")</f>
        <v/>
      </c>
      <c r="H20" s="55"/>
      <c r="I20" s="55"/>
      <c r="J20" s="55"/>
      <c r="K20" s="55"/>
      <c r="L20" s="55"/>
      <c r="M20" s="50" t="b">
        <f>SUM(E20:L20)=C19</f>
        <v>1</v>
      </c>
    </row>
    <row r="21" spans="1:15" s="53" customFormat="1" x14ac:dyDescent="0.3">
      <c r="A21" s="121"/>
      <c r="B21" s="122"/>
      <c r="C21" s="123"/>
      <c r="D21" s="124"/>
      <c r="E21" s="56"/>
      <c r="F21" s="56"/>
      <c r="G21" s="56"/>
      <c r="H21" s="56"/>
      <c r="I21" s="56"/>
      <c r="J21" s="56"/>
      <c r="K21" s="56"/>
      <c r="L21" s="56"/>
      <c r="M21" s="50"/>
    </row>
    <row r="22" spans="1:15" s="53" customFormat="1" x14ac:dyDescent="0.3">
      <c r="A22" s="121" t="str">
        <f>PLANILHA!A27</f>
        <v>1.2</v>
      </c>
      <c r="B22" s="122" t="str">
        <f>PLANILHA!B27</f>
        <v>MOVIMENTO DE TERRA</v>
      </c>
      <c r="C22" s="127">
        <f>PLANILHA!J27</f>
        <v>7361.0879999999997</v>
      </c>
      <c r="D22" s="124">
        <f>IFERROR(C22/$C$93,0)</f>
        <v>1.1354810470791307E-2</v>
      </c>
      <c r="E22" s="54">
        <v>0.5</v>
      </c>
      <c r="F22" s="54">
        <v>0.5</v>
      </c>
      <c r="G22" s="54"/>
      <c r="H22" s="54"/>
      <c r="I22" s="54"/>
      <c r="J22" s="54"/>
      <c r="K22" s="54"/>
      <c r="L22" s="54"/>
      <c r="M22" s="52">
        <f>100%-SUM(E22:L22)</f>
        <v>0</v>
      </c>
      <c r="O22" s="57"/>
    </row>
    <row r="23" spans="1:15" s="53" customFormat="1" x14ac:dyDescent="0.3">
      <c r="A23" s="121"/>
      <c r="B23" s="122"/>
      <c r="C23" s="128"/>
      <c r="D23" s="124"/>
      <c r="E23" s="55">
        <f>IF(E22&gt;0,$C22*E22,"")</f>
        <v>3680.5439999999999</v>
      </c>
      <c r="F23" s="55">
        <f>IF(F22&gt;0,$C22*F22,"")</f>
        <v>3680.5439999999999</v>
      </c>
      <c r="G23" s="55"/>
      <c r="H23" s="55"/>
      <c r="I23" s="55"/>
      <c r="J23" s="55"/>
      <c r="K23" s="55"/>
      <c r="L23" s="55"/>
      <c r="M23" s="50" t="b">
        <f>SUM(E23:L23)=C22</f>
        <v>1</v>
      </c>
    </row>
    <row r="24" spans="1:15" s="53" customFormat="1" x14ac:dyDescent="0.3">
      <c r="A24" s="121"/>
      <c r="B24" s="122"/>
      <c r="C24" s="129"/>
      <c r="D24" s="124"/>
      <c r="E24" s="56"/>
      <c r="F24" s="56"/>
      <c r="G24" s="56"/>
      <c r="H24" s="56"/>
      <c r="I24" s="56"/>
      <c r="J24" s="56"/>
      <c r="K24" s="56"/>
      <c r="L24" s="56"/>
      <c r="M24" s="50"/>
    </row>
    <row r="25" spans="1:15" s="53" customFormat="1" x14ac:dyDescent="0.3">
      <c r="A25" s="121" t="str">
        <f>PLANILHA!A31</f>
        <v>1.3</v>
      </c>
      <c r="B25" s="122" t="str">
        <f>PLANILHA!B31</f>
        <v>INFRAESTRUTURA</v>
      </c>
      <c r="C25" s="123">
        <f>PLANILHA!J31</f>
        <v>72072.818199999994</v>
      </c>
      <c r="D25" s="124">
        <f>IFERROR(C25/$C$93,0)</f>
        <v>0.11117557496348342</v>
      </c>
      <c r="E25" s="54">
        <v>0.6</v>
      </c>
      <c r="F25" s="54">
        <v>0.4</v>
      </c>
      <c r="G25" s="54"/>
      <c r="H25" s="54"/>
      <c r="I25" s="54"/>
      <c r="J25" s="54"/>
      <c r="K25" s="54"/>
      <c r="L25" s="54"/>
      <c r="M25" s="52">
        <f>100%-SUM(E25:L25)</f>
        <v>0</v>
      </c>
    </row>
    <row r="26" spans="1:15" s="53" customFormat="1" x14ac:dyDescent="0.3">
      <c r="A26" s="121"/>
      <c r="B26" s="122"/>
      <c r="C26" s="123"/>
      <c r="D26" s="124"/>
      <c r="E26" s="55">
        <f>IF(E25&gt;0,$C25*E25,"")</f>
        <v>43243.690919999994</v>
      </c>
      <c r="F26" s="55">
        <f>IF(F25&gt;0,$C25*F25,"")</f>
        <v>28829.127280000001</v>
      </c>
      <c r="G26" s="55"/>
      <c r="H26" s="55"/>
      <c r="I26" s="55"/>
      <c r="J26" s="55"/>
      <c r="K26" s="55"/>
      <c r="L26" s="55"/>
      <c r="M26" s="50" t="b">
        <f>SUM(E26:L26)=C25</f>
        <v>1</v>
      </c>
    </row>
    <row r="27" spans="1:15" s="53" customFormat="1" x14ac:dyDescent="0.3">
      <c r="A27" s="121"/>
      <c r="B27" s="122"/>
      <c r="C27" s="123"/>
      <c r="D27" s="124"/>
      <c r="E27" s="56"/>
      <c r="F27" s="56"/>
      <c r="G27" s="56"/>
      <c r="H27" s="56"/>
      <c r="I27" s="56"/>
      <c r="J27" s="56"/>
      <c r="K27" s="56"/>
      <c r="L27" s="56"/>
      <c r="M27" s="50"/>
    </row>
    <row r="28" spans="1:15" s="53" customFormat="1" x14ac:dyDescent="0.3">
      <c r="A28" s="121" t="str">
        <f>PLANILHA!A37</f>
        <v>1.4</v>
      </c>
      <c r="B28" s="122" t="str">
        <f>PLANILHA!B37</f>
        <v xml:space="preserve"> SUPER-ESTRUTURA</v>
      </c>
      <c r="C28" s="123">
        <f>PLANILHA!J37</f>
        <v>114480.3824</v>
      </c>
      <c r="D28" s="124">
        <f>IFERROR(C28/$C$93,0)</f>
        <v>0.17659115673874742</v>
      </c>
      <c r="E28" s="54"/>
      <c r="F28" s="54">
        <v>0.2</v>
      </c>
      <c r="G28" s="54">
        <v>0.4</v>
      </c>
      <c r="H28" s="54">
        <v>0.4</v>
      </c>
      <c r="I28" s="54"/>
      <c r="J28" s="54"/>
      <c r="K28" s="54"/>
      <c r="L28" s="54"/>
      <c r="M28" s="52">
        <f>100%-SUM(E28:L28)</f>
        <v>0</v>
      </c>
    </row>
    <row r="29" spans="1:15" s="53" customFormat="1" x14ac:dyDescent="0.3">
      <c r="A29" s="121"/>
      <c r="B29" s="122"/>
      <c r="C29" s="123"/>
      <c r="D29" s="124"/>
      <c r="E29" s="55"/>
      <c r="F29" s="55">
        <f>IF(F28&gt;0,$C28*F28,"")</f>
        <v>22896.076480000003</v>
      </c>
      <c r="G29" s="55">
        <f>IF(G28&gt;0,$C28*G28,"")</f>
        <v>45792.152960000007</v>
      </c>
      <c r="H29" s="55">
        <f>IF(H28&gt;0,$C28*H28,"")</f>
        <v>45792.152960000007</v>
      </c>
      <c r="I29" s="55"/>
      <c r="J29" s="55"/>
      <c r="K29" s="55"/>
      <c r="L29" s="55"/>
      <c r="M29" s="50" t="b">
        <f>SUM(E29:L29)=C28</f>
        <v>1</v>
      </c>
    </row>
    <row r="30" spans="1:15" s="53" customFormat="1" x14ac:dyDescent="0.3">
      <c r="A30" s="121"/>
      <c r="B30" s="122"/>
      <c r="C30" s="123"/>
      <c r="D30" s="124"/>
      <c r="E30" s="56"/>
      <c r="F30" s="56"/>
      <c r="G30" s="56"/>
      <c r="H30" s="56"/>
      <c r="I30" s="56"/>
      <c r="J30" s="56"/>
      <c r="K30" s="56"/>
      <c r="L30" s="56"/>
      <c r="M30" s="50"/>
    </row>
    <row r="31" spans="1:15" s="53" customFormat="1" x14ac:dyDescent="0.3">
      <c r="A31" s="121" t="str">
        <f>PLANILHA!A42</f>
        <v>1.5</v>
      </c>
      <c r="B31" s="122" t="str">
        <f>PLANILHA!B42</f>
        <v>PAREDES E PAINEIS</v>
      </c>
      <c r="C31" s="123">
        <f>PLANILHA!J42</f>
        <v>86529.282800000001</v>
      </c>
      <c r="D31" s="124">
        <f>IFERROR(C31/$C$93,0)</f>
        <v>0.13347532407811211</v>
      </c>
      <c r="E31" s="54"/>
      <c r="F31" s="54">
        <v>0.4</v>
      </c>
      <c r="G31" s="54">
        <v>0.6</v>
      </c>
      <c r="H31" s="54"/>
      <c r="I31" s="54"/>
      <c r="J31" s="54"/>
      <c r="K31" s="54"/>
      <c r="L31" s="54"/>
      <c r="M31" s="52">
        <f>100%-SUM(E31:L31)</f>
        <v>0</v>
      </c>
    </row>
    <row r="32" spans="1:15" s="53" customFormat="1" x14ac:dyDescent="0.3">
      <c r="A32" s="121"/>
      <c r="B32" s="122"/>
      <c r="C32" s="123"/>
      <c r="D32" s="124"/>
      <c r="E32" s="55"/>
      <c r="F32" s="55">
        <f>IF(F31&gt;0,$C31*F31,"")</f>
        <v>34611.71312</v>
      </c>
      <c r="G32" s="55">
        <f>IF(G31&gt;0,$C31*G31,"")</f>
        <v>51917.569680000001</v>
      </c>
      <c r="H32" s="55"/>
      <c r="I32" s="55"/>
      <c r="J32" s="55"/>
      <c r="K32" s="55"/>
      <c r="L32" s="55"/>
      <c r="M32" s="50" t="b">
        <f>SUM(E32:L32)=C31</f>
        <v>1</v>
      </c>
    </row>
    <row r="33" spans="1:13" s="53" customFormat="1" x14ac:dyDescent="0.3">
      <c r="A33" s="121"/>
      <c r="B33" s="122"/>
      <c r="C33" s="123"/>
      <c r="D33" s="124"/>
      <c r="E33" s="56"/>
      <c r="F33" s="56"/>
      <c r="G33" s="56"/>
      <c r="H33" s="56"/>
      <c r="I33" s="56"/>
      <c r="J33" s="56"/>
      <c r="K33" s="56"/>
      <c r="L33" s="56"/>
      <c r="M33" s="50"/>
    </row>
    <row r="34" spans="1:13" s="53" customFormat="1" x14ac:dyDescent="0.3">
      <c r="A34" s="121" t="str">
        <f>PLANILHA!A46</f>
        <v>1.6</v>
      </c>
      <c r="B34" s="122" t="str">
        <f>PLANILHA!B46</f>
        <v xml:space="preserve"> ESQUADRIAS, FERRAGENS E VIDROS</v>
      </c>
      <c r="C34" s="123">
        <f>PLANILHA!J46</f>
        <v>72799.623299999992</v>
      </c>
      <c r="D34" s="124">
        <f>IFERROR(C34/$C$93,0)</f>
        <v>0.1122967046334051</v>
      </c>
      <c r="E34" s="54"/>
      <c r="F34" s="54"/>
      <c r="G34" s="54"/>
      <c r="H34" s="54"/>
      <c r="I34" s="54"/>
      <c r="J34" s="54">
        <v>0.3</v>
      </c>
      <c r="K34" s="54">
        <v>0.7</v>
      </c>
      <c r="L34" s="54"/>
      <c r="M34" s="52">
        <f>100%-SUM(E34:L34)</f>
        <v>0</v>
      </c>
    </row>
    <row r="35" spans="1:13" s="53" customFormat="1" x14ac:dyDescent="0.3">
      <c r="A35" s="121"/>
      <c r="B35" s="122"/>
      <c r="C35" s="123"/>
      <c r="D35" s="124"/>
      <c r="E35" s="55" t="str">
        <f>IF(E34&gt;0,$C34*E34,"")</f>
        <v/>
      </c>
      <c r="F35" s="55"/>
      <c r="G35" s="55"/>
      <c r="H35" s="55" t="str">
        <f>IF(H34&gt;0,$C34*H34,"")</f>
        <v/>
      </c>
      <c r="I35" s="55"/>
      <c r="J35" s="55">
        <f>IF(J34&gt;0,$C34*J34,"")</f>
        <v>21839.886989999995</v>
      </c>
      <c r="K35" s="55">
        <f>IF(K34&gt;0,$C34*K34,"")</f>
        <v>50959.736309999993</v>
      </c>
      <c r="L35" s="55"/>
      <c r="M35" s="50" t="b">
        <f>SUM(E35:L35)=C34</f>
        <v>1</v>
      </c>
    </row>
    <row r="36" spans="1:13" s="53" customFormat="1" x14ac:dyDescent="0.3">
      <c r="A36" s="121"/>
      <c r="B36" s="122"/>
      <c r="C36" s="123"/>
      <c r="D36" s="124"/>
      <c r="E36" s="56"/>
      <c r="F36" s="56"/>
      <c r="G36" s="56"/>
      <c r="H36" s="56"/>
      <c r="I36" s="56"/>
      <c r="J36" s="56"/>
      <c r="K36" s="56"/>
      <c r="L36" s="56"/>
      <c r="M36" s="50"/>
    </row>
    <row r="37" spans="1:13" s="53" customFormat="1" x14ac:dyDescent="0.3">
      <c r="A37" s="121" t="str">
        <f>PLANILHA!A58</f>
        <v>1.7</v>
      </c>
      <c r="B37" s="122" t="str">
        <f>PLANILHA!B58</f>
        <v>COBERTA</v>
      </c>
      <c r="C37" s="123">
        <f>PLANILHA!J58</f>
        <v>50835.063999999998</v>
      </c>
      <c r="D37" s="124">
        <f>IFERROR(C37/$C$93,0)</f>
        <v>7.8415380578325672E-2</v>
      </c>
      <c r="E37" s="54"/>
      <c r="F37" s="54"/>
      <c r="G37" s="54"/>
      <c r="H37" s="54">
        <v>1</v>
      </c>
      <c r="I37" s="54"/>
      <c r="J37" s="54"/>
      <c r="K37" s="54"/>
      <c r="L37" s="54"/>
      <c r="M37" s="52">
        <f>100%-SUM(E37:L37)</f>
        <v>0</v>
      </c>
    </row>
    <row r="38" spans="1:13" s="53" customFormat="1" x14ac:dyDescent="0.3">
      <c r="A38" s="121"/>
      <c r="B38" s="122"/>
      <c r="C38" s="123"/>
      <c r="D38" s="124"/>
      <c r="E38" s="55"/>
      <c r="F38" s="55"/>
      <c r="G38" s="55"/>
      <c r="H38" s="55">
        <f>IF(H37&gt;0,$C37*H37,"")</f>
        <v>50835.063999999998</v>
      </c>
      <c r="I38" s="55"/>
      <c r="J38" s="55"/>
      <c r="K38" s="55"/>
      <c r="L38" s="55"/>
      <c r="M38" s="50" t="b">
        <f>SUM(E38:L38)=C37</f>
        <v>1</v>
      </c>
    </row>
    <row r="39" spans="1:13" s="53" customFormat="1" x14ac:dyDescent="0.3">
      <c r="A39" s="121"/>
      <c r="B39" s="122"/>
      <c r="C39" s="123"/>
      <c r="D39" s="124"/>
      <c r="E39" s="56"/>
      <c r="F39" s="56"/>
      <c r="G39" s="56"/>
      <c r="H39" s="56"/>
      <c r="I39" s="56"/>
      <c r="J39" s="56"/>
      <c r="K39" s="56"/>
      <c r="L39" s="56"/>
      <c r="M39" s="50"/>
    </row>
    <row r="40" spans="1:13" s="53" customFormat="1" x14ac:dyDescent="0.3">
      <c r="A40" s="121" t="str">
        <f>PLANILHA!A67</f>
        <v>1.8</v>
      </c>
      <c r="B40" s="122" t="str">
        <f>PLANILHA!B67</f>
        <v xml:space="preserve"> REVESTIMENTO E FORRO</v>
      </c>
      <c r="C40" s="123">
        <f>PLANILHA!J67</f>
        <v>66961.275599999994</v>
      </c>
      <c r="D40" s="124">
        <f>IFERROR(C40/$C$93,0)</f>
        <v>0.10329078980178234</v>
      </c>
      <c r="E40" s="54"/>
      <c r="F40" s="54"/>
      <c r="G40" s="54"/>
      <c r="H40" s="54"/>
      <c r="I40" s="54">
        <v>0.5</v>
      </c>
      <c r="J40" s="54">
        <v>0.5</v>
      </c>
      <c r="K40" s="54"/>
      <c r="L40" s="54"/>
      <c r="M40" s="52">
        <f>100%-SUM(E40:L40)</f>
        <v>0</v>
      </c>
    </row>
    <row r="41" spans="1:13" s="53" customFormat="1" x14ac:dyDescent="0.3">
      <c r="A41" s="121"/>
      <c r="B41" s="122"/>
      <c r="C41" s="123"/>
      <c r="D41" s="124"/>
      <c r="E41" s="55"/>
      <c r="F41" s="55"/>
      <c r="G41" s="55"/>
      <c r="H41" s="55" t="str">
        <f>IF(H40&gt;0,$C40*H40,"")</f>
        <v/>
      </c>
      <c r="I41" s="55">
        <f>IF(I40&gt;0,$C40*I40,"")</f>
        <v>33480.637799999997</v>
      </c>
      <c r="J41" s="55">
        <f>IF(J40&gt;0,$C40*J40,"")</f>
        <v>33480.637799999997</v>
      </c>
      <c r="K41" s="55"/>
      <c r="L41" s="55"/>
      <c r="M41" s="50" t="b">
        <f>SUM(E41:L41)=C40</f>
        <v>1</v>
      </c>
    </row>
    <row r="42" spans="1:13" s="53" customFormat="1" x14ac:dyDescent="0.3">
      <c r="A42" s="121"/>
      <c r="B42" s="122"/>
      <c r="C42" s="123"/>
      <c r="D42" s="124"/>
      <c r="E42" s="56"/>
      <c r="F42" s="56"/>
      <c r="G42" s="56"/>
      <c r="H42" s="56"/>
      <c r="I42" s="56"/>
      <c r="J42" s="56"/>
      <c r="K42" s="56"/>
      <c r="L42" s="56"/>
      <c r="M42" s="50"/>
    </row>
    <row r="43" spans="1:13" s="53" customFormat="1" x14ac:dyDescent="0.3">
      <c r="A43" s="121" t="str">
        <f>PLANILHA!A72</f>
        <v xml:space="preserve">1.9 </v>
      </c>
      <c r="B43" s="122" t="str">
        <f>PLANILHA!B72</f>
        <v>PINTURA</v>
      </c>
      <c r="C43" s="123">
        <f>PLANILHA!J72</f>
        <v>38162.8027</v>
      </c>
      <c r="D43" s="124">
        <f>IFERROR(C43/$C$93,0)</f>
        <v>5.8867845581074801E-2</v>
      </c>
      <c r="E43" s="54"/>
      <c r="F43" s="54"/>
      <c r="G43" s="54"/>
      <c r="H43" s="54"/>
      <c r="I43" s="54"/>
      <c r="J43" s="54"/>
      <c r="K43" s="54"/>
      <c r="L43" s="54">
        <v>1</v>
      </c>
      <c r="M43" s="52">
        <f>100%-SUM(E43:L43)</f>
        <v>0</v>
      </c>
    </row>
    <row r="44" spans="1:13" s="53" customFormat="1" x14ac:dyDescent="0.3">
      <c r="A44" s="121"/>
      <c r="B44" s="122"/>
      <c r="C44" s="123"/>
      <c r="D44" s="124"/>
      <c r="E44" s="55"/>
      <c r="F44" s="55"/>
      <c r="G44" s="55"/>
      <c r="H44" s="55"/>
      <c r="I44" s="55"/>
      <c r="J44" s="55" t="str">
        <f>IF(J43&gt;0,$C43*J43,"")</f>
        <v/>
      </c>
      <c r="K44" s="55"/>
      <c r="L44" s="55">
        <f>IF(L43&gt;0,$C43*L43,"")</f>
        <v>38162.8027</v>
      </c>
      <c r="M44" s="50" t="b">
        <f>SUM(E44:L44)=C43</f>
        <v>1</v>
      </c>
    </row>
    <row r="45" spans="1:13" s="53" customFormat="1" x14ac:dyDescent="0.3">
      <c r="A45" s="121"/>
      <c r="B45" s="122"/>
      <c r="C45" s="123"/>
      <c r="D45" s="124"/>
      <c r="E45" s="56"/>
      <c r="F45" s="56"/>
      <c r="G45" s="56"/>
      <c r="H45" s="56"/>
      <c r="I45" s="56"/>
      <c r="J45" s="56"/>
      <c r="K45" s="56"/>
      <c r="L45" s="56"/>
      <c r="M45" s="50"/>
    </row>
    <row r="46" spans="1:13" s="53" customFormat="1" x14ac:dyDescent="0.3">
      <c r="A46" s="121" t="str">
        <f>PLANILHA!A81</f>
        <v>1.10</v>
      </c>
      <c r="B46" s="122" t="str">
        <f>PLANILHA!B81</f>
        <v xml:space="preserve"> PAVIMENTAÇÃO</v>
      </c>
      <c r="C46" s="123">
        <f>PLANILHA!J81</f>
        <v>38334.375400000004</v>
      </c>
      <c r="D46" s="124">
        <f>IFERROR(C46/$C$93,0)</f>
        <v>5.9132504214480894E-2</v>
      </c>
      <c r="E46" s="54"/>
      <c r="F46" s="54"/>
      <c r="G46" s="54"/>
      <c r="H46" s="54">
        <v>0.4</v>
      </c>
      <c r="I46" s="54">
        <v>0.4</v>
      </c>
      <c r="J46" s="54">
        <v>0.2</v>
      </c>
      <c r="K46" s="54"/>
      <c r="L46" s="54"/>
      <c r="M46" s="52">
        <f>100%-SUM(E46:L46)</f>
        <v>0</v>
      </c>
    </row>
    <row r="47" spans="1:13" s="53" customFormat="1" x14ac:dyDescent="0.3">
      <c r="A47" s="121"/>
      <c r="B47" s="122"/>
      <c r="C47" s="123"/>
      <c r="D47" s="124"/>
      <c r="E47" s="55"/>
      <c r="F47" s="55"/>
      <c r="G47" s="55"/>
      <c r="H47" s="55">
        <f>IF(H46&gt;0,$C46*H46,"")</f>
        <v>15333.750160000003</v>
      </c>
      <c r="I47" s="55">
        <f>IF(I46&gt;0,$C46*I46,"")</f>
        <v>15333.750160000003</v>
      </c>
      <c r="J47" s="55">
        <f>IF(J46&gt;0,$C46*J46,"")</f>
        <v>7666.8750800000016</v>
      </c>
      <c r="K47" s="55" t="str">
        <f>IF(K46&gt;0,$C46*K46,"")</f>
        <v/>
      </c>
      <c r="L47" s="55"/>
      <c r="M47" s="50" t="b">
        <f>SUM(E47:L47)=C46</f>
        <v>1</v>
      </c>
    </row>
    <row r="48" spans="1:13" s="53" customFormat="1" x14ac:dyDescent="0.3">
      <c r="A48" s="121"/>
      <c r="B48" s="122"/>
      <c r="C48" s="123"/>
      <c r="D48" s="124"/>
      <c r="E48" s="56"/>
      <c r="F48" s="56"/>
      <c r="G48" s="56"/>
      <c r="H48" s="56"/>
      <c r="I48" s="56"/>
      <c r="J48" s="56"/>
      <c r="K48" s="56"/>
      <c r="L48" s="56"/>
      <c r="M48" s="50"/>
    </row>
    <row r="49" spans="1:13" s="53" customFormat="1" x14ac:dyDescent="0.3">
      <c r="A49" s="121" t="str">
        <f>PLANILHA!A90</f>
        <v>1.11</v>
      </c>
      <c r="B49" s="122" t="str">
        <f>PLANILHA!B90</f>
        <v>INSTALAÇÃO HIDRAULICAS - LOUCAS E METAIS</v>
      </c>
      <c r="C49" s="123">
        <f>PLANILHA!J90</f>
        <v>20524.554999999993</v>
      </c>
      <c r="D49" s="124">
        <f>IFERROR(C49/$C$93,0)</f>
        <v>3.1660052430066317E-2</v>
      </c>
      <c r="E49" s="54"/>
      <c r="F49" s="54"/>
      <c r="G49" s="54"/>
      <c r="H49" s="54">
        <v>0.3</v>
      </c>
      <c r="I49" s="54">
        <v>0.2</v>
      </c>
      <c r="J49" s="54"/>
      <c r="K49" s="54">
        <v>0.5</v>
      </c>
      <c r="L49" s="54"/>
      <c r="M49" s="52">
        <f>100%-SUM(E49:L49)</f>
        <v>0</v>
      </c>
    </row>
    <row r="50" spans="1:13" s="53" customFormat="1" x14ac:dyDescent="0.3">
      <c r="A50" s="121"/>
      <c r="B50" s="122"/>
      <c r="C50" s="123"/>
      <c r="D50" s="124"/>
      <c r="E50" s="55"/>
      <c r="F50" s="55"/>
      <c r="G50" s="55"/>
      <c r="H50" s="55">
        <f>IF(H49&gt;0,$C49*H49,"")</f>
        <v>6157.3664999999974</v>
      </c>
      <c r="I50" s="55">
        <f>IF(I49&gt;0,$C49*I49,"")</f>
        <v>4104.9109999999991</v>
      </c>
      <c r="J50" s="55"/>
      <c r="K50" s="55">
        <f>IF(K49&gt;0,$C49*K49,"")</f>
        <v>10262.277499999997</v>
      </c>
      <c r="L50" s="55"/>
      <c r="M50" s="50" t="b">
        <f>SUM(E50:L50)=C49</f>
        <v>1</v>
      </c>
    </row>
    <row r="51" spans="1:13" s="53" customFormat="1" x14ac:dyDescent="0.3">
      <c r="A51" s="121"/>
      <c r="B51" s="122"/>
      <c r="C51" s="123"/>
      <c r="D51" s="124"/>
      <c r="E51" s="56"/>
      <c r="F51" s="56"/>
      <c r="G51" s="56"/>
      <c r="H51" s="56"/>
      <c r="I51" s="56"/>
      <c r="J51" s="56"/>
      <c r="K51" s="56"/>
      <c r="L51" s="56"/>
      <c r="M51" s="50"/>
    </row>
    <row r="52" spans="1:13" s="53" customFormat="1" ht="15" customHeight="1" x14ac:dyDescent="0.3">
      <c r="A52" s="121" t="str">
        <f>PLANILHA!A115</f>
        <v xml:space="preserve">1.12 </v>
      </c>
      <c r="B52" s="122" t="str">
        <f>PLANILHA!B115</f>
        <v>INSTALAÇÃO SANITARIAS</v>
      </c>
      <c r="C52" s="123">
        <f>PLANILHA!J115</f>
        <v>4922.579999999999</v>
      </c>
      <c r="D52" s="124">
        <f>IFERROR(C52/$C$93,0)</f>
        <v>7.5933018226799981E-3</v>
      </c>
      <c r="E52" s="54">
        <v>0.1</v>
      </c>
      <c r="F52" s="54"/>
      <c r="G52" s="54"/>
      <c r="H52" s="54"/>
      <c r="I52" s="54"/>
      <c r="J52" s="54">
        <v>0.8</v>
      </c>
      <c r="K52" s="54">
        <v>0.1</v>
      </c>
      <c r="L52" s="54"/>
      <c r="M52" s="52">
        <f>100%-SUM(E52:L52)</f>
        <v>0</v>
      </c>
    </row>
    <row r="53" spans="1:13" s="53" customFormat="1" x14ac:dyDescent="0.3">
      <c r="A53" s="121"/>
      <c r="B53" s="122"/>
      <c r="C53" s="123"/>
      <c r="D53" s="124"/>
      <c r="E53" s="55">
        <f>IF(E52&gt;0,$C52*E52,"")</f>
        <v>492.25799999999992</v>
      </c>
      <c r="F53" s="55"/>
      <c r="G53" s="55"/>
      <c r="H53" s="55"/>
      <c r="I53" s="55"/>
      <c r="J53" s="55">
        <f>IF(J52&gt;0,$C52*J52,"")</f>
        <v>3938.0639999999994</v>
      </c>
      <c r="K53" s="55">
        <f>IF(K52&gt;0,$C52*K52,"")</f>
        <v>492.25799999999992</v>
      </c>
      <c r="L53" s="55"/>
      <c r="M53" s="50" t="b">
        <f>SUM(E53:L53)=C52</f>
        <v>1</v>
      </c>
    </row>
    <row r="54" spans="1:13" s="53" customFormat="1" x14ac:dyDescent="0.3">
      <c r="A54" s="121"/>
      <c r="B54" s="122"/>
      <c r="C54" s="123"/>
      <c r="D54" s="124"/>
      <c r="E54" s="56"/>
      <c r="F54" s="56"/>
      <c r="G54" s="56"/>
      <c r="H54" s="56"/>
      <c r="I54" s="56"/>
      <c r="J54" s="56"/>
      <c r="K54" s="56"/>
      <c r="L54" s="56"/>
      <c r="M54" s="50"/>
    </row>
    <row r="55" spans="1:13" s="53" customFormat="1" x14ac:dyDescent="0.3">
      <c r="A55" s="121" t="str">
        <f>PLANILHA!A124</f>
        <v xml:space="preserve">1.13 </v>
      </c>
      <c r="B55" s="122" t="str">
        <f>PLANILHA!B124</f>
        <v>INSTALAÇÕES ELÉTRICAS, TELEFÔNICAS E MECÂNICAS</v>
      </c>
      <c r="C55" s="123">
        <f>PLANILHA!J124</f>
        <v>27356.5</v>
      </c>
      <c r="D55" s="124">
        <f>IFERROR(C55/$C$93,0)</f>
        <v>4.2198635941344868E-2</v>
      </c>
      <c r="E55" s="54"/>
      <c r="F55" s="54"/>
      <c r="G55" s="54"/>
      <c r="H55" s="54">
        <v>0.2</v>
      </c>
      <c r="I55" s="54"/>
      <c r="J55" s="54">
        <v>0.7</v>
      </c>
      <c r="K55" s="54">
        <v>0.1</v>
      </c>
      <c r="L55" s="54"/>
      <c r="M55" s="52">
        <f>100%-SUM(E55:L55)</f>
        <v>0</v>
      </c>
    </row>
    <row r="56" spans="1:13" s="53" customFormat="1" x14ac:dyDescent="0.3">
      <c r="A56" s="121"/>
      <c r="B56" s="122"/>
      <c r="C56" s="123"/>
      <c r="D56" s="124"/>
      <c r="E56" s="55"/>
      <c r="F56" s="55"/>
      <c r="G56" s="55"/>
      <c r="H56" s="55">
        <f>IF(H55&gt;0,$C55*H55,"")</f>
        <v>5471.3</v>
      </c>
      <c r="I56" s="55"/>
      <c r="J56" s="55">
        <f>IF(J55&gt;0,$C55*J55,"")</f>
        <v>19149.55</v>
      </c>
      <c r="K56" s="55">
        <f>IF(K55&gt;0,$C55*K55,"")</f>
        <v>2735.65</v>
      </c>
      <c r="L56" s="55" t="str">
        <f>IF(L55&gt;0,$C55*L55,"")</f>
        <v/>
      </c>
      <c r="M56" s="50" t="b">
        <f>SUM(E56:L56)=C55</f>
        <v>1</v>
      </c>
    </row>
    <row r="57" spans="1:13" s="53" customFormat="1" x14ac:dyDescent="0.3">
      <c r="A57" s="121"/>
      <c r="B57" s="122"/>
      <c r="C57" s="123"/>
      <c r="D57" s="124"/>
      <c r="E57" s="56"/>
      <c r="F57" s="56"/>
      <c r="G57" s="56"/>
      <c r="H57" s="56"/>
      <c r="I57" s="56"/>
      <c r="J57" s="56"/>
      <c r="K57" s="56"/>
      <c r="L57" s="56"/>
      <c r="M57" s="50"/>
    </row>
    <row r="58" spans="1:13" s="53" customFormat="1" ht="15" customHeight="1" x14ac:dyDescent="0.3">
      <c r="A58" s="121" t="str">
        <f>PLANILHA!A149</f>
        <v xml:space="preserve">1.14 </v>
      </c>
      <c r="B58" s="122" t="str">
        <f>PLANILHA!B149</f>
        <v>ELEMENTOS DECORATIVOS, MOBILIARIO</v>
      </c>
      <c r="C58" s="123">
        <f>PLANILHA!J149</f>
        <v>7637.2927999999993</v>
      </c>
      <c r="D58" s="124">
        <f>IFERROR(C58/$C$93,0)</f>
        <v>1.1780868840847855E-2</v>
      </c>
      <c r="E58" s="54"/>
      <c r="F58" s="54"/>
      <c r="G58" s="54"/>
      <c r="H58" s="54"/>
      <c r="I58" s="54"/>
      <c r="J58" s="54"/>
      <c r="K58" s="54"/>
      <c r="L58" s="54">
        <v>1</v>
      </c>
      <c r="M58" s="52">
        <f>100%-SUM(E58:L58)</f>
        <v>0</v>
      </c>
    </row>
    <row r="59" spans="1:13" s="53" customFormat="1" x14ac:dyDescent="0.3">
      <c r="A59" s="121"/>
      <c r="B59" s="122"/>
      <c r="C59" s="123"/>
      <c r="D59" s="124"/>
      <c r="E59" s="55"/>
      <c r="F59" s="55"/>
      <c r="G59" s="55"/>
      <c r="H59" s="55"/>
      <c r="I59" s="55"/>
      <c r="J59" s="55"/>
      <c r="K59" s="55"/>
      <c r="L59" s="55">
        <f>IF(L58&gt;0,$C58*L58,"")</f>
        <v>7637.2927999999993</v>
      </c>
      <c r="M59" s="50" t="b">
        <f>SUM(E59:L59)=C58</f>
        <v>1</v>
      </c>
    </row>
    <row r="60" spans="1:13" s="53" customFormat="1" x14ac:dyDescent="0.3">
      <c r="A60" s="121"/>
      <c r="B60" s="122"/>
      <c r="C60" s="123"/>
      <c r="D60" s="124"/>
      <c r="E60" s="56"/>
      <c r="F60" s="56"/>
      <c r="G60" s="56"/>
      <c r="H60" s="56"/>
      <c r="I60" s="56"/>
      <c r="J60" s="56"/>
      <c r="K60" s="56"/>
      <c r="L60" s="56"/>
      <c r="M60" s="50"/>
    </row>
    <row r="61" spans="1:13" s="53" customFormat="1" x14ac:dyDescent="0.3">
      <c r="A61" s="121" t="str">
        <f>PLANILHA!A157</f>
        <v xml:space="preserve">1.15 </v>
      </c>
      <c r="B61" s="122" t="str">
        <f>PLANILHA!B157</f>
        <v>LIMPEZA, ENTREGA DE OBRA</v>
      </c>
      <c r="C61" s="123">
        <f>PLANILHA!J157</f>
        <v>2055.0042000000003</v>
      </c>
      <c r="D61" s="124">
        <f>IFERROR(C61/$C$93,0)</f>
        <v>3.1699367277880819E-3</v>
      </c>
      <c r="E61" s="54"/>
      <c r="F61" s="54"/>
      <c r="G61" s="54"/>
      <c r="H61" s="54"/>
      <c r="I61" s="54"/>
      <c r="J61" s="54"/>
      <c r="K61" s="54"/>
      <c r="L61" s="54">
        <v>1</v>
      </c>
      <c r="M61" s="52">
        <f>100%-SUM(E61:L61)</f>
        <v>0</v>
      </c>
    </row>
    <row r="62" spans="1:13" s="53" customFormat="1" x14ac:dyDescent="0.3">
      <c r="A62" s="121"/>
      <c r="B62" s="122"/>
      <c r="C62" s="123"/>
      <c r="D62" s="124"/>
      <c r="E62" s="55"/>
      <c r="F62" s="55"/>
      <c r="G62" s="55"/>
      <c r="H62" s="55"/>
      <c r="I62" s="55"/>
      <c r="J62" s="55"/>
      <c r="K62" s="55"/>
      <c r="L62" s="55">
        <f>IF(L61&gt;0,$C61*L61,"")</f>
        <v>2055.0042000000003</v>
      </c>
      <c r="M62" s="50" t="b">
        <f>SUM(E62:L62)=C61</f>
        <v>1</v>
      </c>
    </row>
    <row r="63" spans="1:13" s="53" customFormat="1" ht="14.25" customHeight="1" x14ac:dyDescent="0.3">
      <c r="A63" s="121"/>
      <c r="B63" s="122"/>
      <c r="C63" s="123"/>
      <c r="D63" s="124"/>
      <c r="E63" s="56"/>
      <c r="F63" s="56"/>
      <c r="G63" s="56"/>
      <c r="H63" s="56"/>
      <c r="I63" s="56"/>
      <c r="J63" s="56"/>
      <c r="K63" s="56"/>
      <c r="L63" s="56"/>
      <c r="M63" s="50"/>
    </row>
    <row r="64" spans="1:13" s="53" customFormat="1" ht="14.25" customHeight="1" x14ac:dyDescent="0.3">
      <c r="A64" s="111">
        <v>2</v>
      </c>
      <c r="B64" s="109" t="str">
        <f>PLANILHA!B160</f>
        <v xml:space="preserve"> ETAPA 02: RECREIO COBERTO</v>
      </c>
      <c r="C64" s="107"/>
      <c r="D64" s="109"/>
      <c r="E64" s="109"/>
      <c r="F64" s="109"/>
      <c r="G64" s="109"/>
      <c r="H64" s="109"/>
      <c r="I64" s="109"/>
      <c r="J64" s="109"/>
      <c r="K64" s="109"/>
      <c r="L64" s="110"/>
      <c r="M64" s="50"/>
    </row>
    <row r="65" spans="1:13" s="53" customFormat="1" x14ac:dyDescent="0.3">
      <c r="A65" s="121" t="str">
        <f>PLANILHA!A161</f>
        <v xml:space="preserve">2.1 </v>
      </c>
      <c r="B65" s="122" t="str">
        <f>PLANILHA!B161</f>
        <v xml:space="preserve">SERVIÇOS PRELIMINARES </v>
      </c>
      <c r="C65" s="123">
        <f>PLANILHA!J161</f>
        <v>1165.1199999999999</v>
      </c>
      <c r="D65" s="124">
        <f>IFERROR(C65/$C$93,0)</f>
        <v>1.7972501858051916E-3</v>
      </c>
      <c r="E65" s="54">
        <v>1</v>
      </c>
      <c r="F65" s="54"/>
      <c r="G65" s="54"/>
      <c r="H65" s="54"/>
      <c r="I65" s="54"/>
      <c r="J65" s="54"/>
      <c r="K65" s="54"/>
      <c r="L65" s="54"/>
      <c r="M65" s="52">
        <f>100%-SUM(E65:L65)</f>
        <v>0</v>
      </c>
    </row>
    <row r="66" spans="1:13" s="53" customFormat="1" x14ac:dyDescent="0.3">
      <c r="A66" s="121"/>
      <c r="B66" s="122"/>
      <c r="C66" s="123"/>
      <c r="D66" s="124"/>
      <c r="E66" s="55">
        <f>IF(E65&gt;0,$C65*E65,"")</f>
        <v>1165.1199999999999</v>
      </c>
      <c r="F66" s="55"/>
      <c r="G66" s="55"/>
      <c r="H66" s="55"/>
      <c r="I66" s="55"/>
      <c r="J66" s="55"/>
      <c r="K66" s="55"/>
      <c r="L66" s="55" t="str">
        <f>IF(L65&gt;0,$C65*L65,"")</f>
        <v/>
      </c>
      <c r="M66" s="50" t="b">
        <f>SUM(E66:L66)=C65</f>
        <v>1</v>
      </c>
    </row>
    <row r="67" spans="1:13" s="53" customFormat="1" x14ac:dyDescent="0.3">
      <c r="A67" s="121"/>
      <c r="B67" s="122"/>
      <c r="C67" s="123"/>
      <c r="D67" s="124"/>
      <c r="E67" s="56"/>
      <c r="F67" s="56"/>
      <c r="G67" s="56"/>
      <c r="H67" s="56"/>
      <c r="I67" s="56"/>
      <c r="J67" s="56"/>
      <c r="K67" s="56"/>
      <c r="L67" s="56"/>
      <c r="M67" s="50"/>
    </row>
    <row r="68" spans="1:13" s="53" customFormat="1" ht="15.75" customHeight="1" x14ac:dyDescent="0.3">
      <c r="A68" s="121" t="str">
        <f>PLANILHA!A163</f>
        <v xml:space="preserve">2.2 </v>
      </c>
      <c r="B68" s="122" t="str">
        <f>PLANILHA!B163</f>
        <v>MOVIMENTO DE TERRA</v>
      </c>
      <c r="C68" s="123">
        <f>PLANILHA!J163</f>
        <v>1010.024</v>
      </c>
      <c r="D68" s="124">
        <f>IFERROR(C68/$C$93,0)</f>
        <v>1.5580076057982895E-3</v>
      </c>
      <c r="E68" s="54">
        <v>1</v>
      </c>
      <c r="F68" s="54"/>
      <c r="G68" s="54"/>
      <c r="H68" s="54"/>
      <c r="I68" s="54"/>
      <c r="J68" s="54"/>
      <c r="K68" s="54"/>
      <c r="L68" s="54"/>
      <c r="M68" s="52">
        <f>100%-SUM(E68:L68)</f>
        <v>0</v>
      </c>
    </row>
    <row r="69" spans="1:13" s="53" customFormat="1" x14ac:dyDescent="0.3">
      <c r="A69" s="121"/>
      <c r="B69" s="122"/>
      <c r="C69" s="123"/>
      <c r="D69" s="124"/>
      <c r="E69" s="55">
        <f>IF(E68&gt;0,$C68*E68,"")</f>
        <v>1010.024</v>
      </c>
      <c r="F69" s="55"/>
      <c r="G69" s="55"/>
      <c r="H69" s="55"/>
      <c r="I69" s="55"/>
      <c r="J69" s="55"/>
      <c r="K69" s="55"/>
      <c r="L69" s="55" t="str">
        <f>IF(L68&gt;0,$C68*L68,"")</f>
        <v/>
      </c>
      <c r="M69" s="50" t="b">
        <f>SUM(E69:L69)=C68</f>
        <v>1</v>
      </c>
    </row>
    <row r="70" spans="1:13" s="53" customFormat="1" x14ac:dyDescent="0.3">
      <c r="A70" s="121"/>
      <c r="B70" s="122"/>
      <c r="C70" s="123"/>
      <c r="D70" s="124"/>
      <c r="E70" s="56"/>
      <c r="F70" s="56"/>
      <c r="G70" s="56"/>
      <c r="H70" s="56"/>
      <c r="I70" s="56"/>
      <c r="J70" s="56"/>
      <c r="K70" s="56"/>
      <c r="L70" s="56"/>
      <c r="M70" s="50"/>
    </row>
    <row r="71" spans="1:13" s="53" customFormat="1" x14ac:dyDescent="0.3">
      <c r="A71" s="121" t="str">
        <f>PLANILHA!A166</f>
        <v xml:space="preserve">2.3 </v>
      </c>
      <c r="B71" s="122" t="str">
        <f>PLANILHA!B166</f>
        <v>FUNDAÇÃO</v>
      </c>
      <c r="C71" s="123">
        <f>PLANILHA!J166</f>
        <v>3841.8999999999996</v>
      </c>
      <c r="D71" s="124">
        <f>IFERROR(C71/$C$93,0)</f>
        <v>5.9263041479375219E-3</v>
      </c>
      <c r="E71" s="54"/>
      <c r="F71" s="54">
        <v>1</v>
      </c>
      <c r="G71" s="54"/>
      <c r="H71" s="54"/>
      <c r="I71" s="54"/>
      <c r="J71" s="54"/>
      <c r="K71" s="54"/>
      <c r="L71" s="54"/>
      <c r="M71" s="52">
        <f>100%-SUM(E71:L71)</f>
        <v>0</v>
      </c>
    </row>
    <row r="72" spans="1:13" s="53" customFormat="1" x14ac:dyDescent="0.3">
      <c r="A72" s="121"/>
      <c r="B72" s="122"/>
      <c r="C72" s="123"/>
      <c r="D72" s="124"/>
      <c r="E72" s="55"/>
      <c r="F72" s="55">
        <f>IF(F71&gt;0,$C71*F71,"")</f>
        <v>3841.8999999999996</v>
      </c>
      <c r="G72" s="55"/>
      <c r="H72" s="55" t="str">
        <f>IF(H71&gt;0,$C71*H71,"")</f>
        <v/>
      </c>
      <c r="I72" s="55"/>
      <c r="J72" s="55"/>
      <c r="K72" s="55"/>
      <c r="L72" s="55" t="str">
        <f>IF(L71&gt;0,$C71*L71,"")</f>
        <v/>
      </c>
      <c r="M72" s="50" t="b">
        <f>SUM(E72:L72)=C71</f>
        <v>1</v>
      </c>
    </row>
    <row r="73" spans="1:13" s="53" customFormat="1" x14ac:dyDescent="0.3">
      <c r="A73" s="121"/>
      <c r="B73" s="122"/>
      <c r="C73" s="123"/>
      <c r="D73" s="124"/>
      <c r="E73" s="56"/>
      <c r="F73" s="56"/>
      <c r="G73" s="56"/>
      <c r="H73" s="56"/>
      <c r="I73" s="56"/>
      <c r="J73" s="56"/>
      <c r="K73" s="56"/>
      <c r="L73" s="56"/>
      <c r="M73" s="50"/>
    </row>
    <row r="74" spans="1:13" s="53" customFormat="1" x14ac:dyDescent="0.3">
      <c r="A74" s="121" t="str">
        <f>PLANILHA!A170</f>
        <v xml:space="preserve">2.4 </v>
      </c>
      <c r="B74" s="122" t="str">
        <f>PLANILHA!B170</f>
        <v xml:space="preserve">ESTRUTURA </v>
      </c>
      <c r="C74" s="123">
        <f>PLANILHA!J170</f>
        <v>1278.0739999999998</v>
      </c>
      <c r="D74" s="124">
        <f>IFERROR(C74/$C$93,0)</f>
        <v>1.9714868288011403E-3</v>
      </c>
      <c r="E74" s="54"/>
      <c r="F74" s="54"/>
      <c r="G74" s="54"/>
      <c r="H74" s="54">
        <v>1</v>
      </c>
      <c r="I74" s="54"/>
      <c r="J74" s="54"/>
      <c r="K74" s="54"/>
      <c r="L74" s="54"/>
      <c r="M74" s="52">
        <f>100%-SUM(E74:L74)</f>
        <v>0</v>
      </c>
    </row>
    <row r="75" spans="1:13" s="53" customFormat="1" x14ac:dyDescent="0.3">
      <c r="A75" s="121"/>
      <c r="B75" s="122"/>
      <c r="C75" s="123"/>
      <c r="D75" s="124"/>
      <c r="E75" s="55"/>
      <c r="F75" s="55"/>
      <c r="G75" s="55"/>
      <c r="H75" s="55">
        <f>IF(H74&gt;0,$C74*H74,"")</f>
        <v>1278.0739999999998</v>
      </c>
      <c r="I75" s="55"/>
      <c r="J75" s="55"/>
      <c r="K75" s="55"/>
      <c r="L75" s="55" t="str">
        <f>IF(L74&gt;0,$C74*L74,"")</f>
        <v/>
      </c>
      <c r="M75" s="50" t="b">
        <f>SUM(E75:L75)=C74</f>
        <v>1</v>
      </c>
    </row>
    <row r="76" spans="1:13" s="53" customFormat="1" x14ac:dyDescent="0.3">
      <c r="A76" s="121"/>
      <c r="B76" s="122"/>
      <c r="C76" s="123"/>
      <c r="D76" s="124"/>
      <c r="E76" s="56"/>
      <c r="F76" s="56"/>
      <c r="G76" s="56"/>
      <c r="H76" s="56"/>
      <c r="I76" s="56"/>
      <c r="J76" s="56"/>
      <c r="K76" s="56"/>
      <c r="L76" s="56"/>
      <c r="M76" s="50"/>
    </row>
    <row r="77" spans="1:13" s="53" customFormat="1" x14ac:dyDescent="0.3">
      <c r="A77" s="121" t="str">
        <f>PLANILHA!A172</f>
        <v xml:space="preserve">2.5 </v>
      </c>
      <c r="B77" s="122" t="str">
        <f>PLANILHA!B172</f>
        <v>ALVENARIA</v>
      </c>
      <c r="C77" s="123">
        <f>PLANILHA!J172</f>
        <v>255.65</v>
      </c>
      <c r="D77" s="124">
        <f>IFERROR(C77/$C$93,0)</f>
        <v>3.9435166334892313E-4</v>
      </c>
      <c r="E77" s="54"/>
      <c r="F77" s="54">
        <v>0.5</v>
      </c>
      <c r="G77" s="54">
        <v>0.5</v>
      </c>
      <c r="H77" s="54"/>
      <c r="I77" s="54"/>
      <c r="J77" s="54"/>
      <c r="K77" s="54"/>
      <c r="L77" s="54"/>
      <c r="M77" s="52">
        <f>100%-SUM(E77:L77)</f>
        <v>0</v>
      </c>
    </row>
    <row r="78" spans="1:13" s="53" customFormat="1" x14ac:dyDescent="0.3">
      <c r="A78" s="121"/>
      <c r="B78" s="122"/>
      <c r="C78" s="123"/>
      <c r="D78" s="124"/>
      <c r="E78" s="55"/>
      <c r="F78" s="55">
        <f>IF(F77&gt;0,$C77*F77,"")</f>
        <v>127.825</v>
      </c>
      <c r="G78" s="55">
        <f>IF(G77&gt;0,$C77*G77,"")</f>
        <v>127.825</v>
      </c>
      <c r="H78" s="55"/>
      <c r="I78" s="55"/>
      <c r="J78" s="55"/>
      <c r="K78" s="55"/>
      <c r="L78" s="55" t="str">
        <f>IF(L77&gt;0,$C77*L77,"")</f>
        <v/>
      </c>
      <c r="M78" s="50" t="b">
        <f>SUM(E78:L78)=C77</f>
        <v>1</v>
      </c>
    </row>
    <row r="79" spans="1:13" s="53" customFormat="1" x14ac:dyDescent="0.3">
      <c r="A79" s="121"/>
      <c r="B79" s="122"/>
      <c r="C79" s="123"/>
      <c r="D79" s="124"/>
      <c r="E79" s="56"/>
      <c r="F79" s="56"/>
      <c r="G79" s="56"/>
      <c r="H79" s="56"/>
      <c r="I79" s="56"/>
      <c r="J79" s="56"/>
      <c r="K79" s="56"/>
      <c r="L79" s="56"/>
      <c r="M79" s="50"/>
    </row>
    <row r="80" spans="1:13" s="53" customFormat="1" x14ac:dyDescent="0.3">
      <c r="A80" s="121" t="str">
        <f>PLANILHA!A174</f>
        <v xml:space="preserve">2.6 </v>
      </c>
      <c r="B80" s="122" t="str">
        <f>PLANILHA!B174</f>
        <v>COBERTA</v>
      </c>
      <c r="C80" s="123">
        <f>PLANILHA!J174</f>
        <v>3504.9420000000005</v>
      </c>
      <c r="D80" s="124">
        <f>IFERROR(C80/$C$93,0)</f>
        <v>5.4065312248836352E-3</v>
      </c>
      <c r="E80" s="54"/>
      <c r="F80" s="54"/>
      <c r="G80" s="54"/>
      <c r="H80" s="54">
        <v>1</v>
      </c>
      <c r="I80" s="54"/>
      <c r="J80" s="54"/>
      <c r="K80" s="54"/>
      <c r="L80" s="54"/>
      <c r="M80" s="52">
        <f>100%-SUM(E80:L80)</f>
        <v>0</v>
      </c>
    </row>
    <row r="81" spans="1:13" s="53" customFormat="1" x14ac:dyDescent="0.3">
      <c r="A81" s="121"/>
      <c r="B81" s="122"/>
      <c r="C81" s="123"/>
      <c r="D81" s="124"/>
      <c r="E81" s="55"/>
      <c r="F81" s="55"/>
      <c r="G81" s="55"/>
      <c r="H81" s="55">
        <f>IF(H80&gt;0,$C80*H80,"")</f>
        <v>3504.9420000000005</v>
      </c>
      <c r="I81" s="55"/>
      <c r="J81" s="55"/>
      <c r="K81" s="55"/>
      <c r="L81" s="55" t="str">
        <f>IF(L80&gt;0,$C80*L80,"")</f>
        <v/>
      </c>
      <c r="M81" s="50" t="b">
        <f>SUM(E81:L81)=C80</f>
        <v>1</v>
      </c>
    </row>
    <row r="82" spans="1:13" s="53" customFormat="1" x14ac:dyDescent="0.3">
      <c r="A82" s="121"/>
      <c r="B82" s="122"/>
      <c r="C82" s="123"/>
      <c r="D82" s="124"/>
      <c r="E82" s="56"/>
      <c r="F82" s="56"/>
      <c r="G82" s="56"/>
      <c r="H82" s="56"/>
      <c r="I82" s="56"/>
      <c r="J82" s="56"/>
      <c r="K82" s="56"/>
      <c r="L82" s="56"/>
      <c r="M82" s="50"/>
    </row>
    <row r="83" spans="1:13" s="53" customFormat="1" x14ac:dyDescent="0.3">
      <c r="A83" s="121" t="str">
        <f>PLANILHA!A179</f>
        <v xml:space="preserve">2.7 </v>
      </c>
      <c r="B83" s="122" t="str">
        <f>PLANILHA!B179</f>
        <v>REVESTIMENTO</v>
      </c>
      <c r="C83" s="123">
        <f>PLANILHA!J179</f>
        <v>4838.8566000000001</v>
      </c>
      <c r="D83" s="124">
        <f>IFERROR(C83/$C$93,0)</f>
        <v>7.4641546994598656E-3</v>
      </c>
      <c r="E83" s="54"/>
      <c r="F83" s="54"/>
      <c r="G83" s="54"/>
      <c r="H83" s="54">
        <v>0.5</v>
      </c>
      <c r="I83" s="54">
        <v>0.5</v>
      </c>
      <c r="J83" s="54"/>
      <c r="K83" s="54"/>
      <c r="L83" s="54"/>
      <c r="M83" s="52">
        <f>100%-SUM(E83:L83)</f>
        <v>0</v>
      </c>
    </row>
    <row r="84" spans="1:13" s="53" customFormat="1" x14ac:dyDescent="0.3">
      <c r="A84" s="121"/>
      <c r="B84" s="122"/>
      <c r="C84" s="123"/>
      <c r="D84" s="124"/>
      <c r="E84" s="55"/>
      <c r="F84" s="55"/>
      <c r="G84" s="55"/>
      <c r="H84" s="55">
        <f>IF(H83&gt;0,$C83*H83,"")</f>
        <v>2419.4283</v>
      </c>
      <c r="I84" s="55">
        <f>IF(I83&gt;0,$C83*I83,"")</f>
        <v>2419.4283</v>
      </c>
      <c r="J84" s="55"/>
      <c r="K84" s="55"/>
      <c r="L84" s="55" t="str">
        <f>IF(L83&gt;0,$C83*L83,"")</f>
        <v/>
      </c>
      <c r="M84" s="50" t="b">
        <f>SUM(E84:L84)=C83</f>
        <v>1</v>
      </c>
    </row>
    <row r="85" spans="1:13" s="53" customFormat="1" x14ac:dyDescent="0.3">
      <c r="A85" s="121"/>
      <c r="B85" s="122"/>
      <c r="C85" s="123"/>
      <c r="D85" s="124"/>
      <c r="E85" s="56"/>
      <c r="F85" s="56"/>
      <c r="G85" s="56"/>
      <c r="H85" s="56"/>
      <c r="I85" s="56"/>
      <c r="J85" s="56"/>
      <c r="K85" s="56"/>
      <c r="L85" s="56"/>
      <c r="M85" s="50"/>
    </row>
    <row r="86" spans="1:13" s="53" customFormat="1" x14ac:dyDescent="0.3">
      <c r="A86" s="121" t="str">
        <f>PLANILHA!A183</f>
        <v xml:space="preserve">2.8 </v>
      </c>
      <c r="B86" s="122" t="str">
        <f>PLANILHA!B183</f>
        <v>PISOS</v>
      </c>
      <c r="C86" s="123">
        <f>PLANILHA!J183</f>
        <v>3183.29</v>
      </c>
      <c r="D86" s="124">
        <f>IFERROR(C86/$C$93,0)</f>
        <v>4.9103684976412806E-3</v>
      </c>
      <c r="E86" s="54"/>
      <c r="F86" s="54"/>
      <c r="G86" s="54"/>
      <c r="H86" s="54"/>
      <c r="I86" s="54">
        <v>1</v>
      </c>
      <c r="J86" s="54"/>
      <c r="K86" s="54"/>
      <c r="L86" s="54"/>
      <c r="M86" s="52">
        <f>100%-SUM(E86:L86)</f>
        <v>0</v>
      </c>
    </row>
    <row r="87" spans="1:13" s="53" customFormat="1" x14ac:dyDescent="0.3">
      <c r="A87" s="121"/>
      <c r="B87" s="122"/>
      <c r="C87" s="123"/>
      <c r="D87" s="124"/>
      <c r="E87" s="55"/>
      <c r="F87" s="55"/>
      <c r="G87" s="55"/>
      <c r="H87" s="55"/>
      <c r="I87" s="55">
        <f>IF(I86&gt;0,$C86*I86,"")</f>
        <v>3183.29</v>
      </c>
      <c r="J87" s="55"/>
      <c r="K87" s="55"/>
      <c r="L87" s="55" t="str">
        <f>IF(L86&gt;0,$C86*L86,"")</f>
        <v/>
      </c>
      <c r="M87" s="50" t="b">
        <f>SUM(E87:L87)=C86</f>
        <v>1</v>
      </c>
    </row>
    <row r="88" spans="1:13" s="53" customFormat="1" x14ac:dyDescent="0.3">
      <c r="A88" s="121"/>
      <c r="B88" s="122"/>
      <c r="C88" s="123"/>
      <c r="D88" s="124"/>
      <c r="E88" s="56"/>
      <c r="F88" s="56"/>
      <c r="G88" s="56"/>
      <c r="H88" s="56"/>
      <c r="I88" s="56"/>
      <c r="J88" s="56"/>
      <c r="K88" s="56"/>
      <c r="L88" s="56"/>
      <c r="M88" s="50"/>
    </row>
    <row r="89" spans="1:13" s="53" customFormat="1" ht="15.75" customHeight="1" x14ac:dyDescent="0.3">
      <c r="A89" s="121" t="str">
        <f>PLANILHA!A187</f>
        <v xml:space="preserve">2.9 </v>
      </c>
      <c r="B89" s="122" t="str">
        <f>PLANILHA!B187</f>
        <v>INSTALAÇÃO ELETRICA</v>
      </c>
      <c r="C89" s="123">
        <f>PLANILHA!J187</f>
        <v>2430.9776000000002</v>
      </c>
      <c r="D89" s="124">
        <f>IFERROR(C89/$C$93,0)</f>
        <v>3.7498926662388934E-3</v>
      </c>
      <c r="E89" s="54">
        <v>0.1</v>
      </c>
      <c r="F89" s="54"/>
      <c r="G89" s="54">
        <v>0.3</v>
      </c>
      <c r="H89" s="54">
        <v>0.6</v>
      </c>
      <c r="I89" s="54"/>
      <c r="J89" s="54"/>
      <c r="K89" s="54"/>
      <c r="L89" s="54"/>
      <c r="M89" s="52">
        <f>100%-SUM(E89:L89)</f>
        <v>0</v>
      </c>
    </row>
    <row r="90" spans="1:13" s="53" customFormat="1" x14ac:dyDescent="0.3">
      <c r="A90" s="121"/>
      <c r="B90" s="122"/>
      <c r="C90" s="123"/>
      <c r="D90" s="124"/>
      <c r="E90" s="55">
        <f>IF(E89&gt;0,$C89*E89,"")</f>
        <v>243.09776000000002</v>
      </c>
      <c r="F90" s="55"/>
      <c r="G90" s="55">
        <f>IF(G89&gt;0,$C89*G89,"")</f>
        <v>729.29327999999998</v>
      </c>
      <c r="H90" s="55">
        <f>IF(H89&gt;0,$C89*H89,"")</f>
        <v>1458.58656</v>
      </c>
      <c r="I90" s="55"/>
      <c r="J90" s="55"/>
      <c r="K90" s="55"/>
      <c r="L90" s="55" t="str">
        <f>IF(L89&gt;0,$C89*L89,"")</f>
        <v/>
      </c>
      <c r="M90" s="50" t="b">
        <f>SUM(E90:L90)=C89</f>
        <v>1</v>
      </c>
    </row>
    <row r="91" spans="1:13" s="53" customFormat="1" x14ac:dyDescent="0.3">
      <c r="A91" s="121"/>
      <c r="B91" s="122"/>
      <c r="C91" s="123"/>
      <c r="D91" s="124"/>
      <c r="E91" s="56"/>
      <c r="F91" s="56"/>
      <c r="G91" s="56"/>
      <c r="H91" s="56"/>
      <c r="I91" s="56"/>
      <c r="J91" s="56"/>
      <c r="K91" s="56"/>
      <c r="L91" s="56"/>
      <c r="M91" s="50"/>
    </row>
    <row r="92" spans="1:13" s="53" customFormat="1" x14ac:dyDescent="0.3">
      <c r="A92" s="58"/>
      <c r="B92" s="58"/>
      <c r="C92" s="59"/>
      <c r="D92" s="58"/>
      <c r="E92" s="58"/>
      <c r="F92" s="58"/>
      <c r="G92" s="58"/>
      <c r="H92" s="58"/>
      <c r="I92" s="58"/>
      <c r="J92" s="58"/>
      <c r="K92" s="58"/>
      <c r="L92" s="58"/>
      <c r="M92" s="50"/>
    </row>
    <row r="93" spans="1:13" s="53" customFormat="1" x14ac:dyDescent="0.3">
      <c r="A93" s="60"/>
      <c r="B93" s="61" t="s">
        <v>49</v>
      </c>
      <c r="C93" s="62">
        <f>C89+C86+C83+C80+C77+C74+C71+C68+C65+C61+C58+C55+C52+C49+C46+C43+C40+C37+C34+C31+C28+C25+C22+C19</f>
        <v>648279.24859999993</v>
      </c>
      <c r="D93" s="63">
        <f>SUM(D16:D91)</f>
        <v>1</v>
      </c>
      <c r="E93" s="62">
        <f>E90+E69+E66+E53+E26+E23+E20</f>
        <v>66572.504679999998</v>
      </c>
      <c r="F93" s="62">
        <f>F78+F72+F32+F29+F26+F23</f>
        <v>93987.185880000005</v>
      </c>
      <c r="G93" s="62">
        <f>G90+G78+G32+G29</f>
        <v>98566.840920000017</v>
      </c>
      <c r="H93" s="62">
        <f>H90+H84+H81+H75+H56+H50+H47+H38+H29</f>
        <v>132250.66448000001</v>
      </c>
      <c r="I93" s="62">
        <f>I87+I84+I50+I47+I41</f>
        <v>58522.017260000001</v>
      </c>
      <c r="J93" s="62">
        <f>J56+J53+J47+J41+J35</f>
        <v>86075.013869999995</v>
      </c>
      <c r="K93" s="62">
        <f>K56+K53+K50+K35</f>
        <v>64449.921809999985</v>
      </c>
      <c r="L93" s="62">
        <f>L62+L59+L44</f>
        <v>47855.099699999999</v>
      </c>
      <c r="M93" s="50"/>
    </row>
    <row r="94" spans="1:13" s="53" customFormat="1" x14ac:dyDescent="0.3">
      <c r="A94" s="60"/>
      <c r="B94" s="61" t="s">
        <v>50</v>
      </c>
      <c r="C94" s="64"/>
      <c r="D94" s="65"/>
      <c r="E94" s="62">
        <f>E93</f>
        <v>66572.504679999998</v>
      </c>
      <c r="F94" s="62">
        <f>E94+F93</f>
        <v>160559.69056000002</v>
      </c>
      <c r="G94" s="62">
        <f t="shared" ref="G94:L94" si="0">F94+G93</f>
        <v>259126.53148000003</v>
      </c>
      <c r="H94" s="62">
        <f t="shared" si="0"/>
        <v>391377.19596000004</v>
      </c>
      <c r="I94" s="62">
        <f t="shared" si="0"/>
        <v>449899.21322000003</v>
      </c>
      <c r="J94" s="62">
        <f t="shared" si="0"/>
        <v>535974.22709000006</v>
      </c>
      <c r="K94" s="62">
        <f t="shared" si="0"/>
        <v>600424.14890000003</v>
      </c>
      <c r="L94" s="62">
        <f t="shared" si="0"/>
        <v>648279.24860000005</v>
      </c>
      <c r="M94" s="50"/>
    </row>
    <row r="95" spans="1:13" s="53" customFormat="1" x14ac:dyDescent="0.3">
      <c r="A95" s="60"/>
      <c r="B95" s="61" t="s">
        <v>51</v>
      </c>
      <c r="C95" s="64"/>
      <c r="D95" s="65"/>
      <c r="E95" s="66">
        <f t="shared" ref="E95:L95" si="1">E93/$C$93</f>
        <v>0.10269109311113619</v>
      </c>
      <c r="F95" s="66">
        <f t="shared" si="1"/>
        <v>0.14497947617939536</v>
      </c>
      <c r="G95" s="66">
        <f t="shared" si="1"/>
        <v>0.15204380077391239</v>
      </c>
      <c r="H95" s="66">
        <f t="shared" si="1"/>
        <v>0.20400261888006394</v>
      </c>
      <c r="I95" s="66">
        <f t="shared" si="1"/>
        <v>9.0272852920068009E-2</v>
      </c>
      <c r="J95" s="66">
        <f t="shared" si="1"/>
        <v>0.13277459375089429</v>
      </c>
      <c r="K95" s="66">
        <f t="shared" si="1"/>
        <v>9.9416913234819215E-2</v>
      </c>
      <c r="L95" s="66">
        <f t="shared" si="1"/>
        <v>7.3818651149710743E-2</v>
      </c>
      <c r="M95" s="52">
        <f>100%-SUM(E95:L95)</f>
        <v>0</v>
      </c>
    </row>
    <row r="96" spans="1:13" s="53" customFormat="1" x14ac:dyDescent="0.3">
      <c r="A96" s="60"/>
      <c r="B96" s="61" t="s">
        <v>52</v>
      </c>
      <c r="C96" s="64"/>
      <c r="D96" s="65"/>
      <c r="E96" s="63">
        <f>E95</f>
        <v>0.10269109311113619</v>
      </c>
      <c r="F96" s="63">
        <f>E96+F95</f>
        <v>0.24767056929053155</v>
      </c>
      <c r="G96" s="63">
        <f t="shared" ref="G96:K96" si="2">F96+G95</f>
        <v>0.39971437006444394</v>
      </c>
      <c r="H96" s="63">
        <f t="shared" si="2"/>
        <v>0.60371698894450787</v>
      </c>
      <c r="I96" s="63">
        <f t="shared" si="2"/>
        <v>0.69398984186457591</v>
      </c>
      <c r="J96" s="63">
        <f t="shared" si="2"/>
        <v>0.82676443561547019</v>
      </c>
      <c r="K96" s="63">
        <f t="shared" si="2"/>
        <v>0.92618134885028947</v>
      </c>
      <c r="L96" s="63">
        <f>K96+L95</f>
        <v>1.0000000000000002</v>
      </c>
      <c r="M96" s="50"/>
    </row>
    <row r="97" spans="3:13" s="53" customFormat="1" x14ac:dyDescent="0.3">
      <c r="C97" s="57"/>
      <c r="M97" s="51"/>
    </row>
  </sheetData>
  <mergeCells count="101">
    <mergeCell ref="A1:L8"/>
    <mergeCell ref="A9:L9"/>
    <mergeCell ref="A74:A76"/>
    <mergeCell ref="B74:B76"/>
    <mergeCell ref="C74:C76"/>
    <mergeCell ref="D74:D76"/>
    <mergeCell ref="A86:A88"/>
    <mergeCell ref="B86:B88"/>
    <mergeCell ref="C86:C88"/>
    <mergeCell ref="D86:D88"/>
    <mergeCell ref="A83:A85"/>
    <mergeCell ref="B83:B85"/>
    <mergeCell ref="C83:C85"/>
    <mergeCell ref="D83:D85"/>
    <mergeCell ref="A80:A82"/>
    <mergeCell ref="B80:B82"/>
    <mergeCell ref="C80:C82"/>
    <mergeCell ref="D80:D82"/>
    <mergeCell ref="A77:A79"/>
    <mergeCell ref="B77:B79"/>
    <mergeCell ref="C77:C79"/>
    <mergeCell ref="D77:D79"/>
    <mergeCell ref="A52:A54"/>
    <mergeCell ref="B52:B54"/>
    <mergeCell ref="C55:C57"/>
    <mergeCell ref="D55:D57"/>
    <mergeCell ref="A89:A91"/>
    <mergeCell ref="B89:B91"/>
    <mergeCell ref="C89:C91"/>
    <mergeCell ref="D89:D91"/>
    <mergeCell ref="A65:A67"/>
    <mergeCell ref="B65:B67"/>
    <mergeCell ref="C65:C67"/>
    <mergeCell ref="D65:D67"/>
    <mergeCell ref="A61:A63"/>
    <mergeCell ref="B61:B63"/>
    <mergeCell ref="C61:C63"/>
    <mergeCell ref="D61:D63"/>
    <mergeCell ref="A46:A48"/>
    <mergeCell ref="B46:B48"/>
    <mergeCell ref="C46:C48"/>
    <mergeCell ref="D46:D48"/>
    <mergeCell ref="A71:A73"/>
    <mergeCell ref="B71:B73"/>
    <mergeCell ref="C71:C73"/>
    <mergeCell ref="D71:D73"/>
    <mergeCell ref="A68:A70"/>
    <mergeCell ref="B68:B70"/>
    <mergeCell ref="C68:C70"/>
    <mergeCell ref="D68:D70"/>
    <mergeCell ref="A49:A51"/>
    <mergeCell ref="B49:B51"/>
    <mergeCell ref="C49:C51"/>
    <mergeCell ref="D49:D51"/>
    <mergeCell ref="C52:C54"/>
    <mergeCell ref="D52:D54"/>
    <mergeCell ref="A58:A60"/>
    <mergeCell ref="B58:B60"/>
    <mergeCell ref="C58:C60"/>
    <mergeCell ref="D58:D60"/>
    <mergeCell ref="A55:A57"/>
    <mergeCell ref="B55:B57"/>
    <mergeCell ref="A40:A42"/>
    <mergeCell ref="B40:B42"/>
    <mergeCell ref="C40:C42"/>
    <mergeCell ref="D40:D42"/>
    <mergeCell ref="A43:A45"/>
    <mergeCell ref="B43:B45"/>
    <mergeCell ref="C43:C45"/>
    <mergeCell ref="D43:D45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C37:C39"/>
    <mergeCell ref="D37:D39"/>
    <mergeCell ref="A25:A27"/>
    <mergeCell ref="B25:B27"/>
    <mergeCell ref="C25:C27"/>
    <mergeCell ref="D25:D27"/>
    <mergeCell ref="A19:A21"/>
    <mergeCell ref="B19:B21"/>
    <mergeCell ref="C19:C21"/>
    <mergeCell ref="D19:D21"/>
    <mergeCell ref="A13:L13"/>
    <mergeCell ref="A16:A17"/>
    <mergeCell ref="A22:A24"/>
    <mergeCell ref="B22:B24"/>
    <mergeCell ref="C22:C24"/>
    <mergeCell ref="D22:D24"/>
    <mergeCell ref="B16:L17"/>
  </mergeCells>
  <conditionalFormatting sqref="F21:L21 H33:L33 F36:G36 I39:L39 K42:L42 G24:L24 F70:K70 F67:K67 E63:K63 E73 L57 I36 H27:L27 I30:L30 L36 E45:I45 E48:I48 E51:G51 E60:K60 E54:J54 L54 L51 K48:L48 K45:L45 J51 E57:I57 G73:K73">
    <cfRule type="expression" dxfId="98" priority="149">
      <formula>E19&gt;0</formula>
    </cfRule>
  </conditionalFormatting>
  <conditionalFormatting sqref="E33">
    <cfRule type="expression" dxfId="97" priority="139">
      <formula>E31&gt;0</formula>
    </cfRule>
  </conditionalFormatting>
  <conditionalFormatting sqref="E30">
    <cfRule type="expression" dxfId="96" priority="140">
      <formula>E28&gt;0</formula>
    </cfRule>
  </conditionalFormatting>
  <conditionalFormatting sqref="E39">
    <cfRule type="expression" dxfId="95" priority="137">
      <formula>E37&gt;0</formula>
    </cfRule>
  </conditionalFormatting>
  <conditionalFormatting sqref="E42">
    <cfRule type="expression" dxfId="94" priority="136">
      <formula>E40&gt;0</formula>
    </cfRule>
  </conditionalFormatting>
  <conditionalFormatting sqref="F39:G39">
    <cfRule type="expression" dxfId="93" priority="130">
      <formula>F37&gt;0</formula>
    </cfRule>
  </conditionalFormatting>
  <conditionalFormatting sqref="F42:G42">
    <cfRule type="expression" dxfId="92" priority="123">
      <formula>F40&gt;0</formula>
    </cfRule>
  </conditionalFormatting>
  <conditionalFormatting sqref="L85">
    <cfRule type="expression" dxfId="91" priority="68">
      <formula>L83&gt;0</formula>
    </cfRule>
  </conditionalFormatting>
  <conditionalFormatting sqref="F91">
    <cfRule type="expression" dxfId="90" priority="72">
      <formula>F89&gt;0</formula>
    </cfRule>
  </conditionalFormatting>
  <conditionalFormatting sqref="E21">
    <cfRule type="expression" dxfId="89" priority="113">
      <formula>E19&gt;0</formula>
    </cfRule>
  </conditionalFormatting>
  <conditionalFormatting sqref="E24">
    <cfRule type="expression" dxfId="88" priority="112">
      <formula>E22&gt;0</formula>
    </cfRule>
  </conditionalFormatting>
  <conditionalFormatting sqref="F30">
    <cfRule type="expression" dxfId="87" priority="111">
      <formula>F28&gt;0</formula>
    </cfRule>
  </conditionalFormatting>
  <conditionalFormatting sqref="F33">
    <cfRule type="expression" dxfId="86" priority="110">
      <formula>F31&gt;0</formula>
    </cfRule>
  </conditionalFormatting>
  <conditionalFormatting sqref="E36">
    <cfRule type="expression" dxfId="85" priority="108">
      <formula>E34&gt;0</formula>
    </cfRule>
  </conditionalFormatting>
  <conditionalFormatting sqref="L63">
    <cfRule type="expression" dxfId="84" priority="61">
      <formula>L61&gt;0</formula>
    </cfRule>
  </conditionalFormatting>
  <conditionalFormatting sqref="H42">
    <cfRule type="expression" dxfId="83" priority="105">
      <formula>H40&gt;0</formula>
    </cfRule>
  </conditionalFormatting>
  <conditionalFormatting sqref="I76:K76">
    <cfRule type="expression" dxfId="82" priority="88">
      <formula>I74&gt;0</formula>
    </cfRule>
  </conditionalFormatting>
  <conditionalFormatting sqref="E76:F76">
    <cfRule type="expression" dxfId="81" priority="87">
      <formula>E74&gt;0</formula>
    </cfRule>
  </conditionalFormatting>
  <conditionalFormatting sqref="G76">
    <cfRule type="expression" dxfId="80" priority="86">
      <formula>G74&gt;0</formula>
    </cfRule>
  </conditionalFormatting>
  <conditionalFormatting sqref="H88 J88:K88">
    <cfRule type="expression" dxfId="79" priority="85">
      <formula>H86&gt;0</formula>
    </cfRule>
  </conditionalFormatting>
  <conditionalFormatting sqref="E88:F88">
    <cfRule type="expression" dxfId="78" priority="84">
      <formula>E86&gt;0</formula>
    </cfRule>
  </conditionalFormatting>
  <conditionalFormatting sqref="G88">
    <cfRule type="expression" dxfId="77" priority="83">
      <formula>G86&gt;0</formula>
    </cfRule>
  </conditionalFormatting>
  <conditionalFormatting sqref="J85:K85">
    <cfRule type="expression" dxfId="76" priority="82">
      <formula>J83&gt;0</formula>
    </cfRule>
  </conditionalFormatting>
  <conditionalFormatting sqref="E85:F85">
    <cfRule type="expression" dxfId="75" priority="81">
      <formula>E83&gt;0</formula>
    </cfRule>
  </conditionalFormatting>
  <conditionalFormatting sqref="G85">
    <cfRule type="expression" dxfId="74" priority="80">
      <formula>G83&gt;0</formula>
    </cfRule>
  </conditionalFormatting>
  <conditionalFormatting sqref="I82:K82">
    <cfRule type="expression" dxfId="73" priority="79">
      <formula>I80&gt;0</formula>
    </cfRule>
  </conditionalFormatting>
  <conditionalFormatting sqref="E82:F82">
    <cfRule type="expression" dxfId="72" priority="78">
      <formula>E80&gt;0</formula>
    </cfRule>
  </conditionalFormatting>
  <conditionalFormatting sqref="G82">
    <cfRule type="expression" dxfId="71" priority="77">
      <formula>G80&gt;0</formula>
    </cfRule>
  </conditionalFormatting>
  <conditionalFormatting sqref="H79:K79">
    <cfRule type="expression" dxfId="70" priority="76">
      <formula>H77&gt;0</formula>
    </cfRule>
  </conditionalFormatting>
  <conditionalFormatting sqref="E79">
    <cfRule type="expression" dxfId="69" priority="75">
      <formula>E77&gt;0</formula>
    </cfRule>
  </conditionalFormatting>
  <conditionalFormatting sqref="L79">
    <cfRule type="expression" dxfId="68" priority="66">
      <formula>L77&gt;0</formula>
    </cfRule>
  </conditionalFormatting>
  <conditionalFormatting sqref="I91:L91">
    <cfRule type="expression" dxfId="67" priority="73">
      <formula>I89&gt;0</formula>
    </cfRule>
  </conditionalFormatting>
  <conditionalFormatting sqref="L88">
    <cfRule type="expression" dxfId="66" priority="69">
      <formula>L86&gt;0</formula>
    </cfRule>
  </conditionalFormatting>
  <conditionalFormatting sqref="G33">
    <cfRule type="expression" dxfId="65" priority="70">
      <formula>G31&gt;0</formula>
    </cfRule>
  </conditionalFormatting>
  <conditionalFormatting sqref="L82">
    <cfRule type="expression" dxfId="64" priority="67">
      <formula>L80&gt;0</formula>
    </cfRule>
  </conditionalFormatting>
  <conditionalFormatting sqref="L76">
    <cfRule type="expression" dxfId="63" priority="65">
      <formula>L74&gt;0</formula>
    </cfRule>
  </conditionalFormatting>
  <conditionalFormatting sqref="L73">
    <cfRule type="expression" dxfId="62" priority="64">
      <formula>L71&gt;0</formula>
    </cfRule>
  </conditionalFormatting>
  <conditionalFormatting sqref="L70">
    <cfRule type="expression" dxfId="61" priority="63">
      <formula>L68&gt;0</formula>
    </cfRule>
  </conditionalFormatting>
  <conditionalFormatting sqref="L67">
    <cfRule type="expression" dxfId="60" priority="62">
      <formula>L65&gt;0</formula>
    </cfRule>
  </conditionalFormatting>
  <conditionalFormatting sqref="L60">
    <cfRule type="expression" dxfId="59" priority="60">
      <formula>L58&gt;0</formula>
    </cfRule>
  </conditionalFormatting>
  <conditionalFormatting sqref="K60">
    <cfRule type="expression" dxfId="58" priority="59">
      <formula>K58&gt;0</formula>
    </cfRule>
  </conditionalFormatting>
  <conditionalFormatting sqref="K57">
    <cfRule type="expression" dxfId="57" priority="58">
      <formula>K55&gt;0</formula>
    </cfRule>
  </conditionalFormatting>
  <conditionalFormatting sqref="K54">
    <cfRule type="expression" dxfId="56" priority="57">
      <formula>K52&gt;0</formula>
    </cfRule>
  </conditionalFormatting>
  <conditionalFormatting sqref="K51">
    <cfRule type="expression" dxfId="55" priority="56">
      <formula>K49&gt;0</formula>
    </cfRule>
  </conditionalFormatting>
  <conditionalFormatting sqref="J51">
    <cfRule type="expression" dxfId="54" priority="55">
      <formula>J49&gt;0</formula>
    </cfRule>
  </conditionalFormatting>
  <conditionalFormatting sqref="J48">
    <cfRule type="expression" dxfId="53" priority="54">
      <formula>J46&gt;0</formula>
    </cfRule>
  </conditionalFormatting>
  <conditionalFormatting sqref="J45">
    <cfRule type="expression" dxfId="52" priority="53">
      <formula>J43&gt;0</formula>
    </cfRule>
  </conditionalFormatting>
  <conditionalFormatting sqref="I45">
    <cfRule type="expression" dxfId="51" priority="52">
      <formula>I43&gt;0</formula>
    </cfRule>
  </conditionalFormatting>
  <conditionalFormatting sqref="I42">
    <cfRule type="expression" dxfId="50" priority="51">
      <formula>I40&gt;0</formula>
    </cfRule>
  </conditionalFormatting>
  <conditionalFormatting sqref="H39">
    <cfRule type="expression" dxfId="49" priority="50">
      <formula>H37&gt;0</formula>
    </cfRule>
  </conditionalFormatting>
  <conditionalFormatting sqref="H36">
    <cfRule type="expression" dxfId="48" priority="49">
      <formula>H34&gt;0</formula>
    </cfRule>
  </conditionalFormatting>
  <conditionalFormatting sqref="G27">
    <cfRule type="expression" dxfId="47" priority="48">
      <formula>G25&gt;0</formula>
    </cfRule>
  </conditionalFormatting>
  <conditionalFormatting sqref="E27">
    <cfRule type="expression" dxfId="46" priority="47">
      <formula>E25&gt;0</formula>
    </cfRule>
  </conditionalFormatting>
  <conditionalFormatting sqref="F24">
    <cfRule type="expression" dxfId="45" priority="46">
      <formula>F22&gt;0</formula>
    </cfRule>
  </conditionalFormatting>
  <conditionalFormatting sqref="F27">
    <cfRule type="expression" dxfId="44" priority="45">
      <formula>F25&gt;0</formula>
    </cfRule>
  </conditionalFormatting>
  <conditionalFormatting sqref="G30">
    <cfRule type="expression" dxfId="43" priority="44">
      <formula>G28&gt;0</formula>
    </cfRule>
  </conditionalFormatting>
  <conditionalFormatting sqref="H30">
    <cfRule type="expression" dxfId="42" priority="43">
      <formula>H28&gt;0</formula>
    </cfRule>
  </conditionalFormatting>
  <conditionalFormatting sqref="J36">
    <cfRule type="expression" dxfId="41" priority="42">
      <formula>J34&gt;0</formula>
    </cfRule>
  </conditionalFormatting>
  <conditionalFormatting sqref="K36">
    <cfRule type="expression" dxfId="40" priority="41">
      <formula>K34&gt;0</formula>
    </cfRule>
  </conditionalFormatting>
  <conditionalFormatting sqref="J42">
    <cfRule type="expression" dxfId="39" priority="40">
      <formula>J40&gt;0</formula>
    </cfRule>
  </conditionalFormatting>
  <conditionalFormatting sqref="L48">
    <cfRule type="expression" dxfId="38" priority="39">
      <formula>L46&gt;0</formula>
    </cfRule>
  </conditionalFormatting>
  <conditionalFormatting sqref="I51">
    <cfRule type="expression" dxfId="37" priority="38">
      <formula>I49&gt;0</formula>
    </cfRule>
  </conditionalFormatting>
  <conditionalFormatting sqref="H51">
    <cfRule type="expression" dxfId="36" priority="37">
      <formula>H49&gt;0</formula>
    </cfRule>
  </conditionalFormatting>
  <conditionalFormatting sqref="I54">
    <cfRule type="expression" dxfId="35" priority="36">
      <formula>I52&gt;0</formula>
    </cfRule>
  </conditionalFormatting>
  <conditionalFormatting sqref="H54">
    <cfRule type="expression" dxfId="34" priority="35">
      <formula>H52&gt;0</formula>
    </cfRule>
  </conditionalFormatting>
  <conditionalFormatting sqref="J57">
    <cfRule type="expression" dxfId="33" priority="34">
      <formula>J55&gt;0</formula>
    </cfRule>
  </conditionalFormatting>
  <conditionalFormatting sqref="E57">
    <cfRule type="expression" dxfId="32" priority="33">
      <formula>E55&gt;0</formula>
    </cfRule>
  </conditionalFormatting>
  <conditionalFormatting sqref="J60">
    <cfRule type="expression" dxfId="31" priority="32">
      <formula>J58&gt;0</formula>
    </cfRule>
  </conditionalFormatting>
  <conditionalFormatting sqref="H60">
    <cfRule type="expression" dxfId="30" priority="31">
      <formula>H58&gt;0</formula>
    </cfRule>
  </conditionalFormatting>
  <conditionalFormatting sqref="L60">
    <cfRule type="expression" dxfId="29" priority="30">
      <formula>L58&gt;0</formula>
    </cfRule>
  </conditionalFormatting>
  <conditionalFormatting sqref="L57">
    <cfRule type="expression" dxfId="28" priority="29">
      <formula>L55&gt;0</formula>
    </cfRule>
  </conditionalFormatting>
  <conditionalFormatting sqref="K57">
    <cfRule type="expression" dxfId="27" priority="28">
      <formula>K55&gt;0</formula>
    </cfRule>
  </conditionalFormatting>
  <conditionalFormatting sqref="K54">
    <cfRule type="expression" dxfId="26" priority="27">
      <formula>K52&gt;0</formula>
    </cfRule>
  </conditionalFormatting>
  <conditionalFormatting sqref="K51">
    <cfRule type="expression" dxfId="25" priority="26">
      <formula>K49&gt;0</formula>
    </cfRule>
  </conditionalFormatting>
  <conditionalFormatting sqref="K48">
    <cfRule type="expression" dxfId="24" priority="25">
      <formula>K46&gt;0</formula>
    </cfRule>
  </conditionalFormatting>
  <conditionalFormatting sqref="J48">
    <cfRule type="expression" dxfId="23" priority="24">
      <formula>J46&gt;0</formula>
    </cfRule>
  </conditionalFormatting>
  <conditionalFormatting sqref="J45">
    <cfRule type="expression" dxfId="22" priority="23">
      <formula>J43&gt;0</formula>
    </cfRule>
  </conditionalFormatting>
  <conditionalFormatting sqref="L45">
    <cfRule type="expression" dxfId="21" priority="22">
      <formula>L43&gt;0</formula>
    </cfRule>
  </conditionalFormatting>
  <conditionalFormatting sqref="I48">
    <cfRule type="expression" dxfId="20" priority="21">
      <formula>I46&gt;0</formula>
    </cfRule>
  </conditionalFormatting>
  <conditionalFormatting sqref="H48">
    <cfRule type="expression" dxfId="19" priority="20">
      <formula>H46&gt;0</formula>
    </cfRule>
  </conditionalFormatting>
  <conditionalFormatting sqref="I51">
    <cfRule type="expression" dxfId="18" priority="19">
      <formula>I49&gt;0</formula>
    </cfRule>
  </conditionalFormatting>
  <conditionalFormatting sqref="H51">
    <cfRule type="expression" dxfId="17" priority="18">
      <formula>H49&gt;0</formula>
    </cfRule>
  </conditionalFormatting>
  <conditionalFormatting sqref="J54">
    <cfRule type="expression" dxfId="16" priority="17">
      <formula>J52&gt;0</formula>
    </cfRule>
  </conditionalFormatting>
  <conditionalFormatting sqref="E54">
    <cfRule type="expression" dxfId="15" priority="16">
      <formula>E52&gt;0</formula>
    </cfRule>
  </conditionalFormatting>
  <conditionalFormatting sqref="J57">
    <cfRule type="expression" dxfId="14" priority="15">
      <formula>J55&gt;0</formula>
    </cfRule>
  </conditionalFormatting>
  <conditionalFormatting sqref="H57">
    <cfRule type="expression" dxfId="13" priority="14">
      <formula>H55&gt;0</formula>
    </cfRule>
  </conditionalFormatting>
  <conditionalFormatting sqref="E67">
    <cfRule type="expression" dxfId="12" priority="13">
      <formula>E65&gt;0</formula>
    </cfRule>
  </conditionalFormatting>
  <conditionalFormatting sqref="E70">
    <cfRule type="expression" dxfId="11" priority="12">
      <formula>E68&gt;0</formula>
    </cfRule>
  </conditionalFormatting>
  <conditionalFormatting sqref="F73">
    <cfRule type="expression" dxfId="10" priority="11">
      <formula>F71&gt;0</formula>
    </cfRule>
  </conditionalFormatting>
  <conditionalFormatting sqref="H76">
    <cfRule type="expression" dxfId="9" priority="10">
      <formula>H74&gt;0</formula>
    </cfRule>
  </conditionalFormatting>
  <conditionalFormatting sqref="F79">
    <cfRule type="expression" dxfId="8" priority="9">
      <formula>F77&gt;0</formula>
    </cfRule>
  </conditionalFormatting>
  <conditionalFormatting sqref="G79">
    <cfRule type="expression" dxfId="7" priority="8">
      <formula>G77&gt;0</formula>
    </cfRule>
  </conditionalFormatting>
  <conditionalFormatting sqref="H82">
    <cfRule type="expression" dxfId="6" priority="7">
      <formula>H80&gt;0</formula>
    </cfRule>
  </conditionalFormatting>
  <conditionalFormatting sqref="H85">
    <cfRule type="expression" dxfId="5" priority="6">
      <formula>H83&gt;0</formula>
    </cfRule>
  </conditionalFormatting>
  <conditionalFormatting sqref="I85">
    <cfRule type="expression" dxfId="4" priority="5">
      <formula>I83&gt;0</formula>
    </cfRule>
  </conditionalFormatting>
  <conditionalFormatting sqref="I88">
    <cfRule type="expression" dxfId="3" priority="4">
      <formula>I86&gt;0</formula>
    </cfRule>
  </conditionalFormatting>
  <conditionalFormatting sqref="E91">
    <cfRule type="expression" dxfId="2" priority="3">
      <formula>E89&gt;0</formula>
    </cfRule>
  </conditionalFormatting>
  <conditionalFormatting sqref="G91">
    <cfRule type="expression" dxfId="1" priority="2">
      <formula>G89&gt;0</formula>
    </cfRule>
  </conditionalFormatting>
  <conditionalFormatting sqref="H91">
    <cfRule type="expression" dxfId="0" priority="1">
      <formula>H89&gt;0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45" orientation="landscape" horizontalDpi="360" verticalDpi="360" r:id="rId1"/>
  <colBreaks count="1" manualBreakCount="1">
    <brk id="12" min="10" max="5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7"/>
  <sheetViews>
    <sheetView view="pageBreakPreview" zoomScaleNormal="70" zoomScaleSheetLayoutView="100" workbookViewId="0">
      <selection activeCell="F37" sqref="F37"/>
    </sheetView>
  </sheetViews>
  <sheetFormatPr defaultColWidth="9.109375" defaultRowHeight="15.6" x14ac:dyDescent="0.3"/>
  <cols>
    <col min="1" max="1" width="33" style="68" customWidth="1"/>
    <col min="2" max="2" width="10.109375" style="68" customWidth="1"/>
    <col min="3" max="20" width="7.6640625" style="68" customWidth="1"/>
    <col min="21" max="21" width="9.109375" style="68"/>
    <col min="22" max="22" width="3.6640625" style="68" customWidth="1"/>
    <col min="23" max="16384" width="9.109375" style="68"/>
  </cols>
  <sheetData>
    <row r="1" spans="1:20" x14ac:dyDescent="0.3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3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 x14ac:dyDescent="0.3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 x14ac:dyDescent="0.3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0" x14ac:dyDescent="0.3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1:20" x14ac:dyDescent="0.3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1:20" x14ac:dyDescent="0.3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1:20" x14ac:dyDescent="0.3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1:20" x14ac:dyDescent="0.3">
      <c r="A9" s="133" t="str">
        <f>CRONOGRAMA!A9</f>
        <v>TOMADA DE PREÇO 008/2021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1:20" x14ac:dyDescent="0.3">
      <c r="A10" s="145" t="s">
        <v>43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</row>
    <row r="11" spans="1:20" ht="15.75" customHeight="1" x14ac:dyDescent="0.3">
      <c r="A11" s="5" t="s">
        <v>211</v>
      </c>
    </row>
    <row r="12" spans="1:20" ht="15.75" customHeight="1" x14ac:dyDescent="0.3">
      <c r="A12" s="5" t="s">
        <v>212</v>
      </c>
    </row>
    <row r="13" spans="1:20" x14ac:dyDescent="0.3">
      <c r="A13" s="70"/>
    </row>
    <row r="14" spans="1:20" ht="78" customHeight="1" x14ac:dyDescent="0.3">
      <c r="A14" s="146" t="s">
        <v>5</v>
      </c>
      <c r="B14" s="146"/>
      <c r="C14" s="146" t="s">
        <v>6</v>
      </c>
      <c r="D14" s="146"/>
      <c r="E14" s="146"/>
      <c r="F14" s="136" t="s">
        <v>7</v>
      </c>
      <c r="G14" s="136"/>
      <c r="H14" s="136"/>
      <c r="I14" s="136" t="s">
        <v>8</v>
      </c>
      <c r="J14" s="136"/>
      <c r="K14" s="136"/>
      <c r="L14" s="136" t="s">
        <v>9</v>
      </c>
      <c r="M14" s="136"/>
      <c r="N14" s="136"/>
      <c r="O14" s="136" t="s">
        <v>10</v>
      </c>
      <c r="P14" s="136"/>
      <c r="Q14" s="136"/>
      <c r="R14" s="136" t="s">
        <v>11</v>
      </c>
      <c r="S14" s="136"/>
      <c r="T14" s="136"/>
    </row>
    <row r="15" spans="1:20" ht="46.8" x14ac:dyDescent="0.3">
      <c r="A15" s="71" t="s">
        <v>12</v>
      </c>
      <c r="B15" s="72" t="s">
        <v>13</v>
      </c>
      <c r="C15" s="73" t="s">
        <v>14</v>
      </c>
      <c r="D15" s="73" t="s">
        <v>15</v>
      </c>
      <c r="E15" s="73" t="s">
        <v>16</v>
      </c>
      <c r="F15" s="73" t="s">
        <v>14</v>
      </c>
      <c r="G15" s="73" t="s">
        <v>15</v>
      </c>
      <c r="H15" s="73" t="s">
        <v>16</v>
      </c>
      <c r="I15" s="73" t="s">
        <v>14</v>
      </c>
      <c r="J15" s="73" t="s">
        <v>15</v>
      </c>
      <c r="K15" s="73" t="s">
        <v>16</v>
      </c>
      <c r="L15" s="73" t="s">
        <v>14</v>
      </c>
      <c r="M15" s="73" t="s">
        <v>15</v>
      </c>
      <c r="N15" s="73" t="s">
        <v>16</v>
      </c>
      <c r="O15" s="73" t="s">
        <v>14</v>
      </c>
      <c r="P15" s="73" t="s">
        <v>15</v>
      </c>
      <c r="Q15" s="73" t="s">
        <v>16</v>
      </c>
      <c r="R15" s="73" t="s">
        <v>14</v>
      </c>
      <c r="S15" s="73" t="s">
        <v>15</v>
      </c>
      <c r="T15" s="73" t="s">
        <v>16</v>
      </c>
    </row>
    <row r="16" spans="1:20" x14ac:dyDescent="0.3">
      <c r="A16" s="74" t="s">
        <v>17</v>
      </c>
      <c r="B16" s="75">
        <v>3</v>
      </c>
      <c r="C16" s="76">
        <v>3</v>
      </c>
      <c r="D16" s="76">
        <v>4</v>
      </c>
      <c r="E16" s="76">
        <v>5.5</v>
      </c>
      <c r="F16" s="76">
        <v>3.8</v>
      </c>
      <c r="G16" s="76">
        <v>4.01</v>
      </c>
      <c r="H16" s="76">
        <v>4.67</v>
      </c>
      <c r="I16" s="76">
        <v>3.43</v>
      </c>
      <c r="J16" s="76">
        <v>4.93</v>
      </c>
      <c r="K16" s="76">
        <v>6.71</v>
      </c>
      <c r="L16" s="76">
        <v>1.5</v>
      </c>
      <c r="M16" s="76">
        <v>3.45</v>
      </c>
      <c r="N16" s="76">
        <v>4.49</v>
      </c>
      <c r="O16" s="76">
        <v>5.29</v>
      </c>
      <c r="P16" s="76">
        <v>5.92</v>
      </c>
      <c r="Q16" s="76">
        <v>7.93</v>
      </c>
      <c r="R16" s="76">
        <v>4</v>
      </c>
      <c r="S16" s="76">
        <v>5.52</v>
      </c>
      <c r="T16" s="76" t="s">
        <v>18</v>
      </c>
    </row>
    <row r="17" spans="1:20" x14ac:dyDescent="0.3">
      <c r="A17" s="74" t="s">
        <v>19</v>
      </c>
      <c r="B17" s="75">
        <v>0.8</v>
      </c>
      <c r="C17" s="76">
        <v>0.8</v>
      </c>
      <c r="D17" s="76">
        <v>0.8</v>
      </c>
      <c r="E17" s="76">
        <v>1</v>
      </c>
      <c r="F17" s="76">
        <v>0.32</v>
      </c>
      <c r="G17" s="76">
        <v>0.4</v>
      </c>
      <c r="H17" s="76">
        <v>0.74</v>
      </c>
      <c r="I17" s="76">
        <v>0.28000000000000003</v>
      </c>
      <c r="J17" s="76">
        <v>0.49</v>
      </c>
      <c r="K17" s="76">
        <v>0.75</v>
      </c>
      <c r="L17" s="76">
        <v>0.3</v>
      </c>
      <c r="M17" s="76">
        <v>0.48</v>
      </c>
      <c r="N17" s="76">
        <v>0.82</v>
      </c>
      <c r="O17" s="76">
        <v>0.25</v>
      </c>
      <c r="P17" s="76">
        <v>0.51</v>
      </c>
      <c r="Q17" s="76">
        <v>0.56000000000000005</v>
      </c>
      <c r="R17" s="76">
        <v>0.81</v>
      </c>
      <c r="S17" s="76">
        <v>1.22</v>
      </c>
      <c r="T17" s="76">
        <v>1.99</v>
      </c>
    </row>
    <row r="18" spans="1:20" x14ac:dyDescent="0.3">
      <c r="A18" s="74" t="s">
        <v>20</v>
      </c>
      <c r="B18" s="75">
        <v>0.97</v>
      </c>
      <c r="C18" s="76">
        <v>0.97</v>
      </c>
      <c r="D18" s="76">
        <v>1.27</v>
      </c>
      <c r="E18" s="76">
        <v>1.27</v>
      </c>
      <c r="F18" s="76">
        <v>0.5</v>
      </c>
      <c r="G18" s="76">
        <v>0.56000000000000005</v>
      </c>
      <c r="H18" s="76">
        <v>0.97</v>
      </c>
      <c r="I18" s="76">
        <v>1</v>
      </c>
      <c r="J18" s="76">
        <v>1.39</v>
      </c>
      <c r="K18" s="76">
        <v>1.74</v>
      </c>
      <c r="L18" s="76">
        <v>0.56000000000000005</v>
      </c>
      <c r="M18" s="76">
        <v>0.85</v>
      </c>
      <c r="N18" s="76">
        <v>0.89</v>
      </c>
      <c r="O18" s="76">
        <v>1</v>
      </c>
      <c r="P18" s="76">
        <v>1.48</v>
      </c>
      <c r="Q18" s="76">
        <v>1.97</v>
      </c>
      <c r="R18" s="76">
        <v>1.46</v>
      </c>
      <c r="S18" s="76">
        <v>2.3199999999999998</v>
      </c>
      <c r="T18" s="76">
        <v>3.16</v>
      </c>
    </row>
    <row r="19" spans="1:20" x14ac:dyDescent="0.3">
      <c r="A19" s="74" t="s">
        <v>21</v>
      </c>
      <c r="B19" s="75">
        <v>0.59</v>
      </c>
      <c r="C19" s="76">
        <v>0.59</v>
      </c>
      <c r="D19" s="76">
        <v>1.23</v>
      </c>
      <c r="E19" s="76">
        <v>1.39</v>
      </c>
      <c r="F19" s="76">
        <v>1.02</v>
      </c>
      <c r="G19" s="76">
        <v>1.1100000000000001</v>
      </c>
      <c r="H19" s="76">
        <v>1.21</v>
      </c>
      <c r="I19" s="76">
        <v>0.94</v>
      </c>
      <c r="J19" s="76">
        <v>0.99</v>
      </c>
      <c r="K19" s="76">
        <v>1.17</v>
      </c>
      <c r="L19" s="76">
        <v>0.85</v>
      </c>
      <c r="M19" s="76">
        <v>0.85</v>
      </c>
      <c r="N19" s="76">
        <v>1.1100000000000001</v>
      </c>
      <c r="O19" s="76">
        <v>1.01</v>
      </c>
      <c r="P19" s="76">
        <v>1.07</v>
      </c>
      <c r="Q19" s="76">
        <v>1.1100000000000001</v>
      </c>
      <c r="R19" s="76">
        <v>0.94</v>
      </c>
      <c r="S19" s="76">
        <v>1.02</v>
      </c>
      <c r="T19" s="76">
        <v>1.33</v>
      </c>
    </row>
    <row r="20" spans="1:20" ht="18.75" customHeight="1" x14ac:dyDescent="0.3">
      <c r="A20" s="74" t="s">
        <v>22</v>
      </c>
      <c r="B20" s="75">
        <v>6.16</v>
      </c>
      <c r="C20" s="76">
        <v>6.16</v>
      </c>
      <c r="D20" s="76">
        <v>7.4</v>
      </c>
      <c r="E20" s="76">
        <v>8.9600000000000009</v>
      </c>
      <c r="F20" s="76">
        <v>6.64</v>
      </c>
      <c r="G20" s="76">
        <v>7.3</v>
      </c>
      <c r="H20" s="76">
        <v>8.69</v>
      </c>
      <c r="I20" s="76">
        <v>6.74</v>
      </c>
      <c r="J20" s="76">
        <v>8.0399999999999991</v>
      </c>
      <c r="K20" s="76">
        <v>9.4</v>
      </c>
      <c r="L20" s="76">
        <v>3.5</v>
      </c>
      <c r="M20" s="76">
        <v>5.1100000000000003</v>
      </c>
      <c r="N20" s="76">
        <v>6.22</v>
      </c>
      <c r="O20" s="76">
        <v>8</v>
      </c>
      <c r="P20" s="76">
        <v>8.31</v>
      </c>
      <c r="Q20" s="76">
        <v>9.51</v>
      </c>
      <c r="R20" s="76">
        <v>7.14</v>
      </c>
      <c r="S20" s="76">
        <v>8.4</v>
      </c>
      <c r="T20" s="76">
        <v>10.43</v>
      </c>
    </row>
    <row r="21" spans="1:20" ht="25.5" customHeight="1" x14ac:dyDescent="0.3">
      <c r="A21" s="74" t="s">
        <v>23</v>
      </c>
      <c r="B21" s="75">
        <v>12.15</v>
      </c>
      <c r="C21" s="137" t="s">
        <v>24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</row>
    <row r="22" spans="1:20" ht="13.5" customHeight="1" x14ac:dyDescent="0.3">
      <c r="C22" s="77"/>
      <c r="D22" s="77"/>
      <c r="E22" s="77"/>
    </row>
    <row r="23" spans="1:20" ht="29.25" customHeight="1" x14ac:dyDescent="0.3">
      <c r="A23" s="138" t="s">
        <v>25</v>
      </c>
      <c r="B23" s="138"/>
      <c r="C23" s="138"/>
      <c r="D23" s="138"/>
      <c r="E23" s="77"/>
      <c r="F23" s="135" t="s">
        <v>26</v>
      </c>
      <c r="G23" s="135"/>
      <c r="H23" s="135"/>
      <c r="I23" s="135"/>
      <c r="J23" s="135"/>
      <c r="K23" s="135"/>
      <c r="L23" s="135"/>
      <c r="M23" s="135"/>
      <c r="N23" s="135"/>
    </row>
    <row r="24" spans="1:20" ht="30.75" customHeight="1" x14ac:dyDescent="0.3">
      <c r="A24" s="134" t="s">
        <v>27</v>
      </c>
      <c r="B24" s="134"/>
      <c r="C24" s="134"/>
      <c r="D24" s="134"/>
      <c r="E24" s="77"/>
      <c r="F24" s="135" t="s">
        <v>28</v>
      </c>
      <c r="G24" s="135"/>
      <c r="H24" s="135"/>
      <c r="I24" s="135"/>
      <c r="J24" s="135"/>
      <c r="K24" s="135"/>
      <c r="L24" s="78" t="s">
        <v>14</v>
      </c>
      <c r="M24" s="78" t="s">
        <v>15</v>
      </c>
      <c r="N24" s="78" t="s">
        <v>16</v>
      </c>
    </row>
    <row r="25" spans="1:20" ht="42.75" customHeight="1" x14ac:dyDescent="0.3">
      <c r="A25" s="141" t="s">
        <v>29</v>
      </c>
      <c r="B25" s="141"/>
      <c r="C25" s="141"/>
      <c r="D25" s="141"/>
      <c r="E25" s="77"/>
      <c r="F25" s="140" t="s">
        <v>6</v>
      </c>
      <c r="G25" s="140"/>
      <c r="H25" s="140"/>
      <c r="I25" s="140"/>
      <c r="J25" s="140"/>
      <c r="K25" s="140"/>
      <c r="L25" s="79">
        <v>20.34</v>
      </c>
      <c r="M25" s="79">
        <v>22.12</v>
      </c>
      <c r="N25" s="79">
        <v>25</v>
      </c>
    </row>
    <row r="26" spans="1:20" ht="48.75" customHeight="1" x14ac:dyDescent="0.3">
      <c r="A26" s="141" t="s">
        <v>30</v>
      </c>
      <c r="B26" s="141"/>
      <c r="C26" s="141"/>
      <c r="D26" s="141"/>
      <c r="F26" s="140" t="s">
        <v>31</v>
      </c>
      <c r="G26" s="140"/>
      <c r="H26" s="140"/>
      <c r="I26" s="140"/>
      <c r="J26" s="140"/>
      <c r="K26" s="140"/>
      <c r="L26" s="79">
        <v>19.600000000000001</v>
      </c>
      <c r="M26" s="79">
        <v>20.97</v>
      </c>
      <c r="N26" s="79">
        <v>24.23</v>
      </c>
    </row>
    <row r="27" spans="1:20" ht="29.25" customHeight="1" x14ac:dyDescent="0.3">
      <c r="A27" s="80" t="s">
        <v>32</v>
      </c>
      <c r="B27" s="81">
        <f>((1+(B16+B17+B18)/100)*((1+B19/100)*(1+B20/100))/(1-B21/100))-1</f>
        <v>0.27353503254183287</v>
      </c>
      <c r="C27" s="82"/>
      <c r="D27" s="82"/>
      <c r="F27" s="140" t="s">
        <v>33</v>
      </c>
      <c r="G27" s="140"/>
      <c r="H27" s="140"/>
      <c r="I27" s="140"/>
      <c r="J27" s="140"/>
      <c r="K27" s="140"/>
      <c r="L27" s="79">
        <v>20.76</v>
      </c>
      <c r="M27" s="79">
        <v>24.18</v>
      </c>
      <c r="N27" s="79">
        <v>26.44</v>
      </c>
    </row>
    <row r="28" spans="1:20" ht="28.5" customHeight="1" x14ac:dyDescent="0.3">
      <c r="A28" s="142" t="s">
        <v>34</v>
      </c>
      <c r="B28" s="143"/>
      <c r="C28" s="143"/>
      <c r="D28" s="144"/>
      <c r="F28" s="140" t="s">
        <v>35</v>
      </c>
      <c r="G28" s="140"/>
      <c r="H28" s="140"/>
      <c r="I28" s="140"/>
      <c r="J28" s="140"/>
      <c r="K28" s="140"/>
      <c r="L28" s="79">
        <v>24</v>
      </c>
      <c r="M28" s="79">
        <v>25.84</v>
      </c>
      <c r="N28" s="79">
        <v>27.86</v>
      </c>
    </row>
    <row r="29" spans="1:20" x14ac:dyDescent="0.3">
      <c r="A29" s="83"/>
      <c r="B29" s="84"/>
      <c r="C29" s="84"/>
      <c r="D29" s="85"/>
      <c r="F29" s="140" t="s">
        <v>36</v>
      </c>
      <c r="G29" s="140"/>
      <c r="H29" s="140"/>
      <c r="I29" s="140"/>
      <c r="J29" s="140"/>
      <c r="K29" s="140"/>
      <c r="L29" s="79">
        <v>22.8</v>
      </c>
      <c r="M29" s="79">
        <v>27.48</v>
      </c>
      <c r="N29" s="79">
        <v>30.95</v>
      </c>
    </row>
    <row r="30" spans="1:20" x14ac:dyDescent="0.3">
      <c r="A30" s="86"/>
      <c r="B30" s="48"/>
      <c r="C30" s="48"/>
      <c r="D30" s="87"/>
      <c r="F30" s="140" t="s">
        <v>37</v>
      </c>
      <c r="G30" s="140"/>
      <c r="H30" s="140"/>
      <c r="I30" s="140"/>
      <c r="J30" s="140"/>
      <c r="K30" s="140"/>
      <c r="L30" s="79">
        <v>11.1</v>
      </c>
      <c r="M30" s="79">
        <v>14.02</v>
      </c>
      <c r="N30" s="79">
        <v>16.8</v>
      </c>
    </row>
    <row r="31" spans="1:20" x14ac:dyDescent="0.3">
      <c r="A31" s="88"/>
      <c r="B31" s="89"/>
      <c r="C31" s="89"/>
      <c r="D31" s="90"/>
    </row>
    <row r="33" spans="1:5" ht="16.2" thickBot="1" x14ac:dyDescent="0.35">
      <c r="A33" s="91" t="s">
        <v>38</v>
      </c>
      <c r="B33" s="92"/>
      <c r="C33" s="92"/>
      <c r="D33" s="92"/>
      <c r="E33" s="92"/>
    </row>
    <row r="34" spans="1:5" x14ac:dyDescent="0.3">
      <c r="A34" s="93" t="s">
        <v>39</v>
      </c>
    </row>
    <row r="35" spans="1:5" x14ac:dyDescent="0.3">
      <c r="A35" s="68" t="s">
        <v>40</v>
      </c>
    </row>
    <row r="36" spans="1:5" x14ac:dyDescent="0.3">
      <c r="A36" s="68" t="s">
        <v>41</v>
      </c>
    </row>
    <row r="37" spans="1:5" x14ac:dyDescent="0.3">
      <c r="A37" s="68" t="s">
        <v>42</v>
      </c>
    </row>
  </sheetData>
  <mergeCells count="24">
    <mergeCell ref="A1:T8"/>
    <mergeCell ref="A9:T9"/>
    <mergeCell ref="F30:K30"/>
    <mergeCell ref="A26:D26"/>
    <mergeCell ref="F26:K26"/>
    <mergeCell ref="F27:K27"/>
    <mergeCell ref="A28:D28"/>
    <mergeCell ref="F28:K28"/>
    <mergeCell ref="F29:K29"/>
    <mergeCell ref="A25:D25"/>
    <mergeCell ref="F25:K25"/>
    <mergeCell ref="A10:T10"/>
    <mergeCell ref="A14:B14"/>
    <mergeCell ref="C14:E14"/>
    <mergeCell ref="F14:H14"/>
    <mergeCell ref="I14:K14"/>
    <mergeCell ref="A24:D24"/>
    <mergeCell ref="F24:K24"/>
    <mergeCell ref="L14:N14"/>
    <mergeCell ref="O14:Q14"/>
    <mergeCell ref="R14:T14"/>
    <mergeCell ref="C21:T21"/>
    <mergeCell ref="A23:D23"/>
    <mergeCell ref="F23:N23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Microsoft Equation 3.0" shapeId="2049" r:id="rId4">
          <objectPr defaultSize="0" autoPict="0" r:id="rId5">
            <anchor moveWithCells="1" sizeWithCells="1">
              <from>
                <xdr:col>0</xdr:col>
                <xdr:colOff>83820</xdr:colOff>
                <xdr:row>28</xdr:row>
                <xdr:rowOff>38100</xdr:rowOff>
              </from>
              <to>
                <xdr:col>3</xdr:col>
                <xdr:colOff>327660</xdr:colOff>
                <xdr:row>30</xdr:row>
                <xdr:rowOff>106680</xdr:rowOff>
              </to>
            </anchor>
          </objectPr>
        </oleObject>
      </mc:Choice>
      <mc:Fallback>
        <oleObject progId="Microsoft Equation 3.0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view="pageBreakPreview" topLeftCell="A19" zoomScaleNormal="100" zoomScaleSheetLayoutView="100" workbookViewId="0">
      <selection activeCell="F37" sqref="F37"/>
    </sheetView>
  </sheetViews>
  <sheetFormatPr defaultColWidth="9.109375" defaultRowHeight="15.6" x14ac:dyDescent="0.3"/>
  <cols>
    <col min="1" max="1" width="9.109375" style="94"/>
    <col min="2" max="2" width="50.33203125" style="94" customWidth="1"/>
    <col min="3" max="4" width="21.44140625" style="94" customWidth="1"/>
    <col min="5" max="16384" width="9.109375" style="94"/>
  </cols>
  <sheetData>
    <row r="1" spans="1:12" x14ac:dyDescent="0.3">
      <c r="A1" s="148"/>
      <c r="B1" s="148"/>
      <c r="C1" s="148"/>
      <c r="D1" s="148"/>
    </row>
    <row r="2" spans="1:12" x14ac:dyDescent="0.3">
      <c r="A2" s="148"/>
      <c r="B2" s="148"/>
      <c r="C2" s="148"/>
      <c r="D2" s="148"/>
    </row>
    <row r="3" spans="1:12" x14ac:dyDescent="0.3">
      <c r="A3" s="148"/>
      <c r="B3" s="148"/>
      <c r="C3" s="148"/>
      <c r="D3" s="148"/>
    </row>
    <row r="4" spans="1:12" x14ac:dyDescent="0.3">
      <c r="A4" s="148"/>
      <c r="B4" s="148"/>
      <c r="C4" s="148"/>
      <c r="D4" s="148"/>
    </row>
    <row r="5" spans="1:12" x14ac:dyDescent="0.3">
      <c r="A5" s="148"/>
      <c r="B5" s="148"/>
      <c r="C5" s="148"/>
      <c r="D5" s="148"/>
    </row>
    <row r="6" spans="1:12" x14ac:dyDescent="0.3">
      <c r="A6" s="148"/>
      <c r="B6" s="148"/>
      <c r="C6" s="148"/>
      <c r="D6" s="148"/>
    </row>
    <row r="7" spans="1:12" x14ac:dyDescent="0.3">
      <c r="A7" s="148"/>
      <c r="B7" s="148"/>
      <c r="C7" s="148"/>
      <c r="D7" s="148"/>
    </row>
    <row r="8" spans="1:12" x14ac:dyDescent="0.3">
      <c r="A8" s="148"/>
      <c r="B8" s="148"/>
      <c r="C8" s="148"/>
      <c r="D8" s="148"/>
    </row>
    <row r="10" spans="1:12" x14ac:dyDescent="0.3">
      <c r="A10" s="5" t="s">
        <v>211</v>
      </c>
    </row>
    <row r="11" spans="1:12" x14ac:dyDescent="0.3">
      <c r="A11" s="5" t="s">
        <v>212</v>
      </c>
    </row>
    <row r="12" spans="1:12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 x14ac:dyDescent="0.3">
      <c r="A13" s="96" t="s">
        <v>56</v>
      </c>
      <c r="B13" s="96"/>
      <c r="C13" s="96"/>
      <c r="D13" s="96"/>
      <c r="E13" s="97"/>
      <c r="F13" s="97"/>
      <c r="G13" s="97"/>
      <c r="H13" s="97"/>
      <c r="I13" s="97"/>
      <c r="J13" s="97"/>
      <c r="K13" s="97"/>
      <c r="L13" s="97"/>
    </row>
    <row r="14" spans="1:12" x14ac:dyDescent="0.3">
      <c r="A14" s="147" t="s">
        <v>57</v>
      </c>
      <c r="B14" s="147" t="s">
        <v>58</v>
      </c>
      <c r="C14" s="96" t="s">
        <v>59</v>
      </c>
      <c r="D14" s="96"/>
      <c r="E14" s="97"/>
      <c r="F14" s="97"/>
      <c r="G14" s="97"/>
      <c r="H14" s="97"/>
      <c r="I14" s="97"/>
      <c r="J14" s="97"/>
      <c r="K14" s="97"/>
      <c r="L14" s="97"/>
    </row>
    <row r="15" spans="1:12" x14ac:dyDescent="0.3">
      <c r="A15" s="147"/>
      <c r="B15" s="147"/>
      <c r="C15" s="98" t="s">
        <v>60</v>
      </c>
      <c r="D15" s="98" t="s">
        <v>61</v>
      </c>
      <c r="E15" s="95"/>
      <c r="F15" s="95"/>
      <c r="G15" s="95"/>
      <c r="H15" s="95"/>
      <c r="I15" s="95"/>
      <c r="J15" s="95"/>
      <c r="K15" s="95"/>
      <c r="L15" s="95"/>
    </row>
    <row r="16" spans="1:12" x14ac:dyDescent="0.3">
      <c r="A16" s="147"/>
      <c r="B16" s="147"/>
      <c r="C16" s="98" t="s">
        <v>62</v>
      </c>
      <c r="D16" s="98" t="s">
        <v>62</v>
      </c>
      <c r="E16" s="95"/>
      <c r="F16" s="95"/>
      <c r="G16" s="95"/>
      <c r="H16" s="95"/>
      <c r="I16" s="95"/>
      <c r="J16" s="95"/>
      <c r="K16" s="95"/>
      <c r="L16" s="95"/>
    </row>
    <row r="17" spans="1:12" x14ac:dyDescent="0.3">
      <c r="A17" s="96" t="s">
        <v>63</v>
      </c>
      <c r="B17" s="96"/>
      <c r="C17" s="96"/>
      <c r="D17" s="96"/>
      <c r="E17" s="95"/>
      <c r="F17" s="95"/>
      <c r="G17" s="95"/>
      <c r="H17" s="95"/>
      <c r="I17" s="95"/>
      <c r="J17" s="95"/>
      <c r="K17" s="95"/>
      <c r="L17" s="95"/>
    </row>
    <row r="18" spans="1:12" x14ac:dyDescent="0.3">
      <c r="A18" s="99" t="s">
        <v>64</v>
      </c>
      <c r="B18" s="100" t="s">
        <v>65</v>
      </c>
      <c r="C18" s="101">
        <v>0</v>
      </c>
      <c r="D18" s="101">
        <v>0</v>
      </c>
      <c r="E18" s="95"/>
      <c r="F18" s="95"/>
      <c r="G18" s="95"/>
      <c r="H18" s="95"/>
      <c r="I18" s="95"/>
      <c r="J18" s="95"/>
      <c r="K18" s="95"/>
      <c r="L18" s="95"/>
    </row>
    <row r="19" spans="1:12" x14ac:dyDescent="0.3">
      <c r="A19" s="99" t="s">
        <v>66</v>
      </c>
      <c r="B19" s="100" t="s">
        <v>67</v>
      </c>
      <c r="C19" s="101">
        <v>1.4999999999999999E-2</v>
      </c>
      <c r="D19" s="101">
        <v>1.4999999999999999E-2</v>
      </c>
      <c r="E19" s="95"/>
      <c r="F19" s="95"/>
      <c r="G19" s="95"/>
      <c r="H19" s="95"/>
      <c r="I19" s="95"/>
      <c r="J19" s="95"/>
      <c r="K19" s="95"/>
      <c r="L19" s="95"/>
    </row>
    <row r="20" spans="1:12" x14ac:dyDescent="0.3">
      <c r="A20" s="99" t="s">
        <v>68</v>
      </c>
      <c r="B20" s="100" t="s">
        <v>69</v>
      </c>
      <c r="C20" s="101">
        <v>0.01</v>
      </c>
      <c r="D20" s="101">
        <v>0.01</v>
      </c>
      <c r="E20" s="95"/>
      <c r="F20" s="95"/>
      <c r="G20" s="95"/>
      <c r="H20" s="95"/>
      <c r="I20" s="95"/>
      <c r="J20" s="95"/>
      <c r="K20" s="95"/>
      <c r="L20" s="95"/>
    </row>
    <row r="21" spans="1:12" x14ac:dyDescent="0.3">
      <c r="A21" s="99" t="s">
        <v>70</v>
      </c>
      <c r="B21" s="100" t="s">
        <v>71</v>
      </c>
      <c r="C21" s="101">
        <v>2E-3</v>
      </c>
      <c r="D21" s="101">
        <v>2E-3</v>
      </c>
      <c r="E21" s="95"/>
      <c r="F21" s="95"/>
      <c r="G21" s="95"/>
      <c r="H21" s="95"/>
      <c r="I21" s="95"/>
      <c r="J21" s="95"/>
      <c r="K21" s="95"/>
      <c r="L21" s="95"/>
    </row>
    <row r="22" spans="1:12" x14ac:dyDescent="0.3">
      <c r="A22" s="99" t="s">
        <v>72</v>
      </c>
      <c r="B22" s="100" t="s">
        <v>73</v>
      </c>
      <c r="C22" s="101">
        <v>6.0000000000000001E-3</v>
      </c>
      <c r="D22" s="101">
        <v>6.0000000000000001E-3</v>
      </c>
      <c r="E22" s="95"/>
      <c r="F22" s="95"/>
      <c r="G22" s="95"/>
      <c r="H22" s="95"/>
      <c r="I22" s="95"/>
      <c r="J22" s="95"/>
      <c r="K22" s="95"/>
      <c r="L22" s="95"/>
    </row>
    <row r="23" spans="1:12" x14ac:dyDescent="0.3">
      <c r="A23" s="99" t="s">
        <v>74</v>
      </c>
      <c r="B23" s="100" t="s">
        <v>75</v>
      </c>
      <c r="C23" s="101">
        <v>2.5000000000000001E-2</v>
      </c>
      <c r="D23" s="101">
        <v>2.5000000000000001E-2</v>
      </c>
      <c r="E23" s="95"/>
      <c r="F23" s="95"/>
      <c r="G23" s="95"/>
      <c r="H23" s="95"/>
      <c r="I23" s="95"/>
      <c r="J23" s="95"/>
      <c r="K23" s="95"/>
      <c r="L23" s="95"/>
    </row>
    <row r="24" spans="1:12" x14ac:dyDescent="0.3">
      <c r="A24" s="99" t="s">
        <v>76</v>
      </c>
      <c r="B24" s="100" t="s">
        <v>77</v>
      </c>
      <c r="C24" s="101">
        <v>0.03</v>
      </c>
      <c r="D24" s="101">
        <v>0.03</v>
      </c>
      <c r="E24" s="95"/>
      <c r="F24" s="95"/>
      <c r="G24" s="95"/>
      <c r="H24" s="95"/>
      <c r="I24" s="95"/>
      <c r="J24" s="95"/>
      <c r="K24" s="95"/>
      <c r="L24" s="95"/>
    </row>
    <row r="25" spans="1:12" x14ac:dyDescent="0.3">
      <c r="A25" s="99" t="s">
        <v>78</v>
      </c>
      <c r="B25" s="100" t="s">
        <v>79</v>
      </c>
      <c r="C25" s="101">
        <v>0.08</v>
      </c>
      <c r="D25" s="101">
        <v>0.08</v>
      </c>
      <c r="E25" s="95"/>
      <c r="F25" s="95"/>
      <c r="G25" s="95"/>
      <c r="H25" s="95"/>
      <c r="I25" s="95"/>
      <c r="J25" s="95"/>
      <c r="K25" s="95"/>
      <c r="L25" s="95"/>
    </row>
    <row r="26" spans="1:12" x14ac:dyDescent="0.3">
      <c r="A26" s="99" t="s">
        <v>80</v>
      </c>
      <c r="B26" s="100" t="s">
        <v>81</v>
      </c>
      <c r="C26" s="101">
        <v>0</v>
      </c>
      <c r="D26" s="101">
        <v>0</v>
      </c>
      <c r="E26" s="95"/>
      <c r="F26" s="95"/>
      <c r="G26" s="95"/>
      <c r="H26" s="95"/>
      <c r="I26" s="95"/>
      <c r="J26" s="95"/>
      <c r="K26" s="95"/>
      <c r="L26" s="95"/>
    </row>
    <row r="27" spans="1:12" x14ac:dyDescent="0.3">
      <c r="A27" s="98" t="s">
        <v>82</v>
      </c>
      <c r="B27" s="98" t="s">
        <v>83</v>
      </c>
      <c r="C27" s="102">
        <f>SUM(C18:C26)</f>
        <v>0.16799999999999998</v>
      </c>
      <c r="D27" s="102">
        <f>SUM(D18:D26)</f>
        <v>0.16799999999999998</v>
      </c>
      <c r="E27" s="103"/>
      <c r="F27" s="103"/>
      <c r="G27" s="103"/>
      <c r="H27" s="103"/>
      <c r="I27" s="103"/>
      <c r="J27" s="103"/>
      <c r="K27" s="103"/>
      <c r="L27" s="103"/>
    </row>
    <row r="28" spans="1:12" x14ac:dyDescent="0.3">
      <c r="A28" s="96" t="s">
        <v>84</v>
      </c>
      <c r="B28" s="96"/>
      <c r="C28" s="96"/>
      <c r="D28" s="96"/>
      <c r="E28" s="95"/>
      <c r="F28" s="95"/>
      <c r="G28" s="95"/>
      <c r="H28" s="95"/>
      <c r="I28" s="95"/>
      <c r="J28" s="95"/>
      <c r="K28" s="95"/>
      <c r="L28" s="95"/>
    </row>
    <row r="29" spans="1:12" x14ac:dyDescent="0.3">
      <c r="A29" s="99" t="s">
        <v>85</v>
      </c>
      <c r="B29" s="100" t="s">
        <v>86</v>
      </c>
      <c r="C29" s="101">
        <v>0.1802</v>
      </c>
      <c r="D29" s="99" t="s">
        <v>87</v>
      </c>
      <c r="E29" s="95"/>
      <c r="F29" s="95"/>
      <c r="G29" s="95"/>
      <c r="H29" s="95"/>
      <c r="I29" s="95"/>
      <c r="J29" s="95"/>
      <c r="K29" s="95"/>
      <c r="L29" s="95"/>
    </row>
    <row r="30" spans="1:12" x14ac:dyDescent="0.3">
      <c r="A30" s="99" t="s">
        <v>88</v>
      </c>
      <c r="B30" s="100" t="s">
        <v>89</v>
      </c>
      <c r="C30" s="101">
        <v>4.3099999999999999E-2</v>
      </c>
      <c r="D30" s="99" t="s">
        <v>87</v>
      </c>
      <c r="E30" s="95"/>
      <c r="F30" s="95"/>
      <c r="G30" s="95"/>
      <c r="H30" s="95"/>
      <c r="I30" s="95"/>
      <c r="J30" s="95"/>
      <c r="K30" s="95"/>
      <c r="L30" s="95"/>
    </row>
    <row r="31" spans="1:12" x14ac:dyDescent="0.3">
      <c r="A31" s="99" t="s">
        <v>90</v>
      </c>
      <c r="B31" s="100" t="s">
        <v>91</v>
      </c>
      <c r="C31" s="101">
        <v>8.9999999999999993E-3</v>
      </c>
      <c r="D31" s="101">
        <v>6.8999999999999999E-3</v>
      </c>
      <c r="E31" s="95"/>
      <c r="F31" s="95"/>
      <c r="G31" s="95"/>
      <c r="H31" s="95"/>
      <c r="I31" s="95"/>
      <c r="J31" s="95"/>
      <c r="K31" s="95"/>
      <c r="L31" s="95"/>
    </row>
    <row r="32" spans="1:12" x14ac:dyDescent="0.3">
      <c r="A32" s="99" t="s">
        <v>92</v>
      </c>
      <c r="B32" s="100" t="s">
        <v>93</v>
      </c>
      <c r="C32" s="101">
        <v>0.1079</v>
      </c>
      <c r="D32" s="101">
        <v>8.3299999999999999E-2</v>
      </c>
      <c r="E32" s="95"/>
      <c r="F32" s="95"/>
      <c r="G32" s="95"/>
      <c r="H32" s="95"/>
      <c r="I32" s="95"/>
      <c r="J32" s="95"/>
      <c r="K32" s="95"/>
      <c r="L32" s="95"/>
    </row>
    <row r="33" spans="1:12" x14ac:dyDescent="0.3">
      <c r="A33" s="99" t="s">
        <v>94</v>
      </c>
      <c r="B33" s="100" t="s">
        <v>95</v>
      </c>
      <c r="C33" s="101">
        <v>6.9999999999999999E-4</v>
      </c>
      <c r="D33" s="101">
        <v>5.9999999999999995E-4</v>
      </c>
      <c r="E33" s="95"/>
      <c r="F33" s="95"/>
      <c r="G33" s="95"/>
      <c r="H33" s="95"/>
      <c r="I33" s="95"/>
      <c r="J33" s="95"/>
      <c r="K33" s="95"/>
      <c r="L33" s="95"/>
    </row>
    <row r="34" spans="1:12" x14ac:dyDescent="0.3">
      <c r="A34" s="99" t="s">
        <v>96</v>
      </c>
      <c r="B34" s="100" t="s">
        <v>97</v>
      </c>
      <c r="C34" s="101">
        <v>7.1999999999999998E-3</v>
      </c>
      <c r="D34" s="101">
        <v>5.5999999999999999E-3</v>
      </c>
      <c r="E34" s="95"/>
      <c r="F34" s="95"/>
      <c r="G34" s="95"/>
      <c r="H34" s="95"/>
      <c r="I34" s="95"/>
      <c r="J34" s="95"/>
      <c r="K34" s="95"/>
      <c r="L34" s="95"/>
    </row>
    <row r="35" spans="1:12" x14ac:dyDescent="0.3">
      <c r="A35" s="99" t="s">
        <v>98</v>
      </c>
      <c r="B35" s="100" t="s">
        <v>99</v>
      </c>
      <c r="C35" s="101">
        <v>1.9800000000000002E-2</v>
      </c>
      <c r="D35" s="99" t="s">
        <v>87</v>
      </c>
      <c r="E35" s="95"/>
      <c r="F35" s="95"/>
      <c r="G35" s="95"/>
      <c r="H35" s="95"/>
      <c r="I35" s="95"/>
      <c r="J35" s="95"/>
      <c r="K35" s="95"/>
      <c r="L35" s="95"/>
    </row>
    <row r="36" spans="1:12" x14ac:dyDescent="0.3">
      <c r="A36" s="99" t="s">
        <v>100</v>
      </c>
      <c r="B36" s="100" t="s">
        <v>101</v>
      </c>
      <c r="C36" s="101">
        <v>1.1000000000000001E-3</v>
      </c>
      <c r="D36" s="101">
        <v>8.9999999999999998E-4</v>
      </c>
      <c r="E36" s="95"/>
      <c r="F36" s="95"/>
      <c r="G36" s="95"/>
      <c r="H36" s="95"/>
      <c r="I36" s="95"/>
      <c r="J36" s="95"/>
      <c r="K36" s="95"/>
      <c r="L36" s="95"/>
    </row>
    <row r="37" spans="1:12" x14ac:dyDescent="0.3">
      <c r="A37" s="99" t="s">
        <v>102</v>
      </c>
      <c r="B37" s="100" t="s">
        <v>103</v>
      </c>
      <c r="C37" s="101">
        <v>0.1386</v>
      </c>
      <c r="D37" s="101">
        <v>0.107</v>
      </c>
      <c r="E37" s="95"/>
      <c r="F37" s="95"/>
      <c r="G37" s="95"/>
      <c r="H37" s="95"/>
      <c r="I37" s="95"/>
      <c r="J37" s="95"/>
      <c r="K37" s="95"/>
      <c r="L37" s="95"/>
    </row>
    <row r="38" spans="1:12" x14ac:dyDescent="0.3">
      <c r="A38" s="99" t="s">
        <v>104</v>
      </c>
      <c r="B38" s="100" t="s">
        <v>105</v>
      </c>
      <c r="C38" s="101">
        <v>2.9999999999999997E-4</v>
      </c>
      <c r="D38" s="101">
        <v>2.9999999999999997E-4</v>
      </c>
      <c r="E38" s="95"/>
      <c r="F38" s="95"/>
      <c r="G38" s="95"/>
      <c r="H38" s="95"/>
      <c r="I38" s="95"/>
      <c r="J38" s="95"/>
      <c r="K38" s="95"/>
      <c r="L38" s="95"/>
    </row>
    <row r="39" spans="1:12" x14ac:dyDescent="0.3">
      <c r="A39" s="98" t="s">
        <v>106</v>
      </c>
      <c r="B39" s="98" t="s">
        <v>83</v>
      </c>
      <c r="C39" s="102">
        <f>SUM(C29:C38)</f>
        <v>0.50789999999999991</v>
      </c>
      <c r="D39" s="102">
        <f>SUM(D29:D38)</f>
        <v>0.20459999999999998</v>
      </c>
      <c r="E39" s="103"/>
      <c r="F39" s="103"/>
      <c r="G39" s="103"/>
      <c r="H39" s="103"/>
      <c r="I39" s="103"/>
      <c r="J39" s="103"/>
      <c r="K39" s="103"/>
      <c r="L39" s="103"/>
    </row>
    <row r="40" spans="1:12" x14ac:dyDescent="0.3">
      <c r="A40" s="96" t="s">
        <v>107</v>
      </c>
      <c r="B40" s="96"/>
      <c r="C40" s="96"/>
      <c r="D40" s="96"/>
      <c r="E40" s="95"/>
      <c r="F40" s="95"/>
      <c r="G40" s="95"/>
      <c r="H40" s="95"/>
      <c r="I40" s="95"/>
      <c r="J40" s="95"/>
      <c r="K40" s="95"/>
      <c r="L40" s="95"/>
    </row>
    <row r="41" spans="1:12" x14ac:dyDescent="0.3">
      <c r="A41" s="99" t="s">
        <v>108</v>
      </c>
      <c r="B41" s="100" t="s">
        <v>109</v>
      </c>
      <c r="C41" s="101">
        <v>4.5600000000000002E-2</v>
      </c>
      <c r="D41" s="101">
        <v>3.5299999999999998E-2</v>
      </c>
      <c r="E41" s="95"/>
      <c r="F41" s="95"/>
      <c r="G41" s="95"/>
      <c r="H41" s="95"/>
      <c r="I41" s="95"/>
      <c r="J41" s="95"/>
      <c r="K41" s="95"/>
      <c r="L41" s="95"/>
    </row>
    <row r="42" spans="1:12" x14ac:dyDescent="0.3">
      <c r="A42" s="99" t="s">
        <v>110</v>
      </c>
      <c r="B42" s="100" t="s">
        <v>111</v>
      </c>
      <c r="C42" s="101">
        <v>1.1000000000000001E-3</v>
      </c>
      <c r="D42" s="101">
        <v>8.0000000000000004E-4</v>
      </c>
      <c r="E42" s="95"/>
      <c r="F42" s="95"/>
      <c r="G42" s="95"/>
      <c r="H42" s="95"/>
      <c r="I42" s="95"/>
      <c r="J42" s="95"/>
      <c r="K42" s="95"/>
      <c r="L42" s="95"/>
    </row>
    <row r="43" spans="1:12" x14ac:dyDescent="0.3">
      <c r="A43" s="99" t="s">
        <v>112</v>
      </c>
      <c r="B43" s="100" t="s">
        <v>113</v>
      </c>
      <c r="C43" s="101">
        <v>5.1000000000000004E-3</v>
      </c>
      <c r="D43" s="101">
        <v>4.0000000000000001E-3</v>
      </c>
      <c r="E43" s="95"/>
      <c r="F43" s="95"/>
      <c r="G43" s="95"/>
      <c r="H43" s="95"/>
      <c r="I43" s="95"/>
      <c r="J43" s="95"/>
      <c r="K43" s="95"/>
      <c r="L43" s="95"/>
    </row>
    <row r="44" spans="1:12" x14ac:dyDescent="0.3">
      <c r="A44" s="99" t="s">
        <v>114</v>
      </c>
      <c r="B44" s="100" t="s">
        <v>115</v>
      </c>
      <c r="C44" s="101">
        <v>4.1300000000000003E-2</v>
      </c>
      <c r="D44" s="101">
        <v>3.2000000000000001E-2</v>
      </c>
      <c r="E44" s="95"/>
      <c r="F44" s="95"/>
      <c r="G44" s="95"/>
      <c r="H44" s="95"/>
      <c r="I44" s="95"/>
      <c r="J44" s="95"/>
      <c r="K44" s="95"/>
      <c r="L44" s="95"/>
    </row>
    <row r="45" spans="1:12" x14ac:dyDescent="0.3">
      <c r="A45" s="99" t="s">
        <v>116</v>
      </c>
      <c r="B45" s="100" t="s">
        <v>117</v>
      </c>
      <c r="C45" s="101">
        <v>3.8E-3</v>
      </c>
      <c r="D45" s="101">
        <v>3.0000000000000001E-3</v>
      </c>
      <c r="E45" s="95"/>
      <c r="F45" s="95"/>
      <c r="G45" s="95"/>
      <c r="H45" s="95"/>
      <c r="I45" s="95"/>
      <c r="J45" s="95"/>
      <c r="K45" s="95"/>
      <c r="L45" s="95"/>
    </row>
    <row r="46" spans="1:12" x14ac:dyDescent="0.3">
      <c r="A46" s="98" t="s">
        <v>118</v>
      </c>
      <c r="B46" s="98" t="s">
        <v>83</v>
      </c>
      <c r="C46" s="102">
        <f>SUM(C41:C45)</f>
        <v>9.69E-2</v>
      </c>
      <c r="D46" s="102">
        <f>SUM(D41:D45)</f>
        <v>7.51E-2</v>
      </c>
      <c r="E46" s="103"/>
      <c r="F46" s="103"/>
      <c r="G46" s="103"/>
      <c r="H46" s="103"/>
      <c r="I46" s="103"/>
      <c r="J46" s="103"/>
      <c r="K46" s="103"/>
      <c r="L46" s="103"/>
    </row>
    <row r="47" spans="1:12" x14ac:dyDescent="0.3">
      <c r="A47" s="96" t="s">
        <v>119</v>
      </c>
      <c r="B47" s="96"/>
      <c r="C47" s="96"/>
      <c r="D47" s="96"/>
      <c r="E47" s="95"/>
      <c r="F47" s="95"/>
      <c r="G47" s="95"/>
      <c r="H47" s="95"/>
      <c r="I47" s="95"/>
      <c r="J47" s="95"/>
      <c r="K47" s="95"/>
      <c r="L47" s="95"/>
    </row>
    <row r="48" spans="1:12" x14ac:dyDescent="0.3">
      <c r="A48" s="99" t="s">
        <v>120</v>
      </c>
      <c r="B48" s="104" t="s">
        <v>121</v>
      </c>
      <c r="C48" s="101">
        <v>8.5300000000000001E-2</v>
      </c>
      <c r="D48" s="101">
        <v>3.44E-2</v>
      </c>
      <c r="E48" s="95"/>
      <c r="F48" s="95"/>
      <c r="G48" s="95"/>
      <c r="H48" s="95"/>
      <c r="I48" s="95"/>
      <c r="J48" s="95"/>
      <c r="K48" s="95"/>
      <c r="L48" s="95"/>
    </row>
    <row r="49" spans="1:12" ht="46.8" x14ac:dyDescent="0.3">
      <c r="A49" s="99" t="s">
        <v>122</v>
      </c>
      <c r="B49" s="104" t="s">
        <v>123</v>
      </c>
      <c r="C49" s="101">
        <v>3.8E-3</v>
      </c>
      <c r="D49" s="101">
        <v>3.0000000000000001E-3</v>
      </c>
      <c r="E49" s="95"/>
      <c r="F49" s="95"/>
      <c r="G49" s="95"/>
      <c r="H49" s="95"/>
      <c r="I49" s="95"/>
      <c r="J49" s="95"/>
      <c r="K49" s="95"/>
      <c r="L49" s="95"/>
    </row>
    <row r="50" spans="1:12" x14ac:dyDescent="0.3">
      <c r="A50" s="98" t="s">
        <v>124</v>
      </c>
      <c r="B50" s="98" t="s">
        <v>83</v>
      </c>
      <c r="C50" s="102">
        <f>SUM(C48:C49)</f>
        <v>8.9099999999999999E-2</v>
      </c>
      <c r="D50" s="102">
        <f>SUM(D48:D49)</f>
        <v>3.7400000000000003E-2</v>
      </c>
      <c r="E50" s="103"/>
      <c r="F50" s="103"/>
      <c r="G50" s="103"/>
      <c r="H50" s="103"/>
      <c r="I50" s="103"/>
      <c r="J50" s="103"/>
      <c r="K50" s="103"/>
      <c r="L50" s="103"/>
    </row>
    <row r="51" spans="1:12" x14ac:dyDescent="0.3">
      <c r="A51" s="96" t="s">
        <v>125</v>
      </c>
      <c r="B51" s="96"/>
      <c r="C51" s="102">
        <f>SUM(C50,C46,C39,C27)</f>
        <v>0.86189999999999989</v>
      </c>
      <c r="D51" s="102">
        <f>SUM(D50,D46,D39,D27)</f>
        <v>0.48509999999999998</v>
      </c>
      <c r="E51" s="97"/>
      <c r="F51" s="97"/>
      <c r="G51" s="97"/>
      <c r="H51" s="97"/>
      <c r="I51" s="97"/>
      <c r="J51" s="97"/>
      <c r="K51" s="97"/>
      <c r="L51" s="97"/>
    </row>
  </sheetData>
  <mergeCells count="3">
    <mergeCell ref="A14:A16"/>
    <mergeCell ref="B14:B16"/>
    <mergeCell ref="A1:D8"/>
  </mergeCells>
  <printOptions horizontalCentered="1"/>
  <pageMargins left="0.78740157480314965" right="0.51181102362204722" top="0.78740157480314965" bottom="0.78740157480314965" header="0.31496062992125984" footer="0.31496062992125984"/>
  <pageSetup paperSize="9" scale="78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PLANILHA</vt:lpstr>
      <vt:lpstr>CRONOGRAMA</vt:lpstr>
      <vt:lpstr> BDI</vt:lpstr>
      <vt:lpstr>LS</vt:lpstr>
      <vt:lpstr>CRONOGRAMA!Area_de_impressao</vt:lpstr>
      <vt:lpstr>LS!Area_de_impressao</vt:lpstr>
      <vt:lpstr>PLANILHA!Area_de_impressao</vt:lpstr>
      <vt:lpstr>CRONOGRAMA!Titulos_de_impressao</vt:lpstr>
      <vt:lpstr>PLANILHA!Titulos_de_impressao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Henrique</dc:creator>
  <cp:lastModifiedBy>Emanoel (J. Galdino)</cp:lastModifiedBy>
  <cp:lastPrinted>2021-09-20T17:34:04Z</cp:lastPrinted>
  <dcterms:created xsi:type="dcterms:W3CDTF">2020-06-04T05:36:21Z</dcterms:created>
  <dcterms:modified xsi:type="dcterms:W3CDTF">2022-05-30T17:51:34Z</dcterms:modified>
</cp:coreProperties>
</file>